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35" yWindow="18810" windowWidth="15480" windowHeight="1170" tabRatio="478"/>
  </bookViews>
  <sheets>
    <sheet name="Субсидии МО ЛО за 2019 гДФ ЛО" sheetId="14" r:id="rId1"/>
  </sheets>
  <definedNames>
    <definedName name="_xlnm.Print_Titles" localSheetId="0">'Субсидии МО ЛО за 2019 гДФ ЛО'!$3:$5</definedName>
    <definedName name="_xlnm.Print_Area" localSheetId="0">'Субсидии МО ЛО за 2019 гДФ ЛО'!$M$1:$EA$292</definedName>
  </definedNames>
  <calcPr calcId="145621"/>
</workbook>
</file>

<file path=xl/calcChain.xml><?xml version="1.0" encoding="utf-8"?>
<calcChain xmlns="http://schemas.openxmlformats.org/spreadsheetml/2006/main">
  <c r="Z6" i="14" l="1"/>
  <c r="Z11" i="14"/>
  <c r="Z8" i="14" s="1"/>
  <c r="Z17" i="14"/>
  <c r="Z21" i="14"/>
  <c r="Z20" i="14" s="1"/>
  <c r="Z26" i="14"/>
  <c r="Z39" i="14"/>
  <c r="Z43" i="14"/>
  <c r="Z48" i="14"/>
  <c r="Z53" i="14"/>
  <c r="Z57" i="14"/>
  <c r="Z62" i="14"/>
  <c r="Z73" i="14"/>
  <c r="Z82" i="14"/>
  <c r="Z79" i="14" s="1"/>
  <c r="Z91" i="14"/>
  <c r="Z93" i="14"/>
  <c r="Z101" i="14"/>
  <c r="Z94" i="14" s="1"/>
  <c r="Z105" i="14"/>
  <c r="Z119" i="14"/>
  <c r="Z114" i="14" s="1"/>
  <c r="Z128" i="14"/>
  <c r="Z141" i="14"/>
  <c r="Z137" i="14" s="1"/>
  <c r="Z143" i="14"/>
  <c r="Z151" i="14"/>
  <c r="Z156" i="14"/>
  <c r="Z159" i="14"/>
  <c r="Z178" i="14"/>
  <c r="Z177" i="14" s="1"/>
  <c r="Z184" i="14"/>
  <c r="Z198" i="14"/>
  <c r="Z195" i="14" s="1"/>
  <c r="Z201" i="14"/>
  <c r="Z202" i="14"/>
  <c r="Z219" i="14"/>
  <c r="Z203" i="14" s="1"/>
  <c r="Z220" i="14"/>
  <c r="Z227" i="14"/>
  <c r="Z239" i="14"/>
  <c r="Z230" i="14" s="1"/>
  <c r="BX174" i="14" l="1"/>
  <c r="AT131" i="14"/>
  <c r="BY156" i="14"/>
  <c r="BY101" i="14"/>
  <c r="AU171" i="14"/>
  <c r="BX101" i="14" l="1"/>
  <c r="BX250" i="14" l="1"/>
  <c r="BY207" i="14"/>
  <c r="BX115" i="14"/>
  <c r="BX252" i="14"/>
  <c r="BY178" i="14"/>
  <c r="BX178" i="14"/>
  <c r="BY93" i="14"/>
  <c r="BY17" i="14"/>
  <c r="BX191" i="14"/>
  <c r="BY202" i="14"/>
  <c r="BY239" i="14" l="1"/>
  <c r="BT239" i="14" l="1"/>
  <c r="BW162" i="14"/>
  <c r="BW101" i="14"/>
  <c r="BR101" i="14"/>
  <c r="BR162" i="14" l="1"/>
  <c r="BT93" i="14"/>
  <c r="BW275" i="14"/>
  <c r="BR275" i="14"/>
  <c r="BW281" i="14"/>
  <c r="BR281" i="14"/>
  <c r="BS252" i="14"/>
  <c r="BS250" i="14"/>
  <c r="BT202" i="14"/>
  <c r="BT101" i="14" l="1"/>
  <c r="BT178" i="14" l="1"/>
  <c r="BS178" i="14"/>
  <c r="BT207" i="14"/>
  <c r="BX192" i="14"/>
  <c r="BS192" i="14"/>
  <c r="BX173" i="14"/>
  <c r="BS173" i="14"/>
  <c r="BS51" i="14"/>
  <c r="BM101" i="14" l="1"/>
  <c r="BS239" i="14" l="1"/>
  <c r="BT89" i="14"/>
  <c r="BX113" i="14"/>
  <c r="BS113" i="14"/>
  <c r="BS115" i="14" l="1"/>
  <c r="BX63" i="14"/>
  <c r="BS63" i="14"/>
  <c r="BS231" i="14" l="1"/>
  <c r="BT17" i="14"/>
  <c r="BY245" i="14"/>
  <c r="BT245" i="14"/>
  <c r="BS174" i="14"/>
  <c r="BY120" i="14"/>
  <c r="BT120" i="14"/>
  <c r="BM162" i="14"/>
  <c r="BS191" i="14" l="1"/>
  <c r="BY119" i="14" l="1"/>
  <c r="BT119" i="14"/>
  <c r="AT63" i="14" l="1"/>
  <c r="AT173" i="14"/>
  <c r="AU101" i="14"/>
  <c r="AT101" i="14"/>
  <c r="AT32" i="14"/>
  <c r="EI162" i="14"/>
  <c r="DU202" i="14"/>
  <c r="DU11" i="14"/>
  <c r="DY73" i="14"/>
  <c r="DT73" i="14"/>
  <c r="DY63" i="14"/>
  <c r="DT63" i="14"/>
  <c r="DT150" i="14"/>
  <c r="DY252" i="14" l="1"/>
  <c r="DT252" i="14"/>
  <c r="BN252" i="14"/>
  <c r="DZ239" i="14"/>
  <c r="DU239" i="14"/>
  <c r="BO239" i="14"/>
  <c r="AU239" i="14"/>
  <c r="DZ93" i="14"/>
  <c r="DU93" i="14"/>
  <c r="BO93" i="14"/>
  <c r="DX281" i="14"/>
  <c r="DS281" i="14"/>
  <c r="BM281" i="14"/>
  <c r="AT171" i="14" l="1"/>
  <c r="DS162" i="14"/>
  <c r="AT252" i="14"/>
  <c r="DY250" i="14"/>
  <c r="DT250" i="14"/>
  <c r="BN250" i="14"/>
  <c r="AT158" i="14"/>
  <c r="DZ245" i="14"/>
  <c r="AU245" i="14"/>
  <c r="AT245" i="14"/>
  <c r="EW54" i="14"/>
  <c r="EV54" i="14"/>
  <c r="AU54" i="14"/>
  <c r="AU105" i="14"/>
  <c r="AT115" i="14"/>
  <c r="AU119" i="14"/>
  <c r="AT46" i="14"/>
  <c r="AT52" i="14"/>
  <c r="AT175" i="14"/>
  <c r="DY192" i="14"/>
  <c r="DT192" i="14"/>
  <c r="BN192" i="14"/>
  <c r="BY82" i="14"/>
  <c r="BT82" i="14"/>
  <c r="BT77" i="14"/>
  <c r="DY178" i="14" l="1"/>
  <c r="DT178" i="14"/>
  <c r="BN178" i="14"/>
  <c r="DY174" i="14" l="1"/>
  <c r="DT174" i="14"/>
  <c r="BN174" i="14"/>
  <c r="BR69" i="14"/>
  <c r="DX275" i="14" l="1"/>
  <c r="DS275" i="14"/>
  <c r="BM275" i="14"/>
  <c r="DU245" i="14"/>
  <c r="BO245" i="14"/>
  <c r="DZ202" i="14"/>
  <c r="BO202" i="14"/>
  <c r="DZ119" i="14"/>
  <c r="DU119" i="14"/>
  <c r="BO119" i="14"/>
  <c r="DY173" i="14"/>
  <c r="DT173" i="14"/>
  <c r="BN173" i="14"/>
  <c r="DX101" i="14"/>
  <c r="DS101" i="14"/>
  <c r="P329" i="14" l="1"/>
  <c r="P326" i="14"/>
  <c r="P325" i="14"/>
  <c r="P324" i="14"/>
  <c r="P323" i="14"/>
  <c r="P322" i="14"/>
  <c r="P321" i="14"/>
  <c r="P319" i="14"/>
  <c r="P315" i="14"/>
  <c r="P313" i="14"/>
  <c r="P309" i="14"/>
  <c r="P305" i="14"/>
  <c r="P304" i="14"/>
  <c r="P303" i="14"/>
  <c r="P301" i="14"/>
  <c r="P300" i="14"/>
  <c r="P295" i="14"/>
  <c r="P291" i="14"/>
  <c r="P290" i="14"/>
  <c r="P289" i="14"/>
  <c r="P288" i="14"/>
  <c r="P287" i="14"/>
  <c r="P286" i="14"/>
  <c r="P285" i="14"/>
  <c r="P284" i="14"/>
  <c r="P283" i="14"/>
  <c r="P279" i="14"/>
  <c r="P278" i="14"/>
  <c r="P277" i="14"/>
  <c r="P273" i="14"/>
  <c r="P272" i="14"/>
  <c r="P271" i="14"/>
  <c r="P270" i="14"/>
  <c r="P269" i="14"/>
  <c r="P268" i="14"/>
  <c r="P257" i="14"/>
  <c r="P256" i="14"/>
  <c r="P255" i="14"/>
  <c r="P254" i="14"/>
  <c r="P253" i="14"/>
  <c r="P251" i="14"/>
  <c r="P249" i="14"/>
  <c r="P248" i="14"/>
  <c r="P247" i="14"/>
  <c r="P246" i="14"/>
  <c r="P244" i="14"/>
  <c r="P243" i="14"/>
  <c r="P240" i="14"/>
  <c r="P238" i="14"/>
  <c r="P237" i="14"/>
  <c r="P236" i="14"/>
  <c r="P235" i="14"/>
  <c r="P234" i="14"/>
  <c r="P233" i="14"/>
  <c r="P232" i="14"/>
  <c r="P229" i="14"/>
  <c r="P228" i="14"/>
  <c r="P227" i="14"/>
  <c r="P225" i="14"/>
  <c r="P224" i="14"/>
  <c r="P223" i="14"/>
  <c r="P222" i="14"/>
  <c r="P221" i="14"/>
  <c r="P219" i="14"/>
  <c r="P218" i="14"/>
  <c r="P216" i="14"/>
  <c r="P215" i="14"/>
  <c r="P214" i="14"/>
  <c r="P212" i="14"/>
  <c r="P211" i="14"/>
  <c r="P210" i="14"/>
  <c r="P209" i="14"/>
  <c r="P208" i="14"/>
  <c r="P206" i="14"/>
  <c r="P205" i="14"/>
  <c r="P204" i="14"/>
  <c r="P201" i="14"/>
  <c r="P199" i="14"/>
  <c r="P198" i="14"/>
  <c r="P197" i="14"/>
  <c r="P196" i="14"/>
  <c r="P194" i="14"/>
  <c r="P193" i="14"/>
  <c r="P190" i="14"/>
  <c r="P188" i="14"/>
  <c r="P187" i="14"/>
  <c r="P184" i="14"/>
  <c r="P183" i="14"/>
  <c r="P181" i="14"/>
  <c r="P180" i="14"/>
  <c r="P179" i="14"/>
  <c r="P176" i="14"/>
  <c r="P175" i="14"/>
  <c r="P172" i="14"/>
  <c r="P171" i="14"/>
  <c r="P169" i="14"/>
  <c r="P167" i="14"/>
  <c r="P166" i="14"/>
  <c r="P165" i="14"/>
  <c r="P164" i="14"/>
  <c r="P163" i="14"/>
  <c r="P161" i="14"/>
  <c r="P160" i="14"/>
  <c r="P158" i="14"/>
  <c r="P157" i="14"/>
  <c r="P156" i="14"/>
  <c r="P155" i="14"/>
  <c r="P154" i="14"/>
  <c r="P153" i="14"/>
  <c r="P152" i="14"/>
  <c r="P151" i="14"/>
  <c r="P150" i="14"/>
  <c r="P149" i="14"/>
  <c r="P148" i="14"/>
  <c r="P147" i="14"/>
  <c r="P146" i="14"/>
  <c r="P145" i="14"/>
  <c r="P144" i="14"/>
  <c r="P143" i="14"/>
  <c r="P142" i="14"/>
  <c r="P141" i="14"/>
  <c r="P140" i="14"/>
  <c r="P139" i="14"/>
  <c r="P138" i="14"/>
  <c r="P137" i="14"/>
  <c r="P136" i="14"/>
  <c r="P135" i="14"/>
  <c r="P134" i="14"/>
  <c r="P133" i="14"/>
  <c r="P132" i="14"/>
  <c r="P131" i="14"/>
  <c r="P130" i="14"/>
  <c r="P129" i="14"/>
  <c r="P128" i="14"/>
  <c r="P127" i="14"/>
  <c r="P125" i="14"/>
  <c r="P124" i="14"/>
  <c r="P123" i="14"/>
  <c r="P122" i="14"/>
  <c r="P121" i="14"/>
  <c r="P118" i="14"/>
  <c r="P117" i="14"/>
  <c r="P116" i="14"/>
  <c r="P112" i="14"/>
  <c r="P111" i="14"/>
  <c r="P110" i="14"/>
  <c r="P109" i="14"/>
  <c r="P108" i="14"/>
  <c r="P107" i="14"/>
  <c r="P106" i="14"/>
  <c r="P104" i="14"/>
  <c r="P103" i="14"/>
  <c r="P102" i="14"/>
  <c r="P100" i="14"/>
  <c r="P99" i="14"/>
  <c r="P98" i="14"/>
  <c r="P97" i="14"/>
  <c r="P96" i="14"/>
  <c r="P95" i="14"/>
  <c r="P92" i="14"/>
  <c r="P91" i="14"/>
  <c r="P90" i="14"/>
  <c r="P88" i="14"/>
  <c r="P87" i="14"/>
  <c r="P85" i="14"/>
  <c r="P84" i="14"/>
  <c r="P83" i="14"/>
  <c r="P81" i="14"/>
  <c r="P80" i="14"/>
  <c r="P78" i="14"/>
  <c r="P76" i="14"/>
  <c r="P75" i="14"/>
  <c r="P74" i="14"/>
  <c r="P73" i="14"/>
  <c r="P72" i="14"/>
  <c r="P71" i="14"/>
  <c r="P68" i="14"/>
  <c r="P67" i="14"/>
  <c r="P66" i="14"/>
  <c r="P64" i="14"/>
  <c r="P62" i="14"/>
  <c r="P61" i="14"/>
  <c r="P60" i="14"/>
  <c r="P59" i="14"/>
  <c r="P58" i="14"/>
  <c r="P56" i="14"/>
  <c r="P55" i="14"/>
  <c r="P54" i="14"/>
  <c r="P53" i="14"/>
  <c r="P52" i="14"/>
  <c r="P50" i="14"/>
  <c r="P49" i="14"/>
  <c r="P48" i="14"/>
  <c r="P47" i="14"/>
  <c r="P45" i="14"/>
  <c r="P44" i="14"/>
  <c r="P43" i="14"/>
  <c r="P42" i="14"/>
  <c r="P41" i="14"/>
  <c r="P40" i="14"/>
  <c r="P38" i="14"/>
  <c r="P37" i="14"/>
  <c r="P35" i="14"/>
  <c r="P34" i="14"/>
  <c r="P33" i="14"/>
  <c r="P31" i="14"/>
  <c r="P30" i="14"/>
  <c r="P29" i="14"/>
  <c r="P28" i="14"/>
  <c r="P27" i="14"/>
  <c r="P26" i="14"/>
  <c r="P25" i="14"/>
  <c r="P24" i="14"/>
  <c r="P23" i="14"/>
  <c r="P22" i="14"/>
  <c r="P21" i="14"/>
  <c r="P19" i="14"/>
  <c r="P18" i="14"/>
  <c r="P16" i="14"/>
  <c r="P15" i="14"/>
  <c r="P14" i="14"/>
  <c r="P13" i="14"/>
  <c r="P12" i="14"/>
  <c r="P11" i="14"/>
  <c r="P10" i="14"/>
  <c r="P9" i="14"/>
  <c r="P7" i="14"/>
  <c r="BS21" i="14"/>
  <c r="BY184" i="14" l="1"/>
  <c r="BT184" i="14"/>
  <c r="BX45" i="14" l="1"/>
  <c r="AT234" i="14"/>
  <c r="AT191" i="14"/>
  <c r="AU53" i="14"/>
  <c r="AT240" i="14"/>
  <c r="AT85" i="14"/>
  <c r="AT250" i="14" l="1"/>
  <c r="AT227" i="14"/>
  <c r="AT42" i="14"/>
  <c r="AU140" i="14"/>
  <c r="AT168" i="14"/>
  <c r="DY191" i="14"/>
  <c r="DT191" i="14"/>
  <c r="BN191" i="14"/>
  <c r="DY115" i="14" l="1"/>
  <c r="DT115" i="14"/>
  <c r="BN115" i="14"/>
  <c r="AT102" i="14" l="1"/>
  <c r="AT166" i="14"/>
  <c r="DT21" i="14" l="1"/>
  <c r="BN21" i="14"/>
  <c r="BN51" i="14" l="1"/>
  <c r="DZ184" i="14" l="1"/>
  <c r="DU184" i="14"/>
  <c r="BO184" i="14"/>
  <c r="AU156" i="14"/>
  <c r="BY89" i="14" l="1"/>
  <c r="BS93" i="14"/>
  <c r="DZ178" i="14" l="1"/>
  <c r="DU178" i="14"/>
  <c r="BO178" i="14"/>
  <c r="DS69" i="14"/>
  <c r="BM69" i="14"/>
  <c r="BS160" i="14"/>
  <c r="BY227" i="14" l="1"/>
  <c r="BT227" i="14"/>
  <c r="BX248" i="14"/>
  <c r="DZ82" i="14"/>
  <c r="DU82" i="14"/>
  <c r="BO82" i="14"/>
  <c r="BS157" i="14" l="1"/>
  <c r="BO156" i="14" l="1"/>
  <c r="BT156" i="14"/>
  <c r="BX156" i="14"/>
  <c r="BS156" i="14"/>
  <c r="BX73" i="14" l="1"/>
  <c r="BS73" i="14"/>
  <c r="DZ101" i="14" l="1"/>
  <c r="DU101" i="14"/>
  <c r="BO101" i="14"/>
  <c r="DZ17" i="14" l="1"/>
  <c r="DU17" i="14"/>
  <c r="BO17" i="14"/>
  <c r="BO89" i="14"/>
  <c r="BO120" i="14" l="1"/>
  <c r="DZ227" i="14" l="1"/>
  <c r="DU227" i="14"/>
  <c r="BO227" i="14"/>
  <c r="AT213" i="14" l="1"/>
  <c r="AU17" i="14"/>
  <c r="AT17" i="14"/>
  <c r="AU123" i="14" l="1"/>
  <c r="AT123" i="14"/>
  <c r="AT127" i="14"/>
  <c r="AU110" i="14"/>
  <c r="BN93" i="14"/>
  <c r="AT47" i="14" l="1"/>
  <c r="AT121" i="14"/>
  <c r="AT49" i="14"/>
  <c r="FB257" i="14" l="1"/>
  <c r="FB256" i="14"/>
  <c r="FB255" i="14"/>
  <c r="FB254" i="14"/>
  <c r="FB253" i="14"/>
  <c r="FB251" i="14"/>
  <c r="FB249" i="14"/>
  <c r="FB247" i="14"/>
  <c r="FB246" i="14"/>
  <c r="FB244" i="14"/>
  <c r="FB243" i="14"/>
  <c r="FB239" i="14"/>
  <c r="FB238" i="14"/>
  <c r="FB237" i="14"/>
  <c r="FB236" i="14"/>
  <c r="FB235" i="14"/>
  <c r="FB233" i="14"/>
  <c r="FB232" i="14"/>
  <c r="FB231" i="14"/>
  <c r="FB229" i="14"/>
  <c r="FB228" i="14"/>
  <c r="FB226" i="14"/>
  <c r="FB225" i="14"/>
  <c r="FB224" i="14"/>
  <c r="FB223" i="14"/>
  <c r="FB222" i="14"/>
  <c r="FB221" i="14"/>
  <c r="FB219" i="14"/>
  <c r="FB218" i="14"/>
  <c r="FB216" i="14"/>
  <c r="FB215" i="14"/>
  <c r="FB214" i="14"/>
  <c r="FB212" i="14"/>
  <c r="FB211" i="14"/>
  <c r="FB210" i="14"/>
  <c r="FB209" i="14"/>
  <c r="FB208" i="14"/>
  <c r="FB207" i="14"/>
  <c r="FB206" i="14"/>
  <c r="FB205" i="14"/>
  <c r="FB204" i="14"/>
  <c r="FB202" i="14"/>
  <c r="FB201" i="14"/>
  <c r="FB199" i="14"/>
  <c r="FB198" i="14"/>
  <c r="FB197" i="14"/>
  <c r="FB196" i="14"/>
  <c r="FB194" i="14"/>
  <c r="FB193" i="14"/>
  <c r="FB190" i="14"/>
  <c r="FB188" i="14"/>
  <c r="FB187" i="14"/>
  <c r="FB186" i="14"/>
  <c r="FB184" i="14"/>
  <c r="FB183" i="14"/>
  <c r="FB181" i="14"/>
  <c r="FB180" i="14"/>
  <c r="FB179" i="14"/>
  <c r="FB176" i="14"/>
  <c r="FB172" i="14"/>
  <c r="FB169" i="14"/>
  <c r="FB167" i="14"/>
  <c r="FB165" i="14"/>
  <c r="FB163" i="14"/>
  <c r="FB161" i="14"/>
  <c r="FB160" i="14"/>
  <c r="FB157" i="14"/>
  <c r="FB156" i="14"/>
  <c r="FB155" i="14"/>
  <c r="FB154" i="14"/>
  <c r="FB153" i="14"/>
  <c r="FB152" i="14"/>
  <c r="FB149" i="14"/>
  <c r="FB148" i="14"/>
  <c r="FB147" i="14"/>
  <c r="FB145" i="14"/>
  <c r="FB144" i="14"/>
  <c r="FB143" i="14"/>
  <c r="FB142" i="14"/>
  <c r="FB141" i="14"/>
  <c r="FB140" i="14"/>
  <c r="FB139" i="14"/>
  <c r="FB138" i="14"/>
  <c r="FB136" i="14"/>
  <c r="FB135" i="14"/>
  <c r="FB134" i="14"/>
  <c r="FB133" i="14"/>
  <c r="FB132" i="14"/>
  <c r="FB130" i="14"/>
  <c r="FB129" i="14"/>
  <c r="FB125" i="14"/>
  <c r="FB124" i="14"/>
  <c r="FB122" i="14"/>
  <c r="FB120" i="14"/>
  <c r="FB118" i="14"/>
  <c r="FB117" i="14"/>
  <c r="FB116" i="14"/>
  <c r="FB113" i="14"/>
  <c r="FB112" i="14"/>
  <c r="FB111" i="14"/>
  <c r="FB110" i="14"/>
  <c r="FB109" i="14"/>
  <c r="FB108" i="14"/>
  <c r="FB107" i="14"/>
  <c r="FB106" i="14"/>
  <c r="FB105" i="14"/>
  <c r="FB104" i="14"/>
  <c r="FB103" i="14"/>
  <c r="FB100" i="14"/>
  <c r="FB99" i="14"/>
  <c r="FB98" i="14"/>
  <c r="FB97" i="14"/>
  <c r="FB95" i="14"/>
  <c r="FB93" i="14"/>
  <c r="FB92" i="14"/>
  <c r="FB91" i="14"/>
  <c r="FB90" i="14"/>
  <c r="FB89" i="14"/>
  <c r="FB88" i="14"/>
  <c r="FB87" i="14"/>
  <c r="FB84" i="14"/>
  <c r="FB83" i="14"/>
  <c r="FB82" i="14"/>
  <c r="FB81" i="14"/>
  <c r="FB80" i="14"/>
  <c r="FB78" i="14"/>
  <c r="FB77" i="14"/>
  <c r="FB76" i="14"/>
  <c r="FB75" i="14"/>
  <c r="FB74" i="14"/>
  <c r="FB72" i="14"/>
  <c r="FB71" i="14"/>
  <c r="FB69" i="14"/>
  <c r="FB68" i="14"/>
  <c r="FB67" i="14"/>
  <c r="FB66" i="14"/>
  <c r="FB65" i="14"/>
  <c r="FB62" i="14"/>
  <c r="FB61" i="14"/>
  <c r="FB60" i="14"/>
  <c r="FB59" i="14"/>
  <c r="FB58" i="14"/>
  <c r="FB56" i="14"/>
  <c r="FB55" i="14"/>
  <c r="FB53" i="14"/>
  <c r="FB51" i="14"/>
  <c r="FB50" i="14"/>
  <c r="FB48" i="14"/>
  <c r="FB45" i="14"/>
  <c r="FB44" i="14"/>
  <c r="FB43" i="14"/>
  <c r="FB38" i="14"/>
  <c r="FB37" i="14"/>
  <c r="FB36" i="14"/>
  <c r="FB35" i="14"/>
  <c r="FB34" i="14"/>
  <c r="FB33" i="14"/>
  <c r="FB31" i="14"/>
  <c r="FB30" i="14"/>
  <c r="FB29" i="14"/>
  <c r="FB28" i="14"/>
  <c r="FB27" i="14"/>
  <c r="FB26" i="14"/>
  <c r="FB25" i="14"/>
  <c r="FB24" i="14"/>
  <c r="FB23" i="14"/>
  <c r="FB22" i="14"/>
  <c r="FB19" i="14"/>
  <c r="FB18" i="14"/>
  <c r="FB16" i="14"/>
  <c r="FB15" i="14"/>
  <c r="FB14" i="14"/>
  <c r="FB13" i="14"/>
  <c r="FB12" i="14"/>
  <c r="FB11" i="14"/>
  <c r="FB10" i="14"/>
  <c r="FB9" i="14"/>
  <c r="FA57" i="14"/>
  <c r="BN160" i="14" l="1"/>
  <c r="BT201" i="14" l="1"/>
  <c r="BS201" i="14"/>
  <c r="DZ328" i="14"/>
  <c r="DY328" i="14"/>
  <c r="DX328" i="14"/>
  <c r="DZ314" i="14"/>
  <c r="DZ318" i="14" s="1"/>
  <c r="DZ332" i="14" s="1"/>
  <c r="DY314" i="14"/>
  <c r="DY318" i="14" s="1"/>
  <c r="DY332" i="14" s="1"/>
  <c r="DX314" i="14"/>
  <c r="DY302" i="14"/>
  <c r="DY299" i="14"/>
  <c r="DY298" i="14"/>
  <c r="DY297" i="14"/>
  <c r="DX293" i="14"/>
  <c r="DX317" i="14" s="1"/>
  <c r="DX289" i="14"/>
  <c r="DX286" i="14"/>
  <c r="DX283" i="14"/>
  <c r="DX280" i="14"/>
  <c r="DX277" i="14"/>
  <c r="DX274" i="14"/>
  <c r="DX271" i="14"/>
  <c r="DX268" i="14"/>
  <c r="DX266" i="14"/>
  <c r="DX265" i="14" s="1"/>
  <c r="DZ255" i="14"/>
  <c r="DZ242" i="14"/>
  <c r="DY242" i="14"/>
  <c r="DX242" i="14"/>
  <c r="DZ230" i="14"/>
  <c r="DY230" i="14"/>
  <c r="DX230" i="14"/>
  <c r="DZ220" i="14"/>
  <c r="DY220" i="14"/>
  <c r="DX220" i="14"/>
  <c r="DZ215" i="14"/>
  <c r="DY215" i="14"/>
  <c r="DY207" i="14"/>
  <c r="DY203" i="14" s="1"/>
  <c r="DZ203" i="14"/>
  <c r="DX203" i="14"/>
  <c r="DZ201" i="14"/>
  <c r="DZ195" i="14" s="1"/>
  <c r="DY201" i="14"/>
  <c r="DY195" i="14"/>
  <c r="DX195" i="14"/>
  <c r="DY193" i="14"/>
  <c r="DY187" i="14"/>
  <c r="DZ177" i="14"/>
  <c r="DY177" i="14"/>
  <c r="DX177" i="14"/>
  <c r="DZ159" i="14"/>
  <c r="DY159" i="14"/>
  <c r="DX159" i="14"/>
  <c r="DZ156" i="14"/>
  <c r="DZ151" i="14" s="1"/>
  <c r="DY151" i="14"/>
  <c r="DX151" i="14"/>
  <c r="DY150" i="14"/>
  <c r="DZ143" i="14"/>
  <c r="DY142" i="14"/>
  <c r="DY137" i="14" s="1"/>
  <c r="DZ137" i="14"/>
  <c r="DX137" i="14"/>
  <c r="DY135" i="14"/>
  <c r="DY131" i="14"/>
  <c r="DY128" i="14" s="1"/>
  <c r="DZ128" i="14"/>
  <c r="DX128" i="14"/>
  <c r="DY121" i="14"/>
  <c r="DY114" i="14" s="1"/>
  <c r="DZ114" i="14"/>
  <c r="DX114" i="14"/>
  <c r="DY113" i="14"/>
  <c r="DZ104" i="14"/>
  <c r="DY104" i="14"/>
  <c r="DY103" i="14"/>
  <c r="DX94" i="14"/>
  <c r="DZ100" i="14"/>
  <c r="DY100" i="14"/>
  <c r="DY97" i="14"/>
  <c r="DY94" i="14" s="1"/>
  <c r="DZ94" i="14"/>
  <c r="DZ91" i="14"/>
  <c r="DZ90" i="14"/>
  <c r="DZ79" i="14"/>
  <c r="DY79" i="14"/>
  <c r="DX79" i="14"/>
  <c r="DZ57" i="14"/>
  <c r="DY57" i="14"/>
  <c r="DX57" i="14"/>
  <c r="DY49" i="14"/>
  <c r="DY39" i="14" s="1"/>
  <c r="DZ39" i="14"/>
  <c r="DX39" i="14"/>
  <c r="DY36" i="14"/>
  <c r="DY29" i="14"/>
  <c r="DY25" i="14"/>
  <c r="DZ20" i="14"/>
  <c r="DY20" i="14"/>
  <c r="DX20" i="14"/>
  <c r="DY19" i="14"/>
  <c r="DZ8" i="14"/>
  <c r="DY8" i="14"/>
  <c r="DX8" i="14"/>
  <c r="DZ6" i="14"/>
  <c r="DY6" i="14"/>
  <c r="DX6" i="14"/>
  <c r="DU328" i="14"/>
  <c r="DT328" i="14"/>
  <c r="DS328" i="14"/>
  <c r="DU317" i="14"/>
  <c r="DU331" i="14" s="1"/>
  <c r="DT317" i="14"/>
  <c r="DU314" i="14"/>
  <c r="DT314" i="14"/>
  <c r="DS314" i="14"/>
  <c r="DU307" i="14"/>
  <c r="DT302" i="14"/>
  <c r="DT299" i="14"/>
  <c r="DT298" i="14"/>
  <c r="DT297" i="14"/>
  <c r="DS289" i="14"/>
  <c r="DS286" i="14"/>
  <c r="DS283" i="14"/>
  <c r="DS280" i="14"/>
  <c r="DS277" i="14"/>
  <c r="DS274" i="14"/>
  <c r="DS271" i="14"/>
  <c r="DS268" i="14"/>
  <c r="DS267" i="14"/>
  <c r="DS293" i="14" s="1"/>
  <c r="DU255" i="14"/>
  <c r="DU242" i="14" s="1"/>
  <c r="DT242" i="14"/>
  <c r="DS242" i="14"/>
  <c r="DU230" i="14"/>
  <c r="DT230" i="14"/>
  <c r="DS230" i="14"/>
  <c r="DU220" i="14"/>
  <c r="DT220" i="14"/>
  <c r="DS220" i="14"/>
  <c r="DU215" i="14"/>
  <c r="DT215" i="14"/>
  <c r="DT207" i="14"/>
  <c r="DT203" i="14" s="1"/>
  <c r="DU203" i="14"/>
  <c r="DS203" i="14"/>
  <c r="DT202" i="14"/>
  <c r="DU201" i="14"/>
  <c r="DT201" i="14"/>
  <c r="DU195" i="14"/>
  <c r="DT195" i="14"/>
  <c r="DS195" i="14"/>
  <c r="DT193" i="14"/>
  <c r="DT177" i="14" s="1"/>
  <c r="DT187" i="14"/>
  <c r="DU177" i="14"/>
  <c r="DS177" i="14"/>
  <c r="DU159" i="14"/>
  <c r="DT159" i="14"/>
  <c r="DS159" i="14"/>
  <c r="DU156" i="14"/>
  <c r="DU151" i="14" s="1"/>
  <c r="DT151" i="14"/>
  <c r="DS151" i="14"/>
  <c r="DU143" i="14"/>
  <c r="DT142" i="14"/>
  <c r="DT137" i="14" s="1"/>
  <c r="DU141" i="14"/>
  <c r="DU137" i="14"/>
  <c r="DS137" i="14"/>
  <c r="DT135" i="14"/>
  <c r="DT131" i="14"/>
  <c r="DU128" i="14"/>
  <c r="DT128" i="14"/>
  <c r="DS128" i="14"/>
  <c r="DU114" i="14"/>
  <c r="DT114" i="14"/>
  <c r="DS114" i="14"/>
  <c r="DT113" i="14"/>
  <c r="DU104" i="14"/>
  <c r="DT104" i="14"/>
  <c r="DT103" i="14"/>
  <c r="DU100" i="14"/>
  <c r="DU94" i="14" s="1"/>
  <c r="DT100" i="14"/>
  <c r="DT97" i="14"/>
  <c r="DT94" i="14" s="1"/>
  <c r="DS94" i="14"/>
  <c r="DU91" i="14"/>
  <c r="DU79" i="14"/>
  <c r="DT79" i="14"/>
  <c r="DS79" i="14"/>
  <c r="DU73" i="14"/>
  <c r="DU57" i="14"/>
  <c r="DT57" i="14"/>
  <c r="DS57" i="14"/>
  <c r="DT49" i="14"/>
  <c r="DU39" i="14"/>
  <c r="DT39" i="14"/>
  <c r="DS39" i="14"/>
  <c r="DT36" i="14"/>
  <c r="DT29" i="14"/>
  <c r="DT25" i="14"/>
  <c r="DT20" i="14" s="1"/>
  <c r="DU20" i="14"/>
  <c r="DS20" i="14"/>
  <c r="DT19" i="14"/>
  <c r="DT12" i="14"/>
  <c r="DT11" i="14"/>
  <c r="DT8" i="14" s="1"/>
  <c r="DU8" i="14"/>
  <c r="DS8" i="14"/>
  <c r="DU6" i="14"/>
  <c r="DT6" i="14"/>
  <c r="DS6" i="14"/>
  <c r="BY328" i="14"/>
  <c r="BX328" i="14"/>
  <c r="BW328" i="14"/>
  <c r="BY314" i="14"/>
  <c r="BX314" i="14"/>
  <c r="BW314" i="14"/>
  <c r="BX302" i="14"/>
  <c r="BX299" i="14"/>
  <c r="BX298" i="14"/>
  <c r="BX297" i="14"/>
  <c r="BX296" i="14" s="1"/>
  <c r="BY293" i="14"/>
  <c r="BY307" i="14" s="1"/>
  <c r="BY317" i="14" s="1"/>
  <c r="BX293" i="14"/>
  <c r="BW289" i="14"/>
  <c r="BW286" i="14"/>
  <c r="BW283" i="14"/>
  <c r="BW280" i="14"/>
  <c r="BW277" i="14"/>
  <c r="BW274" i="14"/>
  <c r="BW271" i="14"/>
  <c r="BW268" i="14"/>
  <c r="BW267" i="14"/>
  <c r="BW293" i="14" s="1"/>
  <c r="BW307" i="14" s="1"/>
  <c r="BW317" i="14" s="1"/>
  <c r="BY261" i="14"/>
  <c r="BX261" i="14"/>
  <c r="BW261" i="14"/>
  <c r="BY255" i="14"/>
  <c r="BY242" i="14"/>
  <c r="BX242" i="14"/>
  <c r="BW242" i="14"/>
  <c r="BX239" i="14"/>
  <c r="BX231" i="14"/>
  <c r="BX230" i="14" s="1"/>
  <c r="BY230" i="14"/>
  <c r="BW230" i="14"/>
  <c r="BX221" i="14"/>
  <c r="BY220" i="14"/>
  <c r="BX220" i="14"/>
  <c r="BW220" i="14"/>
  <c r="BX217" i="14"/>
  <c r="BY215" i="14"/>
  <c r="BX215" i="14"/>
  <c r="BX207" i="14"/>
  <c r="BY203" i="14"/>
  <c r="BX203" i="14"/>
  <c r="BW203" i="14"/>
  <c r="BY201" i="14"/>
  <c r="BY195" i="14" s="1"/>
  <c r="BX201" i="14"/>
  <c r="BX195" i="14" s="1"/>
  <c r="BW195" i="14"/>
  <c r="BX193" i="14"/>
  <c r="BX187" i="14"/>
  <c r="BX183" i="14"/>
  <c r="BX177" i="14" s="1"/>
  <c r="BY177" i="14"/>
  <c r="BW177" i="14"/>
  <c r="BY159" i="14"/>
  <c r="BW159" i="14"/>
  <c r="BX157" i="14"/>
  <c r="BY151" i="14"/>
  <c r="BX154" i="14"/>
  <c r="BX151" i="14" s="1"/>
  <c r="BW151" i="14"/>
  <c r="BX150" i="14"/>
  <c r="BX148" i="14"/>
  <c r="BY143" i="14"/>
  <c r="BX142" i="14"/>
  <c r="BX141" i="14"/>
  <c r="BX137" i="14" s="1"/>
  <c r="BY137" i="14"/>
  <c r="BW137" i="14"/>
  <c r="BX135" i="14"/>
  <c r="BX131" i="14"/>
  <c r="BX128" i="14" s="1"/>
  <c r="BY128" i="14"/>
  <c r="BW128" i="14"/>
  <c r="BX125" i="14"/>
  <c r="BX114" i="14" s="1"/>
  <c r="BY124" i="14"/>
  <c r="BY114" i="14"/>
  <c r="BW114" i="14"/>
  <c r="BY104" i="14"/>
  <c r="BX104" i="14"/>
  <c r="BX103" i="14"/>
  <c r="BY100" i="14"/>
  <c r="BX100" i="14"/>
  <c r="BX94" i="14" s="1"/>
  <c r="BX97" i="14"/>
  <c r="BY94" i="14"/>
  <c r="BW94" i="14"/>
  <c r="BX93" i="14"/>
  <c r="BY91" i="14"/>
  <c r="BX90" i="14"/>
  <c r="BX85" i="14"/>
  <c r="BX79" i="14" s="1"/>
  <c r="BY79" i="14"/>
  <c r="BW79" i="14"/>
  <c r="BX78" i="14"/>
  <c r="BX65" i="14"/>
  <c r="BX57" i="14" s="1"/>
  <c r="BY57" i="14"/>
  <c r="BW57" i="14"/>
  <c r="BX53" i="14"/>
  <c r="BX49" i="14"/>
  <c r="BX39" i="14" s="1"/>
  <c r="BY48" i="14"/>
  <c r="BY39" i="14"/>
  <c r="BW39" i="14"/>
  <c r="BX36" i="14"/>
  <c r="BX29" i="14"/>
  <c r="BX28" i="14"/>
  <c r="BX25" i="14"/>
  <c r="BX23" i="14"/>
  <c r="BY21" i="14"/>
  <c r="BY20" i="14" s="1"/>
  <c r="BX20" i="14"/>
  <c r="BW20" i="14"/>
  <c r="BX19" i="14"/>
  <c r="BY11" i="14"/>
  <c r="BY8" i="14" s="1"/>
  <c r="BX11" i="14"/>
  <c r="BX8" i="14" s="1"/>
  <c r="BW8" i="14"/>
  <c r="BY6" i="14"/>
  <c r="BX6" i="14"/>
  <c r="BW6" i="14"/>
  <c r="BT328" i="14"/>
  <c r="BS328" i="14"/>
  <c r="BR328" i="14"/>
  <c r="BT314" i="14"/>
  <c r="BS314" i="14"/>
  <c r="BR314" i="14"/>
  <c r="BS302" i="14"/>
  <c r="BS299" i="14"/>
  <c r="BS298" i="14"/>
  <c r="BS297" i="14"/>
  <c r="BS296" i="14" s="1"/>
  <c r="BT293" i="14"/>
  <c r="BT307" i="14" s="1"/>
  <c r="BT317" i="14" s="1"/>
  <c r="BS293" i="14"/>
  <c r="BR289" i="14"/>
  <c r="BR286" i="14"/>
  <c r="BR283" i="14"/>
  <c r="BR280" i="14"/>
  <c r="BR277" i="14"/>
  <c r="BR274" i="14"/>
  <c r="BR271" i="14"/>
  <c r="BR268" i="14"/>
  <c r="BR267" i="14"/>
  <c r="BR293" i="14" s="1"/>
  <c r="BR307" i="14" s="1"/>
  <c r="BR317" i="14" s="1"/>
  <c r="BT261" i="14"/>
  <c r="BS261" i="14"/>
  <c r="BR261" i="14"/>
  <c r="BT255" i="14"/>
  <c r="BT242" i="14"/>
  <c r="BS242" i="14"/>
  <c r="BR242" i="14"/>
  <c r="BT230" i="14"/>
  <c r="BS230" i="14"/>
  <c r="BR230" i="14"/>
  <c r="BT220" i="14"/>
  <c r="BS220" i="14"/>
  <c r="BR220" i="14"/>
  <c r="BT215" i="14"/>
  <c r="BS215" i="14"/>
  <c r="BT203" i="14"/>
  <c r="BS207" i="14"/>
  <c r="BS203" i="14"/>
  <c r="BR203" i="14"/>
  <c r="BS202" i="14"/>
  <c r="BT195" i="14"/>
  <c r="BS195" i="14"/>
  <c r="BR195" i="14"/>
  <c r="BS193" i="14"/>
  <c r="BS187" i="14"/>
  <c r="BT177" i="14"/>
  <c r="BS183" i="14"/>
  <c r="BS177" i="14"/>
  <c r="BR177" i="14"/>
  <c r="BT159" i="14"/>
  <c r="BS159" i="14"/>
  <c r="BR159" i="14"/>
  <c r="BT151" i="14"/>
  <c r="BS154" i="14"/>
  <c r="BS151" i="14"/>
  <c r="BR151" i="14"/>
  <c r="BS150" i="14"/>
  <c r="BT143" i="14"/>
  <c r="BS142" i="14"/>
  <c r="BS137" i="14" s="1"/>
  <c r="BT141" i="14"/>
  <c r="BT137" i="14" s="1"/>
  <c r="BR137" i="14"/>
  <c r="BS135" i="14"/>
  <c r="BS128" i="14" s="1"/>
  <c r="BS131" i="14"/>
  <c r="BT128" i="14"/>
  <c r="BR128" i="14"/>
  <c r="BT114" i="14"/>
  <c r="BS114" i="14"/>
  <c r="BR114" i="14"/>
  <c r="BS109" i="14"/>
  <c r="BT104" i="14"/>
  <c r="BS104" i="14"/>
  <c r="BS103" i="14"/>
  <c r="BT100" i="14"/>
  <c r="BT94" i="14" s="1"/>
  <c r="BS100" i="14"/>
  <c r="BS97" i="14"/>
  <c r="BS94" i="14" s="1"/>
  <c r="BR94" i="14"/>
  <c r="BT91" i="14"/>
  <c r="BT79" i="14" s="1"/>
  <c r="BS85" i="14"/>
  <c r="BS79" i="14"/>
  <c r="BR79" i="14"/>
  <c r="BS78" i="14"/>
  <c r="BT57" i="14"/>
  <c r="BS57" i="14"/>
  <c r="BR57" i="14"/>
  <c r="BS53" i="14"/>
  <c r="BS49" i="14"/>
  <c r="BS39" i="14" s="1"/>
  <c r="BT48" i="14"/>
  <c r="BT39" i="14"/>
  <c r="BR39" i="14"/>
  <c r="BS36" i="14"/>
  <c r="BS29" i="14"/>
  <c r="BS25" i="14"/>
  <c r="BS20" i="14" s="1"/>
  <c r="BT21" i="14"/>
  <c r="BT20" i="14" s="1"/>
  <c r="BR20" i="14"/>
  <c r="BS19" i="14"/>
  <c r="BS12" i="14"/>
  <c r="BT11" i="14"/>
  <c r="BS11" i="14"/>
  <c r="BS8" i="14" s="1"/>
  <c r="BT8" i="14"/>
  <c r="BR8" i="14"/>
  <c r="BT6" i="14"/>
  <c r="BS6" i="14"/>
  <c r="BR6" i="14"/>
  <c r="BX307" i="14" l="1"/>
  <c r="BX317" i="14" s="1"/>
  <c r="DT296" i="14"/>
  <c r="DY296" i="14"/>
  <c r="DX307" i="14"/>
  <c r="BW258" i="14"/>
  <c r="BW260" i="14" s="1"/>
  <c r="BW264" i="14" s="1"/>
  <c r="DX258" i="14"/>
  <c r="DX260" i="14" s="1"/>
  <c r="DX294" i="14" s="1"/>
  <c r="DU258" i="14"/>
  <c r="DU260" i="14" s="1"/>
  <c r="DU264" i="14" s="1"/>
  <c r="DU292" i="14" s="1"/>
  <c r="DU294" i="14" s="1"/>
  <c r="DU318" i="14" s="1"/>
  <c r="DZ258" i="14"/>
  <c r="DZ260" i="14" s="1"/>
  <c r="DZ264" i="14" s="1"/>
  <c r="DZ292" i="14" s="1"/>
  <c r="DZ306" i="14" s="1"/>
  <c r="DS258" i="14"/>
  <c r="DS260" i="14" s="1"/>
  <c r="BR258" i="14"/>
  <c r="BR260" i="14" s="1"/>
  <c r="BR264" i="14" s="1"/>
  <c r="DY258" i="14"/>
  <c r="DY260" i="14" s="1"/>
  <c r="DY264" i="14" s="1"/>
  <c r="DY292" i="14" s="1"/>
  <c r="DY293" i="14" s="1"/>
  <c r="DY317" i="14" s="1"/>
  <c r="DY316" i="14" s="1"/>
  <c r="DY330" i="14" s="1"/>
  <c r="BY258" i="14"/>
  <c r="BY260" i="14" s="1"/>
  <c r="BY262" i="14" s="1"/>
  <c r="DX331" i="14"/>
  <c r="DT258" i="14"/>
  <c r="DT260" i="14" s="1"/>
  <c r="DT264" i="14" s="1"/>
  <c r="DT292" i="14" s="1"/>
  <c r="DT294" i="14" s="1"/>
  <c r="DT318" i="14" s="1"/>
  <c r="DT332" i="14" s="1"/>
  <c r="DS317" i="14"/>
  <c r="DS307" i="14"/>
  <c r="DT331" i="14"/>
  <c r="DS266" i="14"/>
  <c r="DS265" i="14" s="1"/>
  <c r="BW331" i="14"/>
  <c r="BX331" i="14"/>
  <c r="BY331" i="14"/>
  <c r="BW266" i="14"/>
  <c r="BW265" i="14" s="1"/>
  <c r="BT258" i="14"/>
  <c r="BT260" i="14" s="1"/>
  <c r="BT264" i="14" s="1"/>
  <c r="BT292" i="14" s="1"/>
  <c r="BT331" i="14"/>
  <c r="BS258" i="14"/>
  <c r="BS260" i="14" s="1"/>
  <c r="BS264" i="14" s="1"/>
  <c r="BS292" i="14" s="1"/>
  <c r="BR331" i="14"/>
  <c r="BS307" i="14"/>
  <c r="BS317" i="14" s="1"/>
  <c r="BR266" i="14"/>
  <c r="BR265" i="14" s="1"/>
  <c r="BN156" i="14"/>
  <c r="BW262" i="14" l="1"/>
  <c r="DS294" i="14"/>
  <c r="DS308" i="14" s="1"/>
  <c r="DY331" i="14"/>
  <c r="DX264" i="14"/>
  <c r="DX292" i="14" s="1"/>
  <c r="DX306" i="14" s="1"/>
  <c r="DS264" i="14"/>
  <c r="DS292" i="14" s="1"/>
  <c r="DS306" i="14" s="1"/>
  <c r="BW292" i="14"/>
  <c r="BW306" i="14" s="1"/>
  <c r="BR292" i="14"/>
  <c r="BR306" i="14" s="1"/>
  <c r="DU306" i="14"/>
  <c r="DZ293" i="14"/>
  <c r="DZ307" i="14" s="1"/>
  <c r="BY264" i="14"/>
  <c r="BY292" i="14" s="1"/>
  <c r="BY306" i="14" s="1"/>
  <c r="DT316" i="14"/>
  <c r="DT330" i="14" s="1"/>
  <c r="DX308" i="14"/>
  <c r="DX318" i="14"/>
  <c r="DS318" i="14"/>
  <c r="DS332" i="14" s="1"/>
  <c r="DU316" i="14"/>
  <c r="DU330" i="14" s="1"/>
  <c r="DU332" i="14"/>
  <c r="DS331" i="14"/>
  <c r="BW294" i="14"/>
  <c r="BW308" i="14" s="1"/>
  <c r="BW318" i="14" s="1"/>
  <c r="BS331" i="14"/>
  <c r="BT306" i="14"/>
  <c r="BT294" i="14"/>
  <c r="BT308" i="14" s="1"/>
  <c r="BT318" i="14" s="1"/>
  <c r="BS306" i="14"/>
  <c r="BS294" i="14"/>
  <c r="BS308" i="14" s="1"/>
  <c r="BS318" i="14" s="1"/>
  <c r="BS332" i="14" s="1"/>
  <c r="BR294" i="14"/>
  <c r="BR308" i="14" s="1"/>
  <c r="BR318" i="14" s="1"/>
  <c r="BN73" i="14"/>
  <c r="BN63" i="14"/>
  <c r="BN239" i="14"/>
  <c r="BN231" i="14"/>
  <c r="DZ317" i="14" l="1"/>
  <c r="DZ316" i="14" s="1"/>
  <c r="DZ330" i="14" s="1"/>
  <c r="BY294" i="14"/>
  <c r="BY308" i="14" s="1"/>
  <c r="BY318" i="14" s="1"/>
  <c r="BY332" i="14" s="1"/>
  <c r="BS316" i="14"/>
  <c r="BS330" i="14" s="1"/>
  <c r="DX332" i="14"/>
  <c r="DX316" i="14"/>
  <c r="DX330" i="14" s="1"/>
  <c r="DS316" i="14"/>
  <c r="DS330" i="14" s="1"/>
  <c r="BW332" i="14"/>
  <c r="BW316" i="14"/>
  <c r="BW330" i="14" s="1"/>
  <c r="BT332" i="14"/>
  <c r="BT316" i="14"/>
  <c r="BT330" i="14" s="1"/>
  <c r="BR332" i="14"/>
  <c r="BR316" i="14"/>
  <c r="BR330" i="14" s="1"/>
  <c r="BO207" i="14"/>
  <c r="DZ331" i="14" l="1"/>
  <c r="BY316" i="14"/>
  <c r="BY330" i="14" s="1"/>
  <c r="V264" i="14" l="1"/>
  <c r="U264" i="14"/>
  <c r="Z255" i="14" l="1"/>
  <c r="X275" i="14"/>
  <c r="X36" i="14" l="1"/>
  <c r="X149" i="14"/>
  <c r="X101" i="14"/>
  <c r="X109" i="14"/>
  <c r="X69" i="14"/>
  <c r="X162" i="14" l="1"/>
  <c r="BN113" i="14" l="1"/>
  <c r="BN65" i="14"/>
  <c r="BN131" i="14" l="1"/>
  <c r="BO141" i="14" l="1"/>
  <c r="BO11" i="14" l="1"/>
  <c r="BN150" i="14"/>
  <c r="AT150" i="14"/>
  <c r="AT30" i="14"/>
  <c r="BN11" i="14" l="1"/>
  <c r="BN25" i="14"/>
  <c r="AT219" i="14" l="1"/>
  <c r="AU255" i="14" l="1"/>
  <c r="BN53" i="14" l="1"/>
  <c r="BN85" i="14"/>
  <c r="BN183" i="14"/>
  <c r="BN49" i="14"/>
  <c r="AT239" i="14"/>
  <c r="AT11" i="14" l="1"/>
  <c r="AT231" i="14"/>
  <c r="BO201" i="14" l="1"/>
  <c r="BN201" i="14"/>
  <c r="BO48" i="14" l="1"/>
  <c r="BN207" i="14" l="1"/>
  <c r="BN12" i="14"/>
  <c r="BN78" i="14" l="1"/>
  <c r="BO21" i="14" l="1"/>
  <c r="BO143" i="14" l="1"/>
  <c r="BO255" i="14"/>
  <c r="BN103" i="14"/>
  <c r="AU82" i="14" l="1"/>
  <c r="AT225" i="14"/>
  <c r="AT229" i="14" l="1"/>
  <c r="AU33" i="14"/>
  <c r="BN36" i="14" l="1"/>
  <c r="BN202" i="14" l="1"/>
  <c r="BN135" i="14"/>
  <c r="AS275" i="14" l="1"/>
  <c r="BN109" i="14" l="1"/>
  <c r="DR54" i="14" l="1"/>
  <c r="DW54" i="14"/>
  <c r="AS109" i="14"/>
  <c r="AS101" i="14"/>
  <c r="AS149" i="14" l="1"/>
  <c r="AS162" i="14"/>
  <c r="AT178" i="14"/>
  <c r="BN29" i="14" l="1"/>
  <c r="ED264" i="14" l="1"/>
  <c r="EC289" i="14"/>
  <c r="BN19" i="14" l="1"/>
  <c r="AT56" i="14" l="1"/>
  <c r="AT201" i="14" l="1"/>
  <c r="AT160" i="14"/>
  <c r="AT73" i="14"/>
  <c r="AU91" i="14" l="1"/>
  <c r="AU93" i="14"/>
  <c r="AT93" i="14"/>
  <c r="BN100" i="14"/>
  <c r="AS69" i="14" l="1"/>
  <c r="AT174" i="14"/>
  <c r="AT12" i="14"/>
  <c r="AT221" i="14"/>
  <c r="AT19" i="14"/>
  <c r="AT44" i="14"/>
  <c r="BO104" i="14" l="1"/>
  <c r="BN104" i="14"/>
  <c r="BN142" i="14"/>
  <c r="BO91" i="14"/>
  <c r="BN154" i="14"/>
  <c r="BN193" i="14"/>
  <c r="BO100" i="14"/>
  <c r="Y251" i="14"/>
  <c r="Y250" i="14"/>
  <c r="Y219" i="14"/>
  <c r="Y217" i="14"/>
  <c r="Y201" i="14"/>
  <c r="Y199" i="14"/>
  <c r="Y194" i="14"/>
  <c r="Y191" i="14"/>
  <c r="Y181" i="14"/>
  <c r="Y178" i="14"/>
  <c r="Y173" i="14"/>
  <c r="Y169" i="14"/>
  <c r="Y167" i="14"/>
  <c r="Y160" i="14"/>
  <c r="Y122" i="14"/>
  <c r="Y118" i="14"/>
  <c r="Y115" i="14"/>
  <c r="Y90" i="14"/>
  <c r="Y83" i="14"/>
  <c r="Y82" i="14"/>
  <c r="Y80" i="14"/>
  <c r="Y78" i="14"/>
  <c r="Y73" i="14"/>
  <c r="Y68" i="14"/>
  <c r="BN62" i="14" l="1"/>
  <c r="BO215" i="14" l="1"/>
  <c r="BN215" i="14" l="1"/>
  <c r="AU227" i="14" l="1"/>
  <c r="AT190" i="14" l="1"/>
  <c r="AT69" i="14" l="1"/>
  <c r="BO73" i="14"/>
  <c r="DV328" i="14" l="1"/>
  <c r="DW327" i="14"/>
  <c r="DW328" i="14" s="1"/>
  <c r="DR327" i="14"/>
  <c r="DR328" i="14" s="1"/>
  <c r="DV317" i="14"/>
  <c r="DW312" i="14"/>
  <c r="DR312" i="14"/>
  <c r="DW311" i="14"/>
  <c r="DR311" i="14"/>
  <c r="DW310" i="14"/>
  <c r="DR310" i="14"/>
  <c r="DV307" i="14"/>
  <c r="DW303" i="14"/>
  <c r="DW302" i="14" s="1"/>
  <c r="DR303" i="14"/>
  <c r="DR302" i="14" s="1"/>
  <c r="DW299" i="14"/>
  <c r="DR299" i="14"/>
  <c r="DW298" i="14"/>
  <c r="DR298" i="14"/>
  <c r="DW291" i="14"/>
  <c r="DR291" i="14"/>
  <c r="DW290" i="14"/>
  <c r="DR290" i="14"/>
  <c r="DW289" i="14"/>
  <c r="DR289" i="14"/>
  <c r="DW288" i="14"/>
  <c r="DR288" i="14"/>
  <c r="DW287" i="14"/>
  <c r="DR287" i="14"/>
  <c r="DW286" i="14"/>
  <c r="DR286" i="14"/>
  <c r="DW285" i="14"/>
  <c r="DR285" i="14"/>
  <c r="DW284" i="14"/>
  <c r="DR284" i="14"/>
  <c r="DW283" i="14"/>
  <c r="DR283" i="14"/>
  <c r="DW282" i="14"/>
  <c r="DR282" i="14"/>
  <c r="DW281" i="14"/>
  <c r="DR281" i="14"/>
  <c r="DW280" i="14"/>
  <c r="DR280" i="14"/>
  <c r="DW279" i="14"/>
  <c r="DR279" i="14"/>
  <c r="DW278" i="14"/>
  <c r="DR278" i="14"/>
  <c r="DW277" i="14"/>
  <c r="DR277" i="14"/>
  <c r="DW276" i="14"/>
  <c r="DR276" i="14"/>
  <c r="DW275" i="14"/>
  <c r="DR275" i="14"/>
  <c r="DW274" i="14"/>
  <c r="DR274" i="14"/>
  <c r="DW273" i="14"/>
  <c r="DR273" i="14"/>
  <c r="DW272" i="14"/>
  <c r="DR272" i="14"/>
  <c r="DW271" i="14"/>
  <c r="DR271" i="14"/>
  <c r="DW270" i="14"/>
  <c r="DR270" i="14"/>
  <c r="DW269" i="14"/>
  <c r="DR269" i="14"/>
  <c r="DW268" i="14"/>
  <c r="DR268" i="14"/>
  <c r="DW267" i="14"/>
  <c r="DW266" i="14"/>
  <c r="DR263" i="14"/>
  <c r="DW257" i="14"/>
  <c r="DR257" i="14"/>
  <c r="DW256" i="14"/>
  <c r="DR256" i="14"/>
  <c r="DW255" i="14"/>
  <c r="DR255" i="14"/>
  <c r="DW254" i="14"/>
  <c r="DR254" i="14"/>
  <c r="DW253" i="14"/>
  <c r="DR253" i="14"/>
  <c r="DW252" i="14"/>
  <c r="DR252" i="14"/>
  <c r="DW251" i="14"/>
  <c r="DR251" i="14"/>
  <c r="DW250" i="14"/>
  <c r="DR250" i="14"/>
  <c r="DW249" i="14"/>
  <c r="DR249" i="14"/>
  <c r="DW248" i="14"/>
  <c r="DR248" i="14"/>
  <c r="DW247" i="14"/>
  <c r="DR247" i="14"/>
  <c r="DW246" i="14"/>
  <c r="DR246" i="14"/>
  <c r="DW245" i="14"/>
  <c r="DR245" i="14"/>
  <c r="DW244" i="14"/>
  <c r="DR244" i="14"/>
  <c r="DW243" i="14"/>
  <c r="DR243" i="14"/>
  <c r="DV242" i="14"/>
  <c r="DW241" i="14"/>
  <c r="DR241" i="14"/>
  <c r="DW240" i="14"/>
  <c r="DR240" i="14"/>
  <c r="DW239" i="14"/>
  <c r="DR239" i="14"/>
  <c r="DW238" i="14"/>
  <c r="DR238" i="14"/>
  <c r="DW237" i="14"/>
  <c r="DR237" i="14"/>
  <c r="DW236" i="14"/>
  <c r="DR236" i="14"/>
  <c r="DW235" i="14"/>
  <c r="DR235" i="14"/>
  <c r="DW234" i="14"/>
  <c r="DR234" i="14"/>
  <c r="DW233" i="14"/>
  <c r="DR233" i="14"/>
  <c r="DW232" i="14"/>
  <c r="DR232" i="14"/>
  <c r="DW231" i="14"/>
  <c r="DR231" i="14"/>
  <c r="DV230" i="14"/>
  <c r="DW229" i="14"/>
  <c r="DR229" i="14"/>
  <c r="DW228" i="14"/>
  <c r="DR228" i="14"/>
  <c r="DW227" i="14"/>
  <c r="DR227" i="14"/>
  <c r="DW226" i="14"/>
  <c r="DR226" i="14"/>
  <c r="DW225" i="14"/>
  <c r="DR225" i="14"/>
  <c r="DW224" i="14"/>
  <c r="DR224" i="14"/>
  <c r="DW223" i="14"/>
  <c r="DR223" i="14"/>
  <c r="DW222" i="14"/>
  <c r="DR222" i="14"/>
  <c r="DW221" i="14"/>
  <c r="DR221" i="14"/>
  <c r="DV220" i="14"/>
  <c r="DW219" i="14"/>
  <c r="DR219" i="14"/>
  <c r="DW218" i="14"/>
  <c r="DR218" i="14"/>
  <c r="DW217" i="14"/>
  <c r="DR217" i="14"/>
  <c r="DW216" i="14"/>
  <c r="DR216" i="14"/>
  <c r="DW215" i="14"/>
  <c r="DR215" i="14"/>
  <c r="DW214" i="14"/>
  <c r="DR214" i="14"/>
  <c r="DW213" i="14"/>
  <c r="DR213" i="14"/>
  <c r="DW212" i="14"/>
  <c r="DR212" i="14"/>
  <c r="DW211" i="14"/>
  <c r="DR211" i="14"/>
  <c r="DW210" i="14"/>
  <c r="DR210" i="14"/>
  <c r="DW209" i="14"/>
  <c r="DR209" i="14"/>
  <c r="DW208" i="14"/>
  <c r="DR208" i="14"/>
  <c r="DW207" i="14"/>
  <c r="DR207" i="14"/>
  <c r="DW206" i="14"/>
  <c r="DR206" i="14"/>
  <c r="DW205" i="14"/>
  <c r="DR205" i="14"/>
  <c r="DW204" i="14"/>
  <c r="DR204" i="14"/>
  <c r="DV203" i="14"/>
  <c r="DW202" i="14"/>
  <c r="DR202" i="14"/>
  <c r="DW201" i="14"/>
  <c r="DR201" i="14"/>
  <c r="DW200" i="14"/>
  <c r="DR200" i="14"/>
  <c r="DW199" i="14"/>
  <c r="DR199" i="14"/>
  <c r="DW198" i="14"/>
  <c r="DR198" i="14"/>
  <c r="DW197" i="14"/>
  <c r="DR197" i="14"/>
  <c r="DW196" i="14"/>
  <c r="DR196" i="14"/>
  <c r="DV195" i="14"/>
  <c r="DW194" i="14"/>
  <c r="DR194" i="14"/>
  <c r="DW193" i="14"/>
  <c r="DR193" i="14"/>
  <c r="DW192" i="14"/>
  <c r="DR192" i="14"/>
  <c r="DW191" i="14"/>
  <c r="DR191" i="14"/>
  <c r="DW190" i="14"/>
  <c r="DR190" i="14"/>
  <c r="DW189" i="14"/>
  <c r="DR189" i="14"/>
  <c r="DW188" i="14"/>
  <c r="DR188" i="14"/>
  <c r="DW187" i="14"/>
  <c r="DR187" i="14"/>
  <c r="DW186" i="14"/>
  <c r="DR186" i="14"/>
  <c r="DW185" i="14"/>
  <c r="DR185" i="14"/>
  <c r="DW184" i="14"/>
  <c r="DR184" i="14"/>
  <c r="DW183" i="14"/>
  <c r="DR183" i="14"/>
  <c r="DW182" i="14"/>
  <c r="DR182" i="14"/>
  <c r="DW181" i="14"/>
  <c r="DR181" i="14"/>
  <c r="DW180" i="14"/>
  <c r="DR180" i="14"/>
  <c r="DW179" i="14"/>
  <c r="DR179" i="14"/>
  <c r="DW178" i="14"/>
  <c r="DR178" i="14"/>
  <c r="DV177" i="14"/>
  <c r="DW176" i="14"/>
  <c r="DR176" i="14"/>
  <c r="DW175" i="14"/>
  <c r="DR175" i="14"/>
  <c r="DW174" i="14"/>
  <c r="DR174" i="14"/>
  <c r="DW173" i="14"/>
  <c r="DR173" i="14"/>
  <c r="DW172" i="14"/>
  <c r="DR172" i="14"/>
  <c r="DW171" i="14"/>
  <c r="DR171" i="14"/>
  <c r="DW170" i="14"/>
  <c r="DR170" i="14"/>
  <c r="DW169" i="14"/>
  <c r="DR169" i="14"/>
  <c r="DW168" i="14"/>
  <c r="DR168" i="14"/>
  <c r="DW167" i="14"/>
  <c r="DR167" i="14"/>
  <c r="DW166" i="14"/>
  <c r="DR166" i="14"/>
  <c r="DW165" i="14"/>
  <c r="DR165" i="14"/>
  <c r="DW164" i="14"/>
  <c r="DR164" i="14"/>
  <c r="DW163" i="14"/>
  <c r="DR163" i="14"/>
  <c r="DW162" i="14"/>
  <c r="DR162" i="14"/>
  <c r="DW161" i="14"/>
  <c r="DR161" i="14"/>
  <c r="DW160" i="14"/>
  <c r="DR160" i="14"/>
  <c r="DV159" i="14"/>
  <c r="DW158" i="14"/>
  <c r="DR158" i="14"/>
  <c r="DW157" i="14"/>
  <c r="DR157" i="14"/>
  <c r="DW156" i="14"/>
  <c r="DR156" i="14"/>
  <c r="DW155" i="14"/>
  <c r="DR155" i="14"/>
  <c r="DW154" i="14"/>
  <c r="DR154" i="14"/>
  <c r="DW153" i="14"/>
  <c r="DR153" i="14"/>
  <c r="DW152" i="14"/>
  <c r="DR152" i="14"/>
  <c r="DV151" i="14"/>
  <c r="DW150" i="14"/>
  <c r="DR150" i="14"/>
  <c r="DW149" i="14"/>
  <c r="DR149" i="14"/>
  <c r="DW148" i="14"/>
  <c r="DR148" i="14"/>
  <c r="DW147" i="14"/>
  <c r="DR147" i="14"/>
  <c r="DW146" i="14"/>
  <c r="DR146" i="14"/>
  <c r="DW145" i="14"/>
  <c r="DR145" i="14"/>
  <c r="DW144" i="14"/>
  <c r="DR144" i="14"/>
  <c r="DW143" i="14"/>
  <c r="DR143" i="14"/>
  <c r="DW142" i="14"/>
  <c r="DR142" i="14"/>
  <c r="DW141" i="14"/>
  <c r="DR141" i="14"/>
  <c r="DW140" i="14"/>
  <c r="DR140" i="14"/>
  <c r="DW139" i="14"/>
  <c r="DR139" i="14"/>
  <c r="DW138" i="14"/>
  <c r="DR138" i="14"/>
  <c r="DV137" i="14"/>
  <c r="DW136" i="14"/>
  <c r="DR136" i="14"/>
  <c r="DW135" i="14"/>
  <c r="DR135" i="14"/>
  <c r="DW134" i="14"/>
  <c r="DR134" i="14"/>
  <c r="DW133" i="14"/>
  <c r="DR133" i="14"/>
  <c r="DW132" i="14"/>
  <c r="DR132" i="14"/>
  <c r="DW131" i="14"/>
  <c r="DR131" i="14"/>
  <c r="DW130" i="14"/>
  <c r="DR130" i="14"/>
  <c r="DW129" i="14"/>
  <c r="DR129" i="14"/>
  <c r="DV128" i="14"/>
  <c r="DW127" i="14"/>
  <c r="DR127" i="14"/>
  <c r="DW126" i="14"/>
  <c r="DR126" i="14"/>
  <c r="DW125" i="14"/>
  <c r="DR125" i="14"/>
  <c r="DW124" i="14"/>
  <c r="DR124" i="14"/>
  <c r="DW123" i="14"/>
  <c r="DR123" i="14"/>
  <c r="DW122" i="14"/>
  <c r="DR122" i="14"/>
  <c r="DW121" i="14"/>
  <c r="DR121" i="14"/>
  <c r="DW120" i="14"/>
  <c r="DR120" i="14"/>
  <c r="DW119" i="14"/>
  <c r="DR119" i="14"/>
  <c r="DW118" i="14"/>
  <c r="DR118" i="14"/>
  <c r="DW117" i="14"/>
  <c r="DR117" i="14"/>
  <c r="DW116" i="14"/>
  <c r="DR116" i="14"/>
  <c r="DW115" i="14"/>
  <c r="DR115" i="14"/>
  <c r="DV114" i="14"/>
  <c r="DW113" i="14"/>
  <c r="DR113" i="14"/>
  <c r="DW112" i="14"/>
  <c r="DR112" i="14"/>
  <c r="DW111" i="14"/>
  <c r="DR111" i="14"/>
  <c r="DW110" i="14"/>
  <c r="DR110" i="14"/>
  <c r="DW109" i="14"/>
  <c r="DR109" i="14"/>
  <c r="DW108" i="14"/>
  <c r="DR108" i="14"/>
  <c r="DW107" i="14"/>
  <c r="DR107" i="14"/>
  <c r="DW106" i="14"/>
  <c r="DR106" i="14"/>
  <c r="DW105" i="14"/>
  <c r="DR105" i="14"/>
  <c r="DW104" i="14"/>
  <c r="DR104" i="14"/>
  <c r="DW103" i="14"/>
  <c r="DR103" i="14"/>
  <c r="DW102" i="14"/>
  <c r="DR102" i="14"/>
  <c r="DW101" i="14"/>
  <c r="DR101" i="14"/>
  <c r="DW100" i="14"/>
  <c r="DR100" i="14"/>
  <c r="DW99" i="14"/>
  <c r="DR99" i="14"/>
  <c r="DW98" i="14"/>
  <c r="DR98" i="14"/>
  <c r="DR97" i="14"/>
  <c r="DW96" i="14"/>
  <c r="DR96" i="14"/>
  <c r="DW95" i="14"/>
  <c r="DR95" i="14"/>
  <c r="DV94" i="14"/>
  <c r="DW93" i="14"/>
  <c r="DR93" i="14"/>
  <c r="DW92" i="14"/>
  <c r="DR92" i="14"/>
  <c r="DW91" i="14"/>
  <c r="DR91" i="14"/>
  <c r="DW90" i="14"/>
  <c r="DR90" i="14"/>
  <c r="DW89" i="14"/>
  <c r="DR89" i="14"/>
  <c r="DW88" i="14"/>
  <c r="DR88" i="14"/>
  <c r="DW87" i="14"/>
  <c r="DR87" i="14"/>
  <c r="DW86" i="14"/>
  <c r="DR86" i="14"/>
  <c r="DW85" i="14"/>
  <c r="DR85" i="14"/>
  <c r="DW84" i="14"/>
  <c r="DR84" i="14"/>
  <c r="DW83" i="14"/>
  <c r="DR83" i="14"/>
  <c r="DW82" i="14"/>
  <c r="DR82" i="14"/>
  <c r="DW81" i="14"/>
  <c r="DR81" i="14"/>
  <c r="DW80" i="14"/>
  <c r="DR80" i="14"/>
  <c r="DV79" i="14"/>
  <c r="DW78" i="14"/>
  <c r="DR78" i="14"/>
  <c r="DW77" i="14"/>
  <c r="DR77" i="14"/>
  <c r="DW76" i="14"/>
  <c r="DR76" i="14"/>
  <c r="DW75" i="14"/>
  <c r="DR75" i="14"/>
  <c r="DW74" i="14"/>
  <c r="DR74" i="14"/>
  <c r="DW73" i="14"/>
  <c r="DR73" i="14"/>
  <c r="DW72" i="14"/>
  <c r="DR72" i="14"/>
  <c r="DW71" i="14"/>
  <c r="DR71" i="14"/>
  <c r="DW70" i="14"/>
  <c r="DR70" i="14"/>
  <c r="DW69" i="14"/>
  <c r="DR69" i="14"/>
  <c r="DW68" i="14"/>
  <c r="DR68" i="14"/>
  <c r="DW67" i="14"/>
  <c r="DR67" i="14"/>
  <c r="DW66" i="14"/>
  <c r="DR66" i="14"/>
  <c r="DW65" i="14"/>
  <c r="DR65" i="14"/>
  <c r="DW64" i="14"/>
  <c r="DR64" i="14"/>
  <c r="DW63" i="14"/>
  <c r="DR63" i="14"/>
  <c r="DW62" i="14"/>
  <c r="DR62" i="14"/>
  <c r="DW61" i="14"/>
  <c r="DR61" i="14"/>
  <c r="DW60" i="14"/>
  <c r="DR60" i="14"/>
  <c r="DW59" i="14"/>
  <c r="DR59" i="14"/>
  <c r="DW58" i="14"/>
  <c r="DR58" i="14"/>
  <c r="DV57" i="14"/>
  <c r="DW56" i="14"/>
  <c r="DR56" i="14"/>
  <c r="DW55" i="14"/>
  <c r="DR55" i="14"/>
  <c r="DW53" i="14"/>
  <c r="DR53" i="14"/>
  <c r="DW52" i="14"/>
  <c r="DR52" i="14"/>
  <c r="DW51" i="14"/>
  <c r="DR51" i="14"/>
  <c r="DW50" i="14"/>
  <c r="DR50" i="14"/>
  <c r="DW49" i="14"/>
  <c r="DR49" i="14"/>
  <c r="DW48" i="14"/>
  <c r="DR48" i="14"/>
  <c r="DW47" i="14"/>
  <c r="DR47" i="14"/>
  <c r="DW46" i="14"/>
  <c r="DR46" i="14"/>
  <c r="DW45" i="14"/>
  <c r="DR45" i="14"/>
  <c r="DW44" i="14"/>
  <c r="DR44" i="14"/>
  <c r="DW43" i="14"/>
  <c r="DR43" i="14"/>
  <c r="DW42" i="14"/>
  <c r="DR42" i="14"/>
  <c r="DW41" i="14"/>
  <c r="DR41" i="14"/>
  <c r="DW40" i="14"/>
  <c r="DR40" i="14"/>
  <c r="DV39" i="14"/>
  <c r="DW38" i="14"/>
  <c r="DR38" i="14"/>
  <c r="DW37" i="14"/>
  <c r="DR37" i="14"/>
  <c r="DW36" i="14"/>
  <c r="DR36" i="14"/>
  <c r="DW35" i="14"/>
  <c r="DR35" i="14"/>
  <c r="DW34" i="14"/>
  <c r="DR34" i="14"/>
  <c r="DW33" i="14"/>
  <c r="DR33" i="14"/>
  <c r="DW32" i="14"/>
  <c r="DR32" i="14"/>
  <c r="DW31" i="14"/>
  <c r="DR31" i="14"/>
  <c r="DW30" i="14"/>
  <c r="DR30" i="14"/>
  <c r="DW29" i="14"/>
  <c r="DR29" i="14"/>
  <c r="DW28" i="14"/>
  <c r="DR28" i="14"/>
  <c r="DW27" i="14"/>
  <c r="DR27" i="14"/>
  <c r="DW26" i="14"/>
  <c r="DR26" i="14"/>
  <c r="DW25" i="14"/>
  <c r="DR25" i="14"/>
  <c r="DW24" i="14"/>
  <c r="DR24" i="14"/>
  <c r="DW23" i="14"/>
  <c r="DR23" i="14"/>
  <c r="DW22" i="14"/>
  <c r="DR22" i="14"/>
  <c r="DW21" i="14"/>
  <c r="DR21" i="14"/>
  <c r="DV20" i="14"/>
  <c r="DW19" i="14"/>
  <c r="DR19" i="14"/>
  <c r="DW18" i="14"/>
  <c r="DR18" i="14"/>
  <c r="DW17" i="14"/>
  <c r="DR17" i="14"/>
  <c r="DW16" i="14"/>
  <c r="DR16" i="14"/>
  <c r="DW15" i="14"/>
  <c r="DR15" i="14"/>
  <c r="DW14" i="14"/>
  <c r="DR14" i="14"/>
  <c r="DW13" i="14"/>
  <c r="DR13" i="14"/>
  <c r="DW12" i="14"/>
  <c r="DR12" i="14"/>
  <c r="DW11" i="14"/>
  <c r="DR11" i="14"/>
  <c r="DW10" i="14"/>
  <c r="DR10" i="14"/>
  <c r="DW9" i="14"/>
  <c r="DR9" i="14"/>
  <c r="DV8" i="14"/>
  <c r="DW7" i="14"/>
  <c r="DR7" i="14"/>
  <c r="DV6" i="14"/>
  <c r="BU328" i="14"/>
  <c r="BV327" i="14"/>
  <c r="BV328" i="14" s="1"/>
  <c r="BQ327" i="14"/>
  <c r="BQ328" i="14" s="1"/>
  <c r="BU314" i="14"/>
  <c r="BV312" i="14"/>
  <c r="BQ312" i="14"/>
  <c r="BV311" i="14"/>
  <c r="BQ311" i="14"/>
  <c r="BV310" i="14"/>
  <c r="BQ310" i="14"/>
  <c r="BV302" i="14"/>
  <c r="BQ302" i="14"/>
  <c r="BV299" i="14"/>
  <c r="BQ299" i="14"/>
  <c r="BV298" i="14"/>
  <c r="BQ298" i="14"/>
  <c r="BV297" i="14"/>
  <c r="BV296" i="14" s="1"/>
  <c r="BQ297" i="14"/>
  <c r="BQ296" i="14" s="1"/>
  <c r="BU293" i="14"/>
  <c r="BU307" i="14" s="1"/>
  <c r="BU317" i="14" s="1"/>
  <c r="BV291" i="14"/>
  <c r="BQ291" i="14"/>
  <c r="BV290" i="14"/>
  <c r="BQ290" i="14"/>
  <c r="BV288" i="14"/>
  <c r="BQ288" i="14"/>
  <c r="BV287" i="14"/>
  <c r="BQ287" i="14"/>
  <c r="BV285" i="14"/>
  <c r="BQ285" i="14"/>
  <c r="BV284" i="14"/>
  <c r="BV283" i="14" s="1"/>
  <c r="BQ284" i="14"/>
  <c r="BV282" i="14"/>
  <c r="BQ282" i="14"/>
  <c r="BV281" i="14"/>
  <c r="BV280" i="14" s="1"/>
  <c r="BQ281" i="14"/>
  <c r="BQ279" i="14"/>
  <c r="BV278" i="14"/>
  <c r="BV277" i="14" s="1"/>
  <c r="BQ278" i="14"/>
  <c r="BV276" i="14"/>
  <c r="BQ276" i="14"/>
  <c r="BV275" i="14"/>
  <c r="BQ275" i="14"/>
  <c r="BV273" i="14"/>
  <c r="BQ273" i="14"/>
  <c r="BV272" i="14"/>
  <c r="BQ272" i="14"/>
  <c r="BV270" i="14"/>
  <c r="BQ270" i="14"/>
  <c r="BV269" i="14"/>
  <c r="BQ269" i="14"/>
  <c r="BV263" i="14"/>
  <c r="BQ263" i="14"/>
  <c r="BU261" i="14"/>
  <c r="BQ259" i="14"/>
  <c r="BV257" i="14"/>
  <c r="BQ257" i="14"/>
  <c r="BV256" i="14"/>
  <c r="BQ256" i="14"/>
  <c r="BV255" i="14"/>
  <c r="BQ255" i="14"/>
  <c r="BV254" i="14"/>
  <c r="BQ254" i="14"/>
  <c r="BV253" i="14"/>
  <c r="BQ253" i="14"/>
  <c r="BV252" i="14"/>
  <c r="BQ252" i="14"/>
  <c r="BV251" i="14"/>
  <c r="BQ251" i="14"/>
  <c r="BV250" i="14"/>
  <c r="BQ250" i="14"/>
  <c r="BV249" i="14"/>
  <c r="BQ249" i="14"/>
  <c r="BV248" i="14"/>
  <c r="BQ248" i="14"/>
  <c r="BV247" i="14"/>
  <c r="BQ247" i="14"/>
  <c r="BV246" i="14"/>
  <c r="BQ246" i="14"/>
  <c r="BV245" i="14"/>
  <c r="BQ245" i="14"/>
  <c r="BV244" i="14"/>
  <c r="BQ244" i="14"/>
  <c r="BV243" i="14"/>
  <c r="BQ243" i="14"/>
  <c r="BU242" i="14"/>
  <c r="BV241" i="14"/>
  <c r="BQ241" i="14"/>
  <c r="BV240" i="14"/>
  <c r="BQ240" i="14"/>
  <c r="BV239" i="14"/>
  <c r="BQ239" i="14"/>
  <c r="BV238" i="14"/>
  <c r="BQ238" i="14"/>
  <c r="BV237" i="14"/>
  <c r="BQ237" i="14"/>
  <c r="BV236" i="14"/>
  <c r="BQ236" i="14"/>
  <c r="BV235" i="14"/>
  <c r="BQ235" i="14"/>
  <c r="BV234" i="14"/>
  <c r="BQ234" i="14"/>
  <c r="BV233" i="14"/>
  <c r="BQ233" i="14"/>
  <c r="BV232" i="14"/>
  <c r="BQ232" i="14"/>
  <c r="BV231" i="14"/>
  <c r="BQ231" i="14"/>
  <c r="P231" i="14" s="1"/>
  <c r="BU230" i="14"/>
  <c r="BV229" i="14"/>
  <c r="BQ229" i="14"/>
  <c r="BV228" i="14"/>
  <c r="BQ228" i="14"/>
  <c r="BV227" i="14"/>
  <c r="BQ227" i="14"/>
  <c r="BV226" i="14"/>
  <c r="BQ226" i="14"/>
  <c r="P226" i="14" s="1"/>
  <c r="BV225" i="14"/>
  <c r="BQ225" i="14"/>
  <c r="BV224" i="14"/>
  <c r="BQ224" i="14"/>
  <c r="BV223" i="14"/>
  <c r="BQ223" i="14"/>
  <c r="BV222" i="14"/>
  <c r="BQ222" i="14"/>
  <c r="BV221" i="14"/>
  <c r="BQ221" i="14"/>
  <c r="BU220" i="14"/>
  <c r="BV219" i="14"/>
  <c r="BQ219" i="14"/>
  <c r="BV218" i="14"/>
  <c r="BQ218" i="14"/>
  <c r="BV217" i="14"/>
  <c r="BQ217" i="14"/>
  <c r="BV216" i="14"/>
  <c r="BQ216" i="14"/>
  <c r="BV215" i="14"/>
  <c r="BQ215" i="14"/>
  <c r="BV214" i="14"/>
  <c r="BQ214" i="14"/>
  <c r="BV213" i="14"/>
  <c r="BQ213" i="14"/>
  <c r="P213" i="14" s="1"/>
  <c r="BV212" i="14"/>
  <c r="BQ212" i="14"/>
  <c r="BV211" i="14"/>
  <c r="BQ211" i="14"/>
  <c r="BV210" i="14"/>
  <c r="BQ210" i="14"/>
  <c r="BV209" i="14"/>
  <c r="BQ209" i="14"/>
  <c r="BV208" i="14"/>
  <c r="BQ208" i="14"/>
  <c r="BV207" i="14"/>
  <c r="BQ207" i="14"/>
  <c r="P207" i="14" s="1"/>
  <c r="BV206" i="14"/>
  <c r="BQ206" i="14"/>
  <c r="BV205" i="14"/>
  <c r="BQ205" i="14"/>
  <c r="BV204" i="14"/>
  <c r="BQ204" i="14"/>
  <c r="BU203" i="14"/>
  <c r="BV202" i="14"/>
  <c r="BQ202" i="14"/>
  <c r="BV201" i="14"/>
  <c r="BQ201" i="14"/>
  <c r="BV200" i="14"/>
  <c r="BQ200" i="14"/>
  <c r="P200" i="14" s="1"/>
  <c r="BV199" i="14"/>
  <c r="BQ199" i="14"/>
  <c r="BV198" i="14"/>
  <c r="BQ198" i="14"/>
  <c r="BV197" i="14"/>
  <c r="BQ197" i="14"/>
  <c r="BV196" i="14"/>
  <c r="BQ196" i="14"/>
  <c r="BU195" i="14"/>
  <c r="BV194" i="14"/>
  <c r="BQ194" i="14"/>
  <c r="BV193" i="14"/>
  <c r="BQ193" i="14"/>
  <c r="BV192" i="14"/>
  <c r="BQ192" i="14"/>
  <c r="BV191" i="14"/>
  <c r="BQ191" i="14"/>
  <c r="P191" i="14" s="1"/>
  <c r="BV190" i="14"/>
  <c r="BQ190" i="14"/>
  <c r="BV189" i="14"/>
  <c r="BQ189" i="14"/>
  <c r="P189" i="14" s="1"/>
  <c r="BV188" i="14"/>
  <c r="BQ188" i="14"/>
  <c r="BQ187" i="14"/>
  <c r="BV186" i="14"/>
  <c r="BQ186" i="14"/>
  <c r="P186" i="14" s="1"/>
  <c r="BV185" i="14"/>
  <c r="BQ185" i="14"/>
  <c r="P185" i="14" s="1"/>
  <c r="BV184" i="14"/>
  <c r="BQ184" i="14"/>
  <c r="BV183" i="14"/>
  <c r="BQ183" i="14"/>
  <c r="BV182" i="14"/>
  <c r="BQ182" i="14"/>
  <c r="BV181" i="14"/>
  <c r="BQ181" i="14"/>
  <c r="BV180" i="14"/>
  <c r="BQ180" i="14"/>
  <c r="BV179" i="14"/>
  <c r="BQ179" i="14"/>
  <c r="BV178" i="14"/>
  <c r="BQ178" i="14"/>
  <c r="BU177" i="14"/>
  <c r="BV176" i="14"/>
  <c r="BQ176" i="14"/>
  <c r="BV175" i="14"/>
  <c r="BQ175" i="14"/>
  <c r="BV174" i="14"/>
  <c r="BQ174" i="14"/>
  <c r="BV173" i="14"/>
  <c r="BQ173" i="14"/>
  <c r="BV172" i="14"/>
  <c r="BQ172" i="14"/>
  <c r="BV171" i="14"/>
  <c r="BQ171" i="14"/>
  <c r="BV170" i="14"/>
  <c r="BQ170" i="14"/>
  <c r="BV169" i="14"/>
  <c r="BQ169" i="14"/>
  <c r="BV168" i="14"/>
  <c r="BQ168" i="14"/>
  <c r="P168" i="14" s="1"/>
  <c r="BV167" i="14"/>
  <c r="BQ167" i="14"/>
  <c r="BV166" i="14"/>
  <c r="BQ166" i="14"/>
  <c r="BV165" i="14"/>
  <c r="BQ165" i="14"/>
  <c r="BV164" i="14"/>
  <c r="BQ164" i="14"/>
  <c r="BV163" i="14"/>
  <c r="BQ163" i="14"/>
  <c r="BV162" i="14"/>
  <c r="BQ162" i="14"/>
  <c r="BV161" i="14"/>
  <c r="BQ161" i="14"/>
  <c r="BQ160" i="14"/>
  <c r="BU159" i="14"/>
  <c r="BV158" i="14"/>
  <c r="BQ158" i="14"/>
  <c r="BV157" i="14"/>
  <c r="BQ157" i="14"/>
  <c r="BV156" i="14"/>
  <c r="BQ156" i="14"/>
  <c r="BV155" i="14"/>
  <c r="BQ155" i="14"/>
  <c r="BV154" i="14"/>
  <c r="BQ154" i="14"/>
  <c r="BV153" i="14"/>
  <c r="BQ153" i="14"/>
  <c r="BV152" i="14"/>
  <c r="BQ152" i="14"/>
  <c r="BU151" i="14"/>
  <c r="BV150" i="14"/>
  <c r="BQ150" i="14"/>
  <c r="BV149" i="14"/>
  <c r="BQ149" i="14"/>
  <c r="BV148" i="14"/>
  <c r="BQ148" i="14"/>
  <c r="BV147" i="14"/>
  <c r="BQ147" i="14"/>
  <c r="BV146" i="14"/>
  <c r="BQ146" i="14"/>
  <c r="BV145" i="14"/>
  <c r="BQ145" i="14"/>
  <c r="BV144" i="14"/>
  <c r="BQ144" i="14"/>
  <c r="BV143" i="14"/>
  <c r="BQ143" i="14"/>
  <c r="BV142" i="14"/>
  <c r="BQ142" i="14"/>
  <c r="BV141" i="14"/>
  <c r="BQ141" i="14"/>
  <c r="BV140" i="14"/>
  <c r="BQ140" i="14"/>
  <c r="BV139" i="14"/>
  <c r="BQ139" i="14"/>
  <c r="BV138" i="14"/>
  <c r="BQ138" i="14"/>
  <c r="BU137" i="14"/>
  <c r="BV136" i="14"/>
  <c r="BQ136" i="14"/>
  <c r="BV135" i="14"/>
  <c r="BQ135" i="14"/>
  <c r="BV134" i="14"/>
  <c r="BQ134" i="14"/>
  <c r="BV133" i="14"/>
  <c r="BQ133" i="14"/>
  <c r="BV132" i="14"/>
  <c r="BQ132" i="14"/>
  <c r="BV131" i="14"/>
  <c r="BQ131" i="14"/>
  <c r="BV130" i="14"/>
  <c r="BQ130" i="14"/>
  <c r="BV129" i="14"/>
  <c r="BQ129" i="14"/>
  <c r="BU128" i="14"/>
  <c r="BV127" i="14"/>
  <c r="BQ127" i="14"/>
  <c r="BV126" i="14"/>
  <c r="BQ126" i="14"/>
  <c r="P126" i="14" s="1"/>
  <c r="BV125" i="14"/>
  <c r="BQ125" i="14"/>
  <c r="BV124" i="14"/>
  <c r="BQ124" i="14"/>
  <c r="BV123" i="14"/>
  <c r="BQ123" i="14"/>
  <c r="BV122" i="14"/>
  <c r="BQ122" i="14"/>
  <c r="BV121" i="14"/>
  <c r="BQ121" i="14"/>
  <c r="BV120" i="14"/>
  <c r="BQ120" i="14"/>
  <c r="P120" i="14" s="1"/>
  <c r="BV119" i="14"/>
  <c r="BQ119" i="14"/>
  <c r="BV118" i="14"/>
  <c r="BQ118" i="14"/>
  <c r="BV117" i="14"/>
  <c r="BQ117" i="14"/>
  <c r="BV116" i="14"/>
  <c r="BQ116" i="14"/>
  <c r="BV115" i="14"/>
  <c r="BQ115" i="14"/>
  <c r="P115" i="14" s="1"/>
  <c r="BU114" i="14"/>
  <c r="BV113" i="14"/>
  <c r="BQ113" i="14"/>
  <c r="P113" i="14" s="1"/>
  <c r="BV112" i="14"/>
  <c r="BQ112" i="14"/>
  <c r="BV111" i="14"/>
  <c r="BQ111" i="14"/>
  <c r="BV110" i="14"/>
  <c r="BQ110" i="14"/>
  <c r="BV109" i="14"/>
  <c r="BQ109" i="14"/>
  <c r="BV108" i="14"/>
  <c r="BQ108" i="14"/>
  <c r="BV107" i="14"/>
  <c r="BQ107" i="14"/>
  <c r="BV106" i="14"/>
  <c r="BQ106" i="14"/>
  <c r="BV105" i="14"/>
  <c r="BQ105" i="14"/>
  <c r="P105" i="14" s="1"/>
  <c r="BV104" i="14"/>
  <c r="BQ104" i="14"/>
  <c r="BV103" i="14"/>
  <c r="BQ103" i="14"/>
  <c r="BV102" i="14"/>
  <c r="BQ102" i="14"/>
  <c r="BV101" i="14"/>
  <c r="BQ101" i="14"/>
  <c r="BV100" i="14"/>
  <c r="BQ100" i="14"/>
  <c r="BV99" i="14"/>
  <c r="BQ99" i="14"/>
  <c r="BV98" i="14"/>
  <c r="BQ98" i="14"/>
  <c r="BV97" i="14"/>
  <c r="BV96" i="14"/>
  <c r="BQ96" i="14"/>
  <c r="BV95" i="14"/>
  <c r="BQ95" i="14"/>
  <c r="BU94" i="14"/>
  <c r="BV93" i="14"/>
  <c r="BQ93" i="14"/>
  <c r="BV92" i="14"/>
  <c r="BQ92" i="14"/>
  <c r="BV91" i="14"/>
  <c r="BQ91" i="14"/>
  <c r="BV90" i="14"/>
  <c r="BQ90" i="14"/>
  <c r="BV89" i="14"/>
  <c r="BQ89" i="14"/>
  <c r="P89" i="14" s="1"/>
  <c r="BV88" i="14"/>
  <c r="BQ88" i="14"/>
  <c r="BV87" i="14"/>
  <c r="BQ87" i="14"/>
  <c r="BV86" i="14"/>
  <c r="BQ86" i="14"/>
  <c r="P86" i="14" s="1"/>
  <c r="BV85" i="14"/>
  <c r="BQ85" i="14"/>
  <c r="BV84" i="14"/>
  <c r="BQ84" i="14"/>
  <c r="BV83" i="14"/>
  <c r="BQ83" i="14"/>
  <c r="BV82" i="14"/>
  <c r="BQ82" i="14"/>
  <c r="P82" i="14" s="1"/>
  <c r="BV81" i="14"/>
  <c r="BQ81" i="14"/>
  <c r="BV80" i="14"/>
  <c r="BQ80" i="14"/>
  <c r="BU79" i="14"/>
  <c r="BV78" i="14"/>
  <c r="BQ78" i="14"/>
  <c r="BV77" i="14"/>
  <c r="BQ77" i="14"/>
  <c r="P77" i="14" s="1"/>
  <c r="BV76" i="14"/>
  <c r="BQ76" i="14"/>
  <c r="BV75" i="14"/>
  <c r="BQ75" i="14"/>
  <c r="BV74" i="14"/>
  <c r="BQ74" i="14"/>
  <c r="BV73" i="14"/>
  <c r="BQ73" i="14"/>
  <c r="BV72" i="14"/>
  <c r="BQ72" i="14"/>
  <c r="BV71" i="14"/>
  <c r="BQ71" i="14"/>
  <c r="BV70" i="14"/>
  <c r="BQ70" i="14"/>
  <c r="BV69" i="14"/>
  <c r="BQ69" i="14"/>
  <c r="P69" i="14" s="1"/>
  <c r="BV68" i="14"/>
  <c r="BQ68" i="14"/>
  <c r="BV67" i="14"/>
  <c r="BQ67" i="14"/>
  <c r="BV66" i="14"/>
  <c r="BQ66" i="14"/>
  <c r="BV65" i="14"/>
  <c r="BQ65" i="14"/>
  <c r="P65" i="14" s="1"/>
  <c r="BV64" i="14"/>
  <c r="BQ64" i="14"/>
  <c r="BV63" i="14"/>
  <c r="BQ63" i="14"/>
  <c r="P63" i="14" s="1"/>
  <c r="BV62" i="14"/>
  <c r="BQ62" i="14"/>
  <c r="BV61" i="14"/>
  <c r="BQ61" i="14"/>
  <c r="BV60" i="14"/>
  <c r="BQ60" i="14"/>
  <c r="BV59" i="14"/>
  <c r="BQ59" i="14"/>
  <c r="BV58" i="14"/>
  <c r="BQ58" i="14"/>
  <c r="BU57" i="14"/>
  <c r="BV56" i="14"/>
  <c r="BQ56" i="14"/>
  <c r="BV55" i="14"/>
  <c r="BQ55" i="14"/>
  <c r="BV54" i="14"/>
  <c r="BQ54" i="14"/>
  <c r="BV53" i="14"/>
  <c r="BQ53" i="14"/>
  <c r="BV52" i="14"/>
  <c r="BQ52" i="14"/>
  <c r="BV51" i="14"/>
  <c r="BQ51" i="14"/>
  <c r="P51" i="14" s="1"/>
  <c r="BV50" i="14"/>
  <c r="BQ50" i="14"/>
  <c r="BV49" i="14"/>
  <c r="BQ49" i="14"/>
  <c r="BV48" i="14"/>
  <c r="BQ48" i="14"/>
  <c r="BV47" i="14"/>
  <c r="BQ47" i="14"/>
  <c r="BV46" i="14"/>
  <c r="BQ46" i="14"/>
  <c r="BV45" i="14"/>
  <c r="BQ45" i="14"/>
  <c r="BV44" i="14"/>
  <c r="BQ44" i="14"/>
  <c r="BV43" i="14"/>
  <c r="BQ43" i="14"/>
  <c r="BV42" i="14"/>
  <c r="BQ42" i="14"/>
  <c r="BV41" i="14"/>
  <c r="BQ41" i="14"/>
  <c r="BV40" i="14"/>
  <c r="BQ40" i="14"/>
  <c r="BU39" i="14"/>
  <c r="BV38" i="14"/>
  <c r="BQ38" i="14"/>
  <c r="BV37" i="14"/>
  <c r="BQ37" i="14"/>
  <c r="BV36" i="14"/>
  <c r="BQ36" i="14"/>
  <c r="BV35" i="14"/>
  <c r="BQ35" i="14"/>
  <c r="BV34" i="14"/>
  <c r="BQ34" i="14"/>
  <c r="BV33" i="14"/>
  <c r="BQ33" i="14"/>
  <c r="BV32" i="14"/>
  <c r="BQ32" i="14"/>
  <c r="BV31" i="14"/>
  <c r="BQ31" i="14"/>
  <c r="BV30" i="14"/>
  <c r="BQ30" i="14"/>
  <c r="BV29" i="14"/>
  <c r="BQ29" i="14"/>
  <c r="BV28" i="14"/>
  <c r="BQ28" i="14"/>
  <c r="BV27" i="14"/>
  <c r="BQ27" i="14"/>
  <c r="BV26" i="14"/>
  <c r="BQ26" i="14"/>
  <c r="BV25" i="14"/>
  <c r="BQ25" i="14"/>
  <c r="BV24" i="14"/>
  <c r="BQ24" i="14"/>
  <c r="BV23" i="14"/>
  <c r="BQ23" i="14"/>
  <c r="BV22" i="14"/>
  <c r="BQ22" i="14"/>
  <c r="BV21" i="14"/>
  <c r="BQ21" i="14"/>
  <c r="BU20" i="14"/>
  <c r="BV19" i="14"/>
  <c r="BQ19" i="14"/>
  <c r="BV18" i="14"/>
  <c r="BQ18" i="14"/>
  <c r="BV17" i="14"/>
  <c r="BQ17" i="14"/>
  <c r="P17" i="14" s="1"/>
  <c r="BV16" i="14"/>
  <c r="BQ16" i="14"/>
  <c r="BV15" i="14"/>
  <c r="BQ15" i="14"/>
  <c r="BV14" i="14"/>
  <c r="BQ14" i="14"/>
  <c r="BV13" i="14"/>
  <c r="BQ13" i="14"/>
  <c r="BV12" i="14"/>
  <c r="BQ12" i="14"/>
  <c r="BV11" i="14"/>
  <c r="BQ11" i="14"/>
  <c r="BV10" i="14"/>
  <c r="BQ10" i="14"/>
  <c r="BV9" i="14"/>
  <c r="BQ9" i="14"/>
  <c r="BU8" i="14"/>
  <c r="BV7" i="14"/>
  <c r="BQ7" i="14"/>
  <c r="BQ6" i="14" s="1"/>
  <c r="BU6" i="14"/>
  <c r="DR267" i="14" l="1"/>
  <c r="BV242" i="14"/>
  <c r="BQ283" i="14"/>
  <c r="DR266" i="14"/>
  <c r="DR265" i="14" s="1"/>
  <c r="BQ151" i="14"/>
  <c r="BV289" i="14"/>
  <c r="BV267" i="14"/>
  <c r="BQ220" i="14"/>
  <c r="P220" i="14" s="1"/>
  <c r="BV268" i="14"/>
  <c r="BV274" i="14"/>
  <c r="BQ280" i="14"/>
  <c r="BV286" i="14"/>
  <c r="BQ97" i="14"/>
  <c r="BQ268" i="14"/>
  <c r="BU258" i="14"/>
  <c r="BU260" i="14" s="1"/>
  <c r="BU262" i="14" s="1"/>
  <c r="BQ262" i="14" s="1"/>
  <c r="P262" i="14" s="1"/>
  <c r="DR6" i="14"/>
  <c r="DR128" i="14"/>
  <c r="DR151" i="14"/>
  <c r="DR94" i="14"/>
  <c r="DW242" i="14"/>
  <c r="DR297" i="14"/>
  <c r="DR296" i="14" s="1"/>
  <c r="DR314" i="14"/>
  <c r="BV195" i="14"/>
  <c r="BQ261" i="14"/>
  <c r="BV271" i="14"/>
  <c r="BQ289" i="14"/>
  <c r="BQ314" i="14"/>
  <c r="DW159" i="14"/>
  <c r="BQ271" i="14"/>
  <c r="BQ277" i="14"/>
  <c r="BQ286" i="14"/>
  <c r="BV314" i="14"/>
  <c r="DW314" i="14"/>
  <c r="DR230" i="14"/>
  <c r="BQ266" i="14"/>
  <c r="DW220" i="14"/>
  <c r="DR20" i="14"/>
  <c r="DW195" i="14"/>
  <c r="DR195" i="14"/>
  <c r="BQ195" i="14"/>
  <c r="BQ159" i="14"/>
  <c r="BV220" i="14"/>
  <c r="BQ203" i="14"/>
  <c r="BQ20" i="14"/>
  <c r="BQ94" i="14"/>
  <c r="BV128" i="14"/>
  <c r="BQ128" i="14"/>
  <c r="BV137" i="14"/>
  <c r="BQ137" i="14"/>
  <c r="BV230" i="14"/>
  <c r="DV258" i="14"/>
  <c r="DV260" i="14" s="1"/>
  <c r="DV264" i="14" s="1"/>
  <c r="DV292" i="14" s="1"/>
  <c r="DV306" i="14" s="1"/>
  <c r="BQ114" i="14"/>
  <c r="BQ57" i="14"/>
  <c r="BQ79" i="14"/>
  <c r="DW39" i="14"/>
  <c r="BV151" i="14"/>
  <c r="BQ242" i="14"/>
  <c r="BV114" i="14"/>
  <c r="DR242" i="14"/>
  <c r="DW137" i="14"/>
  <c r="BV203" i="14"/>
  <c r="BQ274" i="14"/>
  <c r="DR159" i="14"/>
  <c r="DW151" i="14"/>
  <c r="DW79" i="14"/>
  <c r="DR57" i="14"/>
  <c r="DR137" i="14"/>
  <c r="BV57" i="14"/>
  <c r="BV79" i="14"/>
  <c r="DW265" i="14"/>
  <c r="BQ177" i="14"/>
  <c r="DW114" i="14"/>
  <c r="BQ230" i="14"/>
  <c r="DW203" i="14"/>
  <c r="DR203" i="14"/>
  <c r="BV94" i="14"/>
  <c r="BV20" i="14"/>
  <c r="BQ8" i="14"/>
  <c r="P8" i="14" s="1"/>
  <c r="DW8" i="14"/>
  <c r="DR220" i="14"/>
  <c r="DW230" i="14"/>
  <c r="BV39" i="14"/>
  <c r="BQ39" i="14"/>
  <c r="DW57" i="14"/>
  <c r="DR8" i="14"/>
  <c r="DR39" i="14"/>
  <c r="DR79" i="14"/>
  <c r="DW97" i="14"/>
  <c r="DW128" i="14"/>
  <c r="DW20" i="14"/>
  <c r="DR114" i="14"/>
  <c r="DR307" i="14"/>
  <c r="DR293" i="14"/>
  <c r="DW6" i="14"/>
  <c r="DR177" i="14"/>
  <c r="DW177" i="14"/>
  <c r="DV331" i="14"/>
  <c r="DW297" i="14"/>
  <c r="DW296" i="14" s="1"/>
  <c r="BU331" i="14"/>
  <c r="BV8" i="14"/>
  <c r="BQ293" i="14"/>
  <c r="BU264" i="14"/>
  <c r="BU292" i="14" s="1"/>
  <c r="BV6" i="14"/>
  <c r="BV187" i="14"/>
  <c r="BV177" i="14" s="1"/>
  <c r="BV266" i="14"/>
  <c r="BQ267" i="14"/>
  <c r="FJ98" i="14"/>
  <c r="FI98" i="14"/>
  <c r="FD98" i="14"/>
  <c r="FC98" i="14" s="1"/>
  <c r="FG98" i="14" s="1"/>
  <c r="AU202" i="14"/>
  <c r="AT202" i="14"/>
  <c r="AT109" i="14"/>
  <c r="AU43" i="14"/>
  <c r="AT43" i="14"/>
  <c r="AU48" i="14"/>
  <c r="BV265" i="14" l="1"/>
  <c r="DV294" i="14"/>
  <c r="DV318" i="14" s="1"/>
  <c r="DV332" i="14" s="1"/>
  <c r="FH98" i="14"/>
  <c r="FL98" i="14" s="1"/>
  <c r="BQ265" i="14"/>
  <c r="BQ258" i="14"/>
  <c r="BQ260" i="14"/>
  <c r="DW94" i="14"/>
  <c r="DR317" i="14"/>
  <c r="DR331" i="14" s="1"/>
  <c r="BU306" i="14"/>
  <c r="BU294" i="14"/>
  <c r="BU308" i="14" s="1"/>
  <c r="BU318" i="14" s="1"/>
  <c r="BQ307" i="14"/>
  <c r="BQ264" i="14"/>
  <c r="FF98" i="14"/>
  <c r="AU184" i="14"/>
  <c r="AU178" i="14"/>
  <c r="AU141" i="14"/>
  <c r="DV316" i="14" l="1"/>
  <c r="DV330" i="14" s="1"/>
  <c r="FK98" i="14"/>
  <c r="FN98" i="14"/>
  <c r="FO98" i="14" s="1"/>
  <c r="DW258" i="14"/>
  <c r="DR258" i="14"/>
  <c r="DR260" i="14"/>
  <c r="DW260" i="14"/>
  <c r="BQ294" i="14"/>
  <c r="BQ292" i="14"/>
  <c r="BU332" i="14"/>
  <c r="BU316" i="14"/>
  <c r="BU330" i="14" s="1"/>
  <c r="BQ317" i="14"/>
  <c r="BQ331" i="14" s="1"/>
  <c r="AU21" i="14"/>
  <c r="AT21" i="14"/>
  <c r="FJ105" i="14"/>
  <c r="FI105" i="14"/>
  <c r="FD105" i="14"/>
  <c r="FC105" i="14" s="1"/>
  <c r="FF105" i="14" s="1"/>
  <c r="AT142" i="14"/>
  <c r="FJ144" i="14"/>
  <c r="FI144" i="14"/>
  <c r="FD144" i="14"/>
  <c r="FC144" i="14" s="1"/>
  <c r="FG144" i="14" s="1"/>
  <c r="FJ90" i="14"/>
  <c r="FI90" i="14"/>
  <c r="FH90" i="14" s="1"/>
  <c r="FL90" i="14" s="1"/>
  <c r="FD90" i="14"/>
  <c r="FC90" i="14"/>
  <c r="FG90" i="14" s="1"/>
  <c r="AU11" i="14"/>
  <c r="FH105" i="14" l="1"/>
  <c r="FL105" i="14" s="1"/>
  <c r="FN105" i="14"/>
  <c r="FO105" i="14" s="1"/>
  <c r="FK105" i="14"/>
  <c r="FH144" i="14"/>
  <c r="FL144" i="14" s="1"/>
  <c r="BQ306" i="14"/>
  <c r="DW294" i="14"/>
  <c r="DW308" i="14"/>
  <c r="DR308" i="14"/>
  <c r="DR294" i="14"/>
  <c r="DW264" i="14"/>
  <c r="FK90" i="14"/>
  <c r="DR264" i="14"/>
  <c r="BQ308" i="14"/>
  <c r="FG105" i="14"/>
  <c r="FF144" i="14"/>
  <c r="FN144" i="14" s="1"/>
  <c r="FO144" i="14" s="1"/>
  <c r="FF90" i="14"/>
  <c r="FN90" i="14" s="1"/>
  <c r="FO90" i="14" s="1"/>
  <c r="AT187" i="14"/>
  <c r="FJ89" i="14"/>
  <c r="FI89" i="14"/>
  <c r="FD89" i="14"/>
  <c r="FC89" i="14" s="1"/>
  <c r="FG89" i="14" s="1"/>
  <c r="FJ33" i="14"/>
  <c r="FI33" i="14"/>
  <c r="FH33" i="14" s="1"/>
  <c r="FD33" i="14"/>
  <c r="FC33" i="14" s="1"/>
  <c r="FG33" i="14" s="1"/>
  <c r="FK144" i="14" l="1"/>
  <c r="FH89" i="14"/>
  <c r="FL89" i="14" s="1"/>
  <c r="DR318" i="14"/>
  <c r="DR332" i="14" s="1"/>
  <c r="DR292" i="14"/>
  <c r="DR306" i="14"/>
  <c r="BQ318" i="14"/>
  <c r="FF89" i="14"/>
  <c r="FL33" i="14"/>
  <c r="FF33" i="14"/>
  <c r="FN33" i="14" s="1"/>
  <c r="FO33" i="14" s="1"/>
  <c r="FK33" i="14"/>
  <c r="FK89" i="14" l="1"/>
  <c r="FN89" i="14"/>
  <c r="FO89" i="14" s="1"/>
  <c r="BQ332" i="14"/>
  <c r="DR316" i="14"/>
  <c r="DR330" i="14" s="1"/>
  <c r="BQ316" i="14"/>
  <c r="BN187" i="14"/>
  <c r="BN97" i="14"/>
  <c r="BQ330" i="14" l="1"/>
  <c r="AU201" i="14"/>
  <c r="FJ219" i="14" l="1"/>
  <c r="FI219" i="14"/>
  <c r="FD219" i="14"/>
  <c r="FC219" i="14" s="1"/>
  <c r="FG219" i="14" s="1"/>
  <c r="AU73" i="14"/>
  <c r="AU143" i="14"/>
  <c r="FH219" i="14" l="1"/>
  <c r="FL219" i="14" s="1"/>
  <c r="FF219" i="14"/>
  <c r="Z245" i="14"/>
  <c r="AT97" i="14"/>
  <c r="FN219" i="14" l="1"/>
  <c r="FO219" i="14" s="1"/>
  <c r="FK219" i="14"/>
  <c r="X62" i="14"/>
  <c r="X7" i="14"/>
  <c r="Y252" i="14" l="1"/>
  <c r="Y247" i="14"/>
  <c r="Y237" i="14"/>
  <c r="Y231" i="14"/>
  <c r="Y147" i="14"/>
  <c r="Y145" i="14"/>
  <c r="Y142" i="14"/>
  <c r="Y43" i="14"/>
  <c r="Y40" i="14"/>
  <c r="Y18" i="14"/>
  <c r="Y13" i="14"/>
  <c r="Y11" i="14"/>
  <c r="W259" i="14" l="1"/>
  <c r="EW70" i="14" l="1"/>
  <c r="EV70" i="14"/>
  <c r="EQ70" i="14"/>
  <c r="EP70" i="14"/>
  <c r="ET70" i="14" s="1"/>
  <c r="EU70" i="14" l="1"/>
  <c r="EY70" i="14" s="1"/>
  <c r="ES70" i="14"/>
  <c r="EW246" i="14"/>
  <c r="EV246" i="14"/>
  <c r="EQ246" i="14"/>
  <c r="EP246" i="14"/>
  <c r="ES246" i="14" s="1"/>
  <c r="EW249" i="14"/>
  <c r="EV249" i="14"/>
  <c r="EQ249" i="14"/>
  <c r="EP249" i="14"/>
  <c r="ET249" i="14" s="1"/>
  <c r="FA70" i="14" l="1"/>
  <c r="FB70" i="14" s="1"/>
  <c r="ET246" i="14"/>
  <c r="EX70" i="14"/>
  <c r="EU249" i="14"/>
  <c r="EY249" i="14" s="1"/>
  <c r="EX249" i="14"/>
  <c r="EU246" i="14"/>
  <c r="EX246" i="14" s="1"/>
  <c r="ES249" i="14"/>
  <c r="EW224" i="14"/>
  <c r="EV224" i="14"/>
  <c r="EQ224" i="14"/>
  <c r="EP224" i="14" s="1"/>
  <c r="ET224" i="14" s="1"/>
  <c r="EW105" i="14"/>
  <c r="EV105" i="14"/>
  <c r="EQ105" i="14"/>
  <c r="EW170" i="14"/>
  <c r="EV170" i="14"/>
  <c r="EU170" i="14"/>
  <c r="EY170" i="14" s="1"/>
  <c r="EQ170" i="14"/>
  <c r="EP170" i="14" s="1"/>
  <c r="ET170" i="14" s="1"/>
  <c r="EU105" i="14" l="1"/>
  <c r="EY105" i="14" s="1"/>
  <c r="FA249" i="14"/>
  <c r="EP105" i="14"/>
  <c r="ET105" i="14" s="1"/>
  <c r="EX170" i="14"/>
  <c r="EU224" i="14"/>
  <c r="EY224" i="14" s="1"/>
  <c r="EY246" i="14"/>
  <c r="EX105" i="14"/>
  <c r="FA246" i="14"/>
  <c r="ES224" i="14"/>
  <c r="ES170" i="14"/>
  <c r="FA170" i="14" s="1"/>
  <c r="FB170" i="14" s="1"/>
  <c r="EX224" i="14" l="1"/>
  <c r="ES105" i="14"/>
  <c r="FA105" i="14" s="1"/>
  <c r="FA224" i="14"/>
  <c r="FJ207" i="14"/>
  <c r="FI207" i="14"/>
  <c r="FD207" i="14"/>
  <c r="FC207" i="14" s="1"/>
  <c r="FG207" i="14" s="1"/>
  <c r="FJ123" i="14"/>
  <c r="FI123" i="14"/>
  <c r="FD123" i="14"/>
  <c r="FC123" i="14"/>
  <c r="FG123" i="14" s="1"/>
  <c r="FH207" i="14" l="1"/>
  <c r="FL207" i="14" s="1"/>
  <c r="FF207" i="14"/>
  <c r="FF123" i="14"/>
  <c r="FH123" i="14"/>
  <c r="FK123" i="14" s="1"/>
  <c r="FJ245" i="14"/>
  <c r="FI245" i="14"/>
  <c r="FD245" i="14"/>
  <c r="FC245" i="14" s="1"/>
  <c r="FG245" i="14" s="1"/>
  <c r="FJ175" i="14"/>
  <c r="FI175" i="14"/>
  <c r="FH175" i="14" s="1"/>
  <c r="FL175" i="14" s="1"/>
  <c r="FD175" i="14"/>
  <c r="FC175" i="14" s="1"/>
  <c r="FG175" i="14" s="1"/>
  <c r="FJ171" i="14"/>
  <c r="FI171" i="14"/>
  <c r="FC171" i="14"/>
  <c r="FF171" i="14" s="1"/>
  <c r="FJ100" i="14"/>
  <c r="FI100" i="14"/>
  <c r="FH100" i="14" s="1"/>
  <c r="FD100" i="14"/>
  <c r="FC100" i="14" s="1"/>
  <c r="FG100" i="14" s="1"/>
  <c r="FJ53" i="14"/>
  <c r="FI53" i="14"/>
  <c r="FD53" i="14"/>
  <c r="FC53" i="14" s="1"/>
  <c r="FG53" i="14" s="1"/>
  <c r="FJ48" i="14"/>
  <c r="FI48" i="14"/>
  <c r="FD48" i="14"/>
  <c r="FC48" i="14" s="1"/>
  <c r="FG48" i="14" s="1"/>
  <c r="FJ202" i="14"/>
  <c r="FI202" i="14"/>
  <c r="FD202" i="14"/>
  <c r="FC202" i="14"/>
  <c r="FG202" i="14" s="1"/>
  <c r="FJ124" i="14"/>
  <c r="FI124" i="14"/>
  <c r="FD124" i="14"/>
  <c r="FC124" i="14"/>
  <c r="FG124" i="14" s="1"/>
  <c r="EW124" i="14"/>
  <c r="EV124" i="14"/>
  <c r="EQ124" i="14"/>
  <c r="EP124" i="14"/>
  <c r="ET124" i="14" s="1"/>
  <c r="FJ200" i="14"/>
  <c r="FI200" i="14"/>
  <c r="FD200" i="14"/>
  <c r="FC200" i="14"/>
  <c r="FG200" i="14" s="1"/>
  <c r="FJ184" i="14"/>
  <c r="FI184" i="14"/>
  <c r="FD184" i="14"/>
  <c r="FC184" i="14" s="1"/>
  <c r="FG184" i="14" s="1"/>
  <c r="FH200" i="14" l="1"/>
  <c r="FL200" i="14" s="1"/>
  <c r="FH245" i="14"/>
  <c r="FK245" i="14" s="1"/>
  <c r="FK207" i="14"/>
  <c r="FN207" i="14"/>
  <c r="FO207" i="14" s="1"/>
  <c r="FH184" i="14"/>
  <c r="FK184" i="14" s="1"/>
  <c r="FH202" i="14"/>
  <c r="FL202" i="14" s="1"/>
  <c r="EU124" i="14"/>
  <c r="EY124" i="14" s="1"/>
  <c r="FK175" i="14"/>
  <c r="FH53" i="14"/>
  <c r="FL53" i="14" s="1"/>
  <c r="FN123" i="14"/>
  <c r="FO123" i="14" s="1"/>
  <c r="FH48" i="14"/>
  <c r="FL48" i="14" s="1"/>
  <c r="FH124" i="14"/>
  <c r="FL124" i="14" s="1"/>
  <c r="FG171" i="14"/>
  <c r="FL123" i="14"/>
  <c r="FF245" i="14"/>
  <c r="FN245" i="14" s="1"/>
  <c r="FO245" i="14" s="1"/>
  <c r="FF175" i="14"/>
  <c r="FN175" i="14" s="1"/>
  <c r="FO175" i="14" s="1"/>
  <c r="FH171" i="14"/>
  <c r="FK171" i="14" s="1"/>
  <c r="FL100" i="14"/>
  <c r="FF100" i="14"/>
  <c r="FN100" i="14" s="1"/>
  <c r="FO100" i="14" s="1"/>
  <c r="FK100" i="14"/>
  <c r="FF53" i="14"/>
  <c r="FF48" i="14"/>
  <c r="FF202" i="14"/>
  <c r="FF124" i="14"/>
  <c r="ES124" i="14"/>
  <c r="FF200" i="14"/>
  <c r="FL184" i="14"/>
  <c r="FF184" i="14"/>
  <c r="FJ73" i="14"/>
  <c r="FI73" i="14"/>
  <c r="FD73" i="14"/>
  <c r="FJ198" i="14"/>
  <c r="FI198" i="14"/>
  <c r="FD198" i="14"/>
  <c r="FC198" i="14"/>
  <c r="FG198" i="14" s="1"/>
  <c r="FJ201" i="14"/>
  <c r="FI201" i="14"/>
  <c r="FD201" i="14"/>
  <c r="FC201" i="14" s="1"/>
  <c r="FG201" i="14" s="1"/>
  <c r="FJ101" i="14"/>
  <c r="FI101" i="14"/>
  <c r="FD101" i="14"/>
  <c r="FC101" i="14" s="1"/>
  <c r="FG101" i="14" s="1"/>
  <c r="FJ104" i="14"/>
  <c r="FI104" i="14"/>
  <c r="FD104" i="14"/>
  <c r="FC104" i="14"/>
  <c r="FG104" i="14" s="1"/>
  <c r="FN200" i="14" l="1"/>
  <c r="FO200" i="14" s="1"/>
  <c r="FK200" i="14"/>
  <c r="FH198" i="14"/>
  <c r="FL198" i="14" s="1"/>
  <c r="FL245" i="14"/>
  <c r="FK202" i="14"/>
  <c r="FN184" i="14"/>
  <c r="FO184" i="14" s="1"/>
  <c r="FK53" i="14"/>
  <c r="FN202" i="14"/>
  <c r="FO202" i="14" s="1"/>
  <c r="EX124" i="14"/>
  <c r="FH201" i="14"/>
  <c r="FL201" i="14" s="1"/>
  <c r="FN53" i="14"/>
  <c r="FO53" i="14" s="1"/>
  <c r="FH73" i="14"/>
  <c r="FL73" i="14" s="1"/>
  <c r="FA124" i="14"/>
  <c r="FH101" i="14"/>
  <c r="FL101" i="14" s="1"/>
  <c r="FN124" i="14"/>
  <c r="FO124" i="14" s="1"/>
  <c r="FK124" i="14"/>
  <c r="FN171" i="14"/>
  <c r="FO171" i="14" s="1"/>
  <c r="FK73" i="14"/>
  <c r="FH104" i="14"/>
  <c r="FN48" i="14"/>
  <c r="FO48" i="14" s="1"/>
  <c r="FK48" i="14"/>
  <c r="FC73" i="14"/>
  <c r="FG73" i="14" s="1"/>
  <c r="FL171" i="14"/>
  <c r="FF198" i="14"/>
  <c r="FN198" i="14" s="1"/>
  <c r="FO198" i="14" s="1"/>
  <c r="FF201" i="14"/>
  <c r="FF101" i="14"/>
  <c r="FF104" i="14"/>
  <c r="FJ93" i="14"/>
  <c r="FI93" i="14"/>
  <c r="FD93" i="14"/>
  <c r="FC93" i="14" s="1"/>
  <c r="FG93" i="14" s="1"/>
  <c r="FK198" i="14" l="1"/>
  <c r="FN201" i="14"/>
  <c r="FO201" i="14" s="1"/>
  <c r="FK201" i="14"/>
  <c r="FN101" i="14"/>
  <c r="FO101" i="14" s="1"/>
  <c r="FK101" i="14"/>
  <c r="FL104" i="14"/>
  <c r="FN104" i="14"/>
  <c r="FO104" i="14" s="1"/>
  <c r="FK104" i="14"/>
  <c r="FF93" i="14"/>
  <c r="FF73" i="14"/>
  <c r="FN73" i="14" s="1"/>
  <c r="FO73" i="14" s="1"/>
  <c r="FH93" i="14"/>
  <c r="FK93" i="14" s="1"/>
  <c r="EW176" i="14"/>
  <c r="EV176" i="14"/>
  <c r="EQ176" i="14"/>
  <c r="EP176" i="14"/>
  <c r="ET176" i="14" s="1"/>
  <c r="W263" i="14"/>
  <c r="EU176" i="14" l="1"/>
  <c r="EY176" i="14" s="1"/>
  <c r="FN93" i="14"/>
  <c r="FO93" i="14" s="1"/>
  <c r="FL93" i="14"/>
  <c r="ES176" i="14"/>
  <c r="FA176" i="14" l="1"/>
  <c r="EX176" i="14"/>
  <c r="EI69" i="14"/>
  <c r="EH69" i="14"/>
  <c r="EC69" i="14"/>
  <c r="EB69" i="14" s="1"/>
  <c r="EH162" i="14"/>
  <c r="EC162" i="14"/>
  <c r="EB162" i="14" s="1"/>
  <c r="EF162" i="14" s="1"/>
  <c r="EW191" i="14"/>
  <c r="EV191" i="14"/>
  <c r="EQ191" i="14"/>
  <c r="EP191" i="14" s="1"/>
  <c r="ET191" i="14" s="1"/>
  <c r="EG162" i="14" l="1"/>
  <c r="EK162" i="14" s="1"/>
  <c r="EU191" i="14"/>
  <c r="EX191" i="14" s="1"/>
  <c r="EE69" i="14"/>
  <c r="EF69" i="14"/>
  <c r="EG69" i="14"/>
  <c r="EJ69" i="14" s="1"/>
  <c r="EE162" i="14"/>
  <c r="EY191" i="14"/>
  <c r="ES191" i="14"/>
  <c r="FJ121" i="14"/>
  <c r="FI121" i="14"/>
  <c r="FD121" i="14"/>
  <c r="FC121" i="14" s="1"/>
  <c r="FG121" i="14" s="1"/>
  <c r="EM162" i="14" l="1"/>
  <c r="EN162" i="14" s="1"/>
  <c r="EJ162" i="14"/>
  <c r="FH121" i="14"/>
  <c r="FA191" i="14"/>
  <c r="FB191" i="14" s="1"/>
  <c r="FL121" i="14"/>
  <c r="EM69" i="14"/>
  <c r="EN69" i="14" s="1"/>
  <c r="EK69" i="14"/>
  <c r="FF121" i="14"/>
  <c r="FK121" i="14"/>
  <c r="FJ86" i="14"/>
  <c r="FI86" i="14"/>
  <c r="FD86" i="14"/>
  <c r="FC86" i="14" s="1"/>
  <c r="FG86" i="14" s="1"/>
  <c r="FN121" i="14" l="1"/>
  <c r="FO121" i="14" s="1"/>
  <c r="FH86" i="14"/>
  <c r="FL86" i="14" s="1"/>
  <c r="FF86" i="14"/>
  <c r="BM266" i="14"/>
  <c r="BM267" i="14"/>
  <c r="AS266" i="14"/>
  <c r="AS267" i="14"/>
  <c r="X266" i="14"/>
  <c r="X267" i="14"/>
  <c r="W7" i="14"/>
  <c r="AB7" i="14"/>
  <c r="AG7" i="14"/>
  <c r="AL7" i="14"/>
  <c r="AR7" i="14"/>
  <c r="AX7" i="14"/>
  <c r="AY7" i="14"/>
  <c r="AZ7" i="14"/>
  <c r="BA7" i="14"/>
  <c r="BD7" i="14"/>
  <c r="BE7" i="14"/>
  <c r="BG7" i="14"/>
  <c r="BL7" i="14"/>
  <c r="CD7" i="14"/>
  <c r="CC7" i="14"/>
  <c r="CE7" i="14"/>
  <c r="CF7" i="14"/>
  <c r="CH7" i="14"/>
  <c r="CI7" i="14"/>
  <c r="CJ7" i="14"/>
  <c r="CK7" i="14"/>
  <c r="CO7" i="14"/>
  <c r="CT7" i="14"/>
  <c r="DJ7" i="14" s="1"/>
  <c r="DL7" i="14" s="1"/>
  <c r="CZ7" i="14"/>
  <c r="DA7" i="14"/>
  <c r="DB7" i="14"/>
  <c r="DC7" i="14"/>
  <c r="EC7" i="14"/>
  <c r="EB7" i="14" s="1"/>
  <c r="EF7" i="14" s="1"/>
  <c r="EH7" i="14"/>
  <c r="EI7" i="14"/>
  <c r="EQ7" i="14"/>
  <c r="EV7" i="14"/>
  <c r="EW7" i="14"/>
  <c r="FD7" i="14"/>
  <c r="FI7" i="14"/>
  <c r="ED8" i="14"/>
  <c r="EG8" i="14"/>
  <c r="EH8" i="14"/>
  <c r="EI8" i="14"/>
  <c r="EM8" i="14"/>
  <c r="EN8" i="14" s="1"/>
  <c r="ER8" i="14"/>
  <c r="FE8" i="14"/>
  <c r="EG7" i="14" l="1"/>
  <c r="EJ7" i="14" s="1"/>
  <c r="FK86" i="14"/>
  <c r="FN86" i="14"/>
  <c r="FO86" i="14" s="1"/>
  <c r="CY7" i="14"/>
  <c r="BB7" i="14"/>
  <c r="CM7" i="14" s="1"/>
  <c r="CN7" i="14" s="1"/>
  <c r="DO7" i="14" s="1"/>
  <c r="DI7" i="14"/>
  <c r="EU7" i="14"/>
  <c r="EY7" i="14" s="1"/>
  <c r="CG7" i="14"/>
  <c r="DG7" i="14" s="1"/>
  <c r="DM7" i="14" s="1"/>
  <c r="AW7" i="14"/>
  <c r="EK7" i="14"/>
  <c r="CB7" i="14"/>
  <c r="CA7" i="14" s="1"/>
  <c r="FJ7" i="14"/>
  <c r="FH7" i="14" s="1"/>
  <c r="EP7" i="14"/>
  <c r="ET7" i="14" s="1"/>
  <c r="EE7" i="14"/>
  <c r="EM7" i="14" s="1"/>
  <c r="FC7" i="14"/>
  <c r="FG7" i="14" s="1"/>
  <c r="EO7" i="14" l="1"/>
  <c r="ES7" i="14"/>
  <c r="FA7" i="14" s="1"/>
  <c r="FB7" i="14" s="1"/>
  <c r="EX7" i="14"/>
  <c r="EN7" i="14"/>
  <c r="FL7" i="14"/>
  <c r="FK7" i="14"/>
  <c r="FF7" i="14"/>
  <c r="FN7" i="14" s="1"/>
  <c r="FO7" i="14" s="1"/>
  <c r="FD17" i="14" l="1"/>
  <c r="EQ49" i="14" l="1"/>
  <c r="EW82" i="14" l="1"/>
  <c r="FJ84" i="14" l="1"/>
  <c r="FI84" i="14"/>
  <c r="V6" i="14"/>
  <c r="X6" i="14"/>
  <c r="Y6" i="14"/>
  <c r="AA6" i="14"/>
  <c r="AC6" i="14"/>
  <c r="AD6" i="14"/>
  <c r="AE6" i="14"/>
  <c r="AF6" i="14"/>
  <c r="AH6" i="14"/>
  <c r="AI6" i="14"/>
  <c r="AJ6" i="14"/>
  <c r="AK6" i="14"/>
  <c r="AM6" i="14"/>
  <c r="AN6" i="14"/>
  <c r="AO6" i="14"/>
  <c r="AP6" i="14"/>
  <c r="AS6" i="14"/>
  <c r="AT6" i="14"/>
  <c r="AU6" i="14"/>
  <c r="AV6" i="14"/>
  <c r="BC6" i="14"/>
  <c r="BF6" i="14"/>
  <c r="BH6" i="14"/>
  <c r="BI6" i="14"/>
  <c r="BJ6" i="14"/>
  <c r="BK6" i="14"/>
  <c r="BM6" i="14"/>
  <c r="BN6" i="14"/>
  <c r="BO6" i="14"/>
  <c r="BP6" i="14"/>
  <c r="BZ6" i="14"/>
  <c r="CP6" i="14"/>
  <c r="CQ6" i="14"/>
  <c r="CR6" i="14"/>
  <c r="CS6" i="14"/>
  <c r="CU6" i="14"/>
  <c r="CV6" i="14"/>
  <c r="CW6" i="14"/>
  <c r="CX6" i="14"/>
  <c r="DD6" i="14"/>
  <c r="DE6" i="14"/>
  <c r="DF6" i="14"/>
  <c r="W6" i="14"/>
  <c r="AB6" i="14"/>
  <c r="AG6" i="14"/>
  <c r="AL6" i="14"/>
  <c r="AR6" i="14"/>
  <c r="AX6" i="14"/>
  <c r="AZ6" i="14"/>
  <c r="BA6" i="14"/>
  <c r="BE6" i="14"/>
  <c r="BG6" i="14"/>
  <c r="CC6" i="14"/>
  <c r="CD6" i="14"/>
  <c r="CF6" i="14"/>
  <c r="CH6" i="14"/>
  <c r="CI6" i="14"/>
  <c r="CK6" i="14"/>
  <c r="CO6" i="14"/>
  <c r="CT6" i="14"/>
  <c r="CZ6" i="14"/>
  <c r="DB6" i="14"/>
  <c r="DC6" i="14"/>
  <c r="V8" i="14"/>
  <c r="X8" i="14"/>
  <c r="Y8" i="14"/>
  <c r="AA8" i="14"/>
  <c r="AC8" i="14"/>
  <c r="AD8" i="14"/>
  <c r="AE8" i="14"/>
  <c r="AF8" i="14"/>
  <c r="AH8" i="14"/>
  <c r="AI8" i="14"/>
  <c r="AJ8" i="14"/>
  <c r="AK8" i="14"/>
  <c r="AM8" i="14"/>
  <c r="AN8" i="14"/>
  <c r="AO8" i="14"/>
  <c r="AP8" i="14"/>
  <c r="AS8" i="14"/>
  <c r="EC8" i="14" s="1"/>
  <c r="EB8" i="14" s="1"/>
  <c r="AV8" i="14"/>
  <c r="BC8" i="14"/>
  <c r="BE8" i="14"/>
  <c r="BF8" i="14"/>
  <c r="BH8" i="14"/>
  <c r="BI8" i="14"/>
  <c r="BJ8" i="14"/>
  <c r="BK8" i="14"/>
  <c r="BM8" i="14"/>
  <c r="BO8" i="14"/>
  <c r="BP8" i="14"/>
  <c r="BZ8" i="14"/>
  <c r="CP8" i="14"/>
  <c r="CQ8" i="14"/>
  <c r="CR8" i="14"/>
  <c r="CS8" i="14"/>
  <c r="CU8" i="14"/>
  <c r="CV8" i="14"/>
  <c r="CW8" i="14"/>
  <c r="CX8" i="14"/>
  <c r="DD8" i="14"/>
  <c r="DE8" i="14"/>
  <c r="W9" i="14"/>
  <c r="AB9" i="14"/>
  <c r="AG9" i="14"/>
  <c r="AL9" i="14"/>
  <c r="AR9" i="14"/>
  <c r="AX9" i="14"/>
  <c r="AY9" i="14"/>
  <c r="AZ9" i="14"/>
  <c r="BA9" i="14"/>
  <c r="BB9" i="14"/>
  <c r="BG9" i="14"/>
  <c r="BL9" i="14"/>
  <c r="CC9" i="14"/>
  <c r="CD9" i="14"/>
  <c r="CE9" i="14"/>
  <c r="CF9" i="14"/>
  <c r="CH9" i="14"/>
  <c r="CI9" i="14"/>
  <c r="CJ9" i="14"/>
  <c r="CK9" i="14"/>
  <c r="CM9" i="14"/>
  <c r="CN9" i="14" s="1"/>
  <c r="CO9" i="14"/>
  <c r="CT9" i="14"/>
  <c r="DJ9" i="14" s="1"/>
  <c r="CZ9" i="14"/>
  <c r="DA9" i="14"/>
  <c r="DB9" i="14"/>
  <c r="DC9" i="14"/>
  <c r="W10" i="14"/>
  <c r="AB10" i="14"/>
  <c r="AG10" i="14"/>
  <c r="AL10" i="14"/>
  <c r="AR10" i="14"/>
  <c r="AX10" i="14"/>
  <c r="AY10" i="14"/>
  <c r="AZ10" i="14"/>
  <c r="BA10" i="14"/>
  <c r="BB10" i="14"/>
  <c r="BG10" i="14"/>
  <c r="BL10" i="14"/>
  <c r="CC10" i="14"/>
  <c r="CD10" i="14"/>
  <c r="CE10" i="14"/>
  <c r="CF10" i="14"/>
  <c r="CH10" i="14"/>
  <c r="CI10" i="14"/>
  <c r="CJ10" i="14"/>
  <c r="CK10" i="14"/>
  <c r="CO10" i="14"/>
  <c r="CT10" i="14"/>
  <c r="CZ10" i="14"/>
  <c r="DA10" i="14"/>
  <c r="DB10" i="14"/>
  <c r="DC10" i="14"/>
  <c r="W11" i="14"/>
  <c r="AB11" i="14"/>
  <c r="AG11" i="14"/>
  <c r="AL11" i="14"/>
  <c r="AU8" i="14"/>
  <c r="FD8" i="14" s="1"/>
  <c r="FC8" i="14" s="1"/>
  <c r="AX11" i="14"/>
  <c r="AZ11" i="14"/>
  <c r="BA11" i="14"/>
  <c r="BB11" i="14"/>
  <c r="BG11" i="14"/>
  <c r="BL11" i="14"/>
  <c r="CI11" i="14"/>
  <c r="CC11" i="14"/>
  <c r="CF11" i="14"/>
  <c r="CH11" i="14"/>
  <c r="CJ11" i="14"/>
  <c r="CK11" i="14"/>
  <c r="CO11" i="14"/>
  <c r="CT11" i="14"/>
  <c r="CZ11" i="14"/>
  <c r="DA11" i="14"/>
  <c r="DB11" i="14"/>
  <c r="DC11" i="14"/>
  <c r="DF11" i="14"/>
  <c r="DF8" i="14" s="1"/>
  <c r="W12" i="14"/>
  <c r="AB12" i="14"/>
  <c r="AG12" i="14"/>
  <c r="AL12" i="14"/>
  <c r="AR12" i="14"/>
  <c r="AX12" i="14"/>
  <c r="AY12" i="14"/>
  <c r="AZ12" i="14"/>
  <c r="BA12" i="14"/>
  <c r="BB12" i="14"/>
  <c r="BG12" i="14"/>
  <c r="BL12" i="14"/>
  <c r="CC12" i="14"/>
  <c r="CD12" i="14"/>
  <c r="CE12" i="14"/>
  <c r="CF12" i="14"/>
  <c r="CH12" i="14"/>
  <c r="CI12" i="14"/>
  <c r="CJ12" i="14"/>
  <c r="CK12" i="14"/>
  <c r="CO12" i="14"/>
  <c r="CT12" i="14"/>
  <c r="CZ12" i="14"/>
  <c r="DA12" i="14"/>
  <c r="DB12" i="14"/>
  <c r="DC12" i="14"/>
  <c r="W13" i="14"/>
  <c r="AB13" i="14"/>
  <c r="AG13" i="14"/>
  <c r="AL13" i="14"/>
  <c r="AR13" i="14"/>
  <c r="AX13" i="14"/>
  <c r="AY13" i="14"/>
  <c r="AZ13" i="14"/>
  <c r="BA13" i="14"/>
  <c r="BB13" i="14"/>
  <c r="BG13" i="14"/>
  <c r="BL13" i="14"/>
  <c r="CC13" i="14"/>
  <c r="CD13" i="14"/>
  <c r="CE13" i="14"/>
  <c r="CF13" i="14"/>
  <c r="CH13" i="14"/>
  <c r="CI13" i="14"/>
  <c r="CJ13" i="14"/>
  <c r="CK13" i="14"/>
  <c r="CO13" i="14"/>
  <c r="CT13" i="14"/>
  <c r="CZ13" i="14"/>
  <c r="DA13" i="14"/>
  <c r="DB13" i="14"/>
  <c r="DC13" i="14"/>
  <c r="W14" i="14"/>
  <c r="AB14" i="14"/>
  <c r="AG14" i="14"/>
  <c r="AL14" i="14"/>
  <c r="AR14" i="14"/>
  <c r="AX14" i="14"/>
  <c r="AY14" i="14"/>
  <c r="AZ14" i="14"/>
  <c r="BA14" i="14"/>
  <c r="BD14" i="14"/>
  <c r="BG14" i="14"/>
  <c r="BL14" i="14"/>
  <c r="CC14" i="14"/>
  <c r="CD14" i="14"/>
  <c r="CE14" i="14"/>
  <c r="CF14" i="14"/>
  <c r="CH14" i="14"/>
  <c r="CI14" i="14"/>
  <c r="CJ14" i="14"/>
  <c r="CK14" i="14"/>
  <c r="CO14" i="14"/>
  <c r="CT14" i="14"/>
  <c r="CZ14" i="14"/>
  <c r="DA14" i="14"/>
  <c r="DB14" i="14"/>
  <c r="DC14" i="14"/>
  <c r="W15" i="14"/>
  <c r="AB15" i="14"/>
  <c r="AG15" i="14"/>
  <c r="AL15" i="14"/>
  <c r="AR15" i="14"/>
  <c r="AX15" i="14"/>
  <c r="AY15" i="14"/>
  <c r="AZ15" i="14"/>
  <c r="BA15" i="14"/>
  <c r="BB15" i="14"/>
  <c r="BG15" i="14"/>
  <c r="BL15" i="14"/>
  <c r="CI15" i="14"/>
  <c r="CC15" i="14"/>
  <c r="CE15" i="14"/>
  <c r="CF15" i="14"/>
  <c r="CH15" i="14"/>
  <c r="CJ15" i="14"/>
  <c r="CK15" i="14"/>
  <c r="CO15" i="14"/>
  <c r="CT15" i="14"/>
  <c r="CZ15" i="14"/>
  <c r="DA15" i="14"/>
  <c r="DB15" i="14"/>
  <c r="DC15" i="14"/>
  <c r="W16" i="14"/>
  <c r="AB16" i="14"/>
  <c r="AG16" i="14"/>
  <c r="AL16" i="14"/>
  <c r="AR16" i="14"/>
  <c r="AX16" i="14"/>
  <c r="AY16" i="14"/>
  <c r="AZ16" i="14"/>
  <c r="BA16" i="14"/>
  <c r="BD16" i="14"/>
  <c r="BB16" i="14" s="1"/>
  <c r="BG16" i="14"/>
  <c r="BL16" i="14"/>
  <c r="CC16" i="14"/>
  <c r="CD16" i="14"/>
  <c r="CE16" i="14"/>
  <c r="CF16" i="14"/>
  <c r="CH16" i="14"/>
  <c r="CI16" i="14"/>
  <c r="CJ16" i="14"/>
  <c r="CK16" i="14"/>
  <c r="CO16" i="14"/>
  <c r="CT16" i="14"/>
  <c r="CZ16" i="14"/>
  <c r="DA16" i="14"/>
  <c r="DB16" i="14"/>
  <c r="DC16" i="14"/>
  <c r="W17" i="14"/>
  <c r="AB17" i="14"/>
  <c r="AG17" i="14"/>
  <c r="AL17" i="14"/>
  <c r="AR17" i="14"/>
  <c r="AX17" i="14"/>
  <c r="AY17" i="14"/>
  <c r="AZ17" i="14"/>
  <c r="BA17" i="14"/>
  <c r="BB17" i="14"/>
  <c r="BG17" i="14"/>
  <c r="BL17" i="14"/>
  <c r="CC17" i="14"/>
  <c r="CD17" i="14"/>
  <c r="CE17" i="14"/>
  <c r="CF17" i="14"/>
  <c r="CH17" i="14"/>
  <c r="CI17" i="14"/>
  <c r="CJ17" i="14"/>
  <c r="CK17" i="14"/>
  <c r="CO17" i="14"/>
  <c r="CT17" i="14"/>
  <c r="CZ17" i="14"/>
  <c r="DA17" i="14"/>
  <c r="DB17" i="14"/>
  <c r="DC17" i="14"/>
  <c r="W18" i="14"/>
  <c r="AB18" i="14"/>
  <c r="AG18" i="14"/>
  <c r="AL18" i="14"/>
  <c r="AR18" i="14"/>
  <c r="AX18" i="14"/>
  <c r="AY18" i="14"/>
  <c r="AZ18" i="14"/>
  <c r="BA18" i="14"/>
  <c r="BD18" i="14"/>
  <c r="BB18" i="14" s="1"/>
  <c r="BG18" i="14"/>
  <c r="BL18" i="14"/>
  <c r="CC18" i="14"/>
  <c r="CD18" i="14"/>
  <c r="CE18" i="14"/>
  <c r="CF18" i="14"/>
  <c r="CH18" i="14"/>
  <c r="CI18" i="14"/>
  <c r="CJ18" i="14"/>
  <c r="CK18" i="14"/>
  <c r="CO18" i="14"/>
  <c r="CT18" i="14"/>
  <c r="CZ18" i="14"/>
  <c r="DA18" i="14"/>
  <c r="DB18" i="14"/>
  <c r="DC18" i="14"/>
  <c r="W19" i="14"/>
  <c r="AB19" i="14"/>
  <c r="AG19" i="14"/>
  <c r="AL19" i="14"/>
  <c r="AR19" i="14"/>
  <c r="AX19" i="14"/>
  <c r="AY19" i="14"/>
  <c r="AZ19" i="14"/>
  <c r="BA19" i="14"/>
  <c r="BD19" i="14"/>
  <c r="BB19" i="14" s="1"/>
  <c r="BG19" i="14"/>
  <c r="BL19" i="14"/>
  <c r="CI19" i="14"/>
  <c r="CC19" i="14"/>
  <c r="CE19" i="14"/>
  <c r="CF19" i="14"/>
  <c r="CH19" i="14"/>
  <c r="CJ19" i="14"/>
  <c r="CK19" i="14"/>
  <c r="CO19" i="14"/>
  <c r="CT19" i="14"/>
  <c r="CZ19" i="14"/>
  <c r="DA19" i="14"/>
  <c r="DB19" i="14"/>
  <c r="DC19" i="14"/>
  <c r="V20" i="14"/>
  <c r="X20" i="14"/>
  <c r="Y20" i="14"/>
  <c r="AA20" i="14"/>
  <c r="AC20" i="14"/>
  <c r="AD20" i="14"/>
  <c r="AE20" i="14"/>
  <c r="AF20" i="14"/>
  <c r="AH20" i="14"/>
  <c r="AI20" i="14"/>
  <c r="AJ20" i="14"/>
  <c r="AK20" i="14"/>
  <c r="AM20" i="14"/>
  <c r="AN20" i="14"/>
  <c r="AO20" i="14"/>
  <c r="AP20" i="14"/>
  <c r="AS20" i="14"/>
  <c r="AV20" i="14"/>
  <c r="BC20" i="14"/>
  <c r="BE20" i="14"/>
  <c r="BF20" i="14"/>
  <c r="BH20" i="14"/>
  <c r="BI20" i="14"/>
  <c r="BJ20" i="14"/>
  <c r="BK20" i="14"/>
  <c r="BM20" i="14"/>
  <c r="BO20" i="14"/>
  <c r="BP20" i="14"/>
  <c r="BZ20" i="14"/>
  <c r="CP20" i="14"/>
  <c r="CQ20" i="14"/>
  <c r="CR20" i="14"/>
  <c r="CS20" i="14"/>
  <c r="CU20" i="14"/>
  <c r="CV20" i="14"/>
  <c r="CW20" i="14"/>
  <c r="CX20" i="14"/>
  <c r="DD20" i="14"/>
  <c r="DE20" i="14"/>
  <c r="DF20" i="14"/>
  <c r="W21" i="14"/>
  <c r="AB21" i="14"/>
  <c r="AG21" i="14"/>
  <c r="AL21" i="14"/>
  <c r="AR21" i="14"/>
  <c r="AU20" i="14"/>
  <c r="AX21" i="14"/>
  <c r="AY21" i="14"/>
  <c r="AZ21" i="14"/>
  <c r="BA21" i="14"/>
  <c r="BD21" i="14"/>
  <c r="BB21" i="14" s="1"/>
  <c r="BG21" i="14"/>
  <c r="BL21" i="14"/>
  <c r="CC21" i="14"/>
  <c r="CD21" i="14"/>
  <c r="CE21" i="14"/>
  <c r="CF21" i="14"/>
  <c r="CH21" i="14"/>
  <c r="CI21" i="14"/>
  <c r="CJ21" i="14"/>
  <c r="CK21" i="14"/>
  <c r="CO21" i="14"/>
  <c r="CT21" i="14"/>
  <c r="CZ21" i="14"/>
  <c r="DA21" i="14"/>
  <c r="DB21" i="14"/>
  <c r="DC21" i="14"/>
  <c r="W22" i="14"/>
  <c r="AB22" i="14"/>
  <c r="AG22" i="14"/>
  <c r="AL22" i="14"/>
  <c r="AR22" i="14"/>
  <c r="AX22" i="14"/>
  <c r="AY22" i="14"/>
  <c r="AZ22" i="14"/>
  <c r="BA22" i="14"/>
  <c r="BB22" i="14"/>
  <c r="BG22" i="14"/>
  <c r="BL22" i="14"/>
  <c r="CC22" i="14"/>
  <c r="CD22" i="14"/>
  <c r="CE22" i="14"/>
  <c r="CF22" i="14"/>
  <c r="CH22" i="14"/>
  <c r="CI22" i="14"/>
  <c r="CJ22" i="14"/>
  <c r="CK22" i="14"/>
  <c r="CO22" i="14"/>
  <c r="CT22" i="14"/>
  <c r="CZ22" i="14"/>
  <c r="DA22" i="14"/>
  <c r="DB22" i="14"/>
  <c r="DC22" i="14"/>
  <c r="W23" i="14"/>
  <c r="AB23" i="14"/>
  <c r="AG23" i="14"/>
  <c r="AL23" i="14"/>
  <c r="AR23" i="14"/>
  <c r="AX23" i="14"/>
  <c r="AY23" i="14"/>
  <c r="AZ23" i="14"/>
  <c r="BA23" i="14"/>
  <c r="BD23" i="14"/>
  <c r="BG23" i="14"/>
  <c r="BL23" i="14"/>
  <c r="CC23" i="14"/>
  <c r="CD23" i="14"/>
  <c r="CE23" i="14"/>
  <c r="CF23" i="14"/>
  <c r="CH23" i="14"/>
  <c r="CI23" i="14"/>
  <c r="CJ23" i="14"/>
  <c r="CK23" i="14"/>
  <c r="CO23" i="14"/>
  <c r="CT23" i="14"/>
  <c r="CZ23" i="14"/>
  <c r="DA23" i="14"/>
  <c r="DB23" i="14"/>
  <c r="DC23" i="14"/>
  <c r="W24" i="14"/>
  <c r="AB24" i="14"/>
  <c r="AG24" i="14"/>
  <c r="AL24" i="14"/>
  <c r="AR24" i="14"/>
  <c r="AX24" i="14"/>
  <c r="AY24" i="14"/>
  <c r="AZ24" i="14"/>
  <c r="BA24" i="14"/>
  <c r="BB24" i="14"/>
  <c r="BG24" i="14"/>
  <c r="BL24" i="14"/>
  <c r="CC24" i="14"/>
  <c r="CD24" i="14"/>
  <c r="CE24" i="14"/>
  <c r="CF24" i="14"/>
  <c r="CH24" i="14"/>
  <c r="CI24" i="14"/>
  <c r="CJ24" i="14"/>
  <c r="CK24" i="14"/>
  <c r="CO24" i="14"/>
  <c r="CT24" i="14"/>
  <c r="CZ24" i="14"/>
  <c r="DA24" i="14"/>
  <c r="DB24" i="14"/>
  <c r="DC24" i="14"/>
  <c r="W25" i="14"/>
  <c r="AB25" i="14"/>
  <c r="AG25" i="14"/>
  <c r="AL25" i="14"/>
  <c r="AR25" i="14"/>
  <c r="AX25" i="14"/>
  <c r="AY25" i="14"/>
  <c r="AZ25" i="14"/>
  <c r="BA25" i="14"/>
  <c r="BD25" i="14"/>
  <c r="BB25" i="14" s="1"/>
  <c r="BG25" i="14"/>
  <c r="BL25" i="14"/>
  <c r="DI25" i="14" s="1"/>
  <c r="CC25" i="14"/>
  <c r="CE25" i="14"/>
  <c r="CF25" i="14"/>
  <c r="CH25" i="14"/>
  <c r="CJ25" i="14"/>
  <c r="CK25" i="14"/>
  <c r="CO25" i="14"/>
  <c r="CT25" i="14"/>
  <c r="CZ25" i="14"/>
  <c r="DA25" i="14"/>
  <c r="DB25" i="14"/>
  <c r="DC25" i="14"/>
  <c r="W26" i="14"/>
  <c r="AB26" i="14"/>
  <c r="AG26" i="14"/>
  <c r="AL26" i="14"/>
  <c r="AR26" i="14"/>
  <c r="AX26" i="14"/>
  <c r="AY26" i="14"/>
  <c r="AZ26" i="14"/>
  <c r="BA26" i="14"/>
  <c r="BB26" i="14"/>
  <c r="CM26" i="14" s="1"/>
  <c r="BG26" i="14"/>
  <c r="BL26" i="14"/>
  <c r="CC26" i="14"/>
  <c r="CD26" i="14"/>
  <c r="CE26" i="14"/>
  <c r="CF26" i="14"/>
  <c r="CH26" i="14"/>
  <c r="CI26" i="14"/>
  <c r="CJ26" i="14"/>
  <c r="CK26" i="14"/>
  <c r="CO26" i="14"/>
  <c r="CT26" i="14"/>
  <c r="CZ26" i="14"/>
  <c r="DA26" i="14"/>
  <c r="DB26" i="14"/>
  <c r="DC26" i="14"/>
  <c r="W27" i="14"/>
  <c r="AB27" i="14"/>
  <c r="AG27" i="14"/>
  <c r="AL27" i="14"/>
  <c r="AR27" i="14"/>
  <c r="AX27" i="14"/>
  <c r="AY27" i="14"/>
  <c r="AZ27" i="14"/>
  <c r="BA27" i="14"/>
  <c r="BD27" i="14"/>
  <c r="BB27" i="14" s="1"/>
  <c r="BG27" i="14"/>
  <c r="BL27" i="14"/>
  <c r="CC27" i="14"/>
  <c r="CD27" i="14"/>
  <c r="CE27" i="14"/>
  <c r="CF27" i="14"/>
  <c r="CH27" i="14"/>
  <c r="CI27" i="14"/>
  <c r="CJ27" i="14"/>
  <c r="CK27" i="14"/>
  <c r="CO27" i="14"/>
  <c r="CT27" i="14"/>
  <c r="CZ27" i="14"/>
  <c r="DA27" i="14"/>
  <c r="DB27" i="14"/>
  <c r="DC27" i="14"/>
  <c r="W28" i="14"/>
  <c r="AB28" i="14"/>
  <c r="AG28" i="14"/>
  <c r="AL28" i="14"/>
  <c r="AR28" i="14"/>
  <c r="AX28" i="14"/>
  <c r="AY28" i="14"/>
  <c r="AZ28" i="14"/>
  <c r="BA28" i="14"/>
  <c r="BB28" i="14"/>
  <c r="BG28" i="14"/>
  <c r="BL28" i="14"/>
  <c r="CC28" i="14"/>
  <c r="CD28" i="14"/>
  <c r="CE28" i="14"/>
  <c r="CF28" i="14"/>
  <c r="CH28" i="14"/>
  <c r="CI28" i="14"/>
  <c r="CJ28" i="14"/>
  <c r="CK28" i="14"/>
  <c r="CO28" i="14"/>
  <c r="CT28" i="14"/>
  <c r="CZ28" i="14"/>
  <c r="DA28" i="14"/>
  <c r="DB28" i="14"/>
  <c r="DC28" i="14"/>
  <c r="W29" i="14"/>
  <c r="AB29" i="14"/>
  <c r="AG29" i="14"/>
  <c r="AL29" i="14"/>
  <c r="AR29" i="14"/>
  <c r="AX29" i="14"/>
  <c r="AY29" i="14"/>
  <c r="AZ29" i="14"/>
  <c r="BA29" i="14"/>
  <c r="BD29" i="14"/>
  <c r="BB29" i="14" s="1"/>
  <c r="BG29" i="14"/>
  <c r="BL29" i="14"/>
  <c r="CC29" i="14"/>
  <c r="CD29" i="14"/>
  <c r="CE29" i="14"/>
  <c r="CF29" i="14"/>
  <c r="CH29" i="14"/>
  <c r="CI29" i="14"/>
  <c r="CJ29" i="14"/>
  <c r="CK29" i="14"/>
  <c r="CO29" i="14"/>
  <c r="CT29" i="14"/>
  <c r="CZ29" i="14"/>
  <c r="DA29" i="14"/>
  <c r="DB29" i="14"/>
  <c r="DC29" i="14"/>
  <c r="W30" i="14"/>
  <c r="AB30" i="14"/>
  <c r="AG30" i="14"/>
  <c r="AL30" i="14"/>
  <c r="AR30" i="14"/>
  <c r="AY30" i="14"/>
  <c r="AX30" i="14"/>
  <c r="AZ30" i="14"/>
  <c r="BA30" i="14"/>
  <c r="BB30" i="14"/>
  <c r="BG30" i="14"/>
  <c r="BL30" i="14"/>
  <c r="CC30" i="14"/>
  <c r="CD30" i="14"/>
  <c r="CE30" i="14"/>
  <c r="CF30" i="14"/>
  <c r="CH30" i="14"/>
  <c r="CI30" i="14"/>
  <c r="CJ30" i="14"/>
  <c r="CK30" i="14"/>
  <c r="CO30" i="14"/>
  <c r="CT30" i="14"/>
  <c r="CZ30" i="14"/>
  <c r="DA30" i="14"/>
  <c r="DB30" i="14"/>
  <c r="DC30" i="14"/>
  <c r="W31" i="14"/>
  <c r="AB31" i="14"/>
  <c r="AG31" i="14"/>
  <c r="AL31" i="14"/>
  <c r="AX31" i="14"/>
  <c r="AZ31" i="14"/>
  <c r="BA31" i="14"/>
  <c r="BD31" i="14"/>
  <c r="BB31" i="14" s="1"/>
  <c r="BG31" i="14"/>
  <c r="BL31" i="14"/>
  <c r="CC31" i="14"/>
  <c r="CD31" i="14"/>
  <c r="CE31" i="14"/>
  <c r="CF31" i="14"/>
  <c r="CH31" i="14"/>
  <c r="CI31" i="14"/>
  <c r="CJ31" i="14"/>
  <c r="CK31" i="14"/>
  <c r="CO31" i="14"/>
  <c r="CT31" i="14"/>
  <c r="CZ31" i="14"/>
  <c r="DA31" i="14"/>
  <c r="DB31" i="14"/>
  <c r="DC31" i="14"/>
  <c r="W32" i="14"/>
  <c r="AB32" i="14"/>
  <c r="AG32" i="14"/>
  <c r="AL32" i="14"/>
  <c r="AR32" i="14"/>
  <c r="AX32" i="14"/>
  <c r="AY32" i="14"/>
  <c r="AZ32" i="14"/>
  <c r="BA32" i="14"/>
  <c r="BD32" i="14"/>
  <c r="BB32" i="14" s="1"/>
  <c r="BG32" i="14"/>
  <c r="BL32" i="14"/>
  <c r="P32" i="14" s="1"/>
  <c r="CC32" i="14"/>
  <c r="CD32" i="14"/>
  <c r="CE32" i="14"/>
  <c r="CF32" i="14"/>
  <c r="CH32" i="14"/>
  <c r="CI32" i="14"/>
  <c r="CJ32" i="14"/>
  <c r="CK32" i="14"/>
  <c r="CO32" i="14"/>
  <c r="CT32" i="14"/>
  <c r="CZ32" i="14"/>
  <c r="DA32" i="14"/>
  <c r="DB32" i="14"/>
  <c r="DC32" i="14"/>
  <c r="W33" i="14"/>
  <c r="AB33" i="14"/>
  <c r="AG33" i="14"/>
  <c r="AL33" i="14"/>
  <c r="AR33" i="14"/>
  <c r="AX33" i="14"/>
  <c r="AY33" i="14"/>
  <c r="AZ33" i="14"/>
  <c r="BA33" i="14"/>
  <c r="BD33" i="14"/>
  <c r="BB33" i="14" s="1"/>
  <c r="BG33" i="14"/>
  <c r="BL33" i="14"/>
  <c r="CC33" i="14"/>
  <c r="CD33" i="14"/>
  <c r="CE33" i="14"/>
  <c r="CF33" i="14"/>
  <c r="CH33" i="14"/>
  <c r="CI33" i="14"/>
  <c r="CJ33" i="14"/>
  <c r="CK33" i="14"/>
  <c r="CO33" i="14"/>
  <c r="CT33" i="14"/>
  <c r="DJ33" i="14" s="1"/>
  <c r="CZ33" i="14"/>
  <c r="DA33" i="14"/>
  <c r="DB33" i="14"/>
  <c r="DC33" i="14"/>
  <c r="W34" i="14"/>
  <c r="AB34" i="14"/>
  <c r="AG34" i="14"/>
  <c r="AL34" i="14"/>
  <c r="AX34" i="14"/>
  <c r="AZ34" i="14"/>
  <c r="BA34" i="14"/>
  <c r="BD34" i="14"/>
  <c r="BB34" i="14" s="1"/>
  <c r="BG34" i="14"/>
  <c r="BL34" i="14"/>
  <c r="CI34" i="14"/>
  <c r="CC34" i="14"/>
  <c r="CE34" i="14"/>
  <c r="CF34" i="14"/>
  <c r="CH34" i="14"/>
  <c r="CJ34" i="14"/>
  <c r="CK34" i="14"/>
  <c r="CO34" i="14"/>
  <c r="CT34" i="14"/>
  <c r="CZ34" i="14"/>
  <c r="DA34" i="14"/>
  <c r="DB34" i="14"/>
  <c r="DC34" i="14"/>
  <c r="W35" i="14"/>
  <c r="AB35" i="14"/>
  <c r="AG35" i="14"/>
  <c r="AL35" i="14"/>
  <c r="AR35" i="14"/>
  <c r="AX35" i="14"/>
  <c r="AY35" i="14"/>
  <c r="AZ35" i="14"/>
  <c r="BA35" i="14"/>
  <c r="BD35" i="14"/>
  <c r="BB35" i="14" s="1"/>
  <c r="BG35" i="14"/>
  <c r="BL35" i="14"/>
  <c r="CC35" i="14"/>
  <c r="CD35" i="14"/>
  <c r="CE35" i="14"/>
  <c r="CF35" i="14"/>
  <c r="CH35" i="14"/>
  <c r="CI35" i="14"/>
  <c r="CJ35" i="14"/>
  <c r="CK35" i="14"/>
  <c r="CO35" i="14"/>
  <c r="CT35" i="14"/>
  <c r="CZ35" i="14"/>
  <c r="DA35" i="14"/>
  <c r="DB35" i="14"/>
  <c r="DC35" i="14"/>
  <c r="W36" i="14"/>
  <c r="AB36" i="14"/>
  <c r="AG36" i="14"/>
  <c r="AL36" i="14"/>
  <c r="AR36" i="14"/>
  <c r="AX36" i="14"/>
  <c r="AY36" i="14"/>
  <c r="AZ36" i="14"/>
  <c r="BA36" i="14"/>
  <c r="BB36" i="14"/>
  <c r="BG36" i="14"/>
  <c r="BL36" i="14"/>
  <c r="P36" i="14" s="1"/>
  <c r="CC36" i="14"/>
  <c r="CD36" i="14"/>
  <c r="CE36" i="14"/>
  <c r="CF36" i="14"/>
  <c r="CH36" i="14"/>
  <c r="CI36" i="14"/>
  <c r="CJ36" i="14"/>
  <c r="CK36" i="14"/>
  <c r="CO36" i="14"/>
  <c r="CT36" i="14"/>
  <c r="CZ36" i="14"/>
  <c r="DA36" i="14"/>
  <c r="DB36" i="14"/>
  <c r="DC36" i="14"/>
  <c r="W37" i="14"/>
  <c r="AB37" i="14"/>
  <c r="AG37" i="14"/>
  <c r="AL37" i="14"/>
  <c r="AR37" i="14"/>
  <c r="AX37" i="14"/>
  <c r="AY37" i="14"/>
  <c r="AZ37" i="14"/>
  <c r="BA37" i="14"/>
  <c r="BB37" i="14"/>
  <c r="BG37" i="14"/>
  <c r="BL37" i="14"/>
  <c r="CC37" i="14"/>
  <c r="CD37" i="14"/>
  <c r="CE37" i="14"/>
  <c r="CF37" i="14"/>
  <c r="CH37" i="14"/>
  <c r="CI37" i="14"/>
  <c r="CJ37" i="14"/>
  <c r="CK37" i="14"/>
  <c r="CO37" i="14"/>
  <c r="CT37" i="14"/>
  <c r="CZ37" i="14"/>
  <c r="DA37" i="14"/>
  <c r="DB37" i="14"/>
  <c r="DC37" i="14"/>
  <c r="W38" i="14"/>
  <c r="AB38" i="14"/>
  <c r="AG38" i="14"/>
  <c r="AL38" i="14"/>
  <c r="AR38" i="14"/>
  <c r="AX38" i="14"/>
  <c r="AY38" i="14"/>
  <c r="AZ38" i="14"/>
  <c r="BA38" i="14"/>
  <c r="BB38" i="14"/>
  <c r="BG38" i="14"/>
  <c r="BL38" i="14"/>
  <c r="CC38" i="14"/>
  <c r="CD38" i="14"/>
  <c r="CE38" i="14"/>
  <c r="CF38" i="14"/>
  <c r="CH38" i="14"/>
  <c r="CI38" i="14"/>
  <c r="CJ38" i="14"/>
  <c r="CK38" i="14"/>
  <c r="CO38" i="14"/>
  <c r="CT38" i="14"/>
  <c r="CZ38" i="14"/>
  <c r="DA38" i="14"/>
  <c r="DB38" i="14"/>
  <c r="DC38" i="14"/>
  <c r="V39" i="14"/>
  <c r="X39" i="14"/>
  <c r="Y39" i="14"/>
  <c r="AA39" i="14"/>
  <c r="AC39" i="14"/>
  <c r="AD39" i="14"/>
  <c r="AE39" i="14"/>
  <c r="AF39" i="14"/>
  <c r="AH39" i="14"/>
  <c r="AI39" i="14"/>
  <c r="AJ39" i="14"/>
  <c r="AK39" i="14"/>
  <c r="AM39" i="14"/>
  <c r="AN39" i="14"/>
  <c r="AO39" i="14"/>
  <c r="AP39" i="14"/>
  <c r="AU39" i="14"/>
  <c r="AV39" i="14"/>
  <c r="BF39" i="14"/>
  <c r="BH39" i="14"/>
  <c r="BI39" i="14"/>
  <c r="BJ39" i="14"/>
  <c r="BK39" i="14"/>
  <c r="BM39" i="14"/>
  <c r="BP39" i="14"/>
  <c r="BZ39" i="14"/>
  <c r="CP39" i="14"/>
  <c r="CQ39" i="14"/>
  <c r="CR39" i="14"/>
  <c r="CS39" i="14"/>
  <c r="CU39" i="14"/>
  <c r="CV39" i="14"/>
  <c r="CW39" i="14"/>
  <c r="CX39" i="14"/>
  <c r="DD39" i="14"/>
  <c r="DE39" i="14"/>
  <c r="W40" i="14"/>
  <c r="AB40" i="14"/>
  <c r="AG40" i="14"/>
  <c r="AL40" i="14"/>
  <c r="AR40" i="14"/>
  <c r="AX40" i="14"/>
  <c r="AY40" i="14"/>
  <c r="AZ40" i="14"/>
  <c r="BA40" i="14"/>
  <c r="BB40" i="14"/>
  <c r="BG40" i="14"/>
  <c r="BL40" i="14"/>
  <c r="CC40" i="14"/>
  <c r="CD40" i="14"/>
  <c r="CE40" i="14"/>
  <c r="CF40" i="14"/>
  <c r="CH40" i="14"/>
  <c r="CI40" i="14"/>
  <c r="CJ40" i="14"/>
  <c r="CK40" i="14"/>
  <c r="CM40" i="14"/>
  <c r="CO40" i="14"/>
  <c r="CT40" i="14"/>
  <c r="CZ40" i="14"/>
  <c r="DA40" i="14"/>
  <c r="DB40" i="14"/>
  <c r="DC40" i="14"/>
  <c r="W41" i="14"/>
  <c r="AB41" i="14"/>
  <c r="AG41" i="14"/>
  <c r="AL41" i="14"/>
  <c r="AR41" i="14"/>
  <c r="AX41" i="14"/>
  <c r="AY41" i="14"/>
  <c r="AZ41" i="14"/>
  <c r="BA41" i="14"/>
  <c r="BB41" i="14"/>
  <c r="BG41" i="14"/>
  <c r="BL41" i="14"/>
  <c r="CC41" i="14"/>
  <c r="CD41" i="14"/>
  <c r="CE41" i="14"/>
  <c r="CF41" i="14"/>
  <c r="CH41" i="14"/>
  <c r="CI41" i="14"/>
  <c r="CJ41" i="14"/>
  <c r="CK41" i="14"/>
  <c r="CO41" i="14"/>
  <c r="CT41" i="14"/>
  <c r="CZ41" i="14"/>
  <c r="DA41" i="14"/>
  <c r="DB41" i="14"/>
  <c r="DC41" i="14"/>
  <c r="W42" i="14"/>
  <c r="AB42" i="14"/>
  <c r="AG42" i="14"/>
  <c r="AL42" i="14"/>
  <c r="AX42" i="14"/>
  <c r="AZ42" i="14"/>
  <c r="BA42" i="14"/>
  <c r="BD42" i="14"/>
  <c r="BB42" i="14" s="1"/>
  <c r="BG42" i="14"/>
  <c r="CC42" i="14"/>
  <c r="CD42" i="14"/>
  <c r="CE42" i="14"/>
  <c r="CF42" i="14"/>
  <c r="CH42" i="14"/>
  <c r="CJ42" i="14"/>
  <c r="CK42" i="14"/>
  <c r="CO42" i="14"/>
  <c r="CT42" i="14"/>
  <c r="CZ42" i="14"/>
  <c r="DA42" i="14"/>
  <c r="DB42" i="14"/>
  <c r="DC42" i="14"/>
  <c r="W43" i="14"/>
  <c r="AB43" i="14"/>
  <c r="AG43" i="14"/>
  <c r="AL43" i="14"/>
  <c r="AR43" i="14"/>
  <c r="AX43" i="14"/>
  <c r="AY43" i="14"/>
  <c r="AZ43" i="14"/>
  <c r="BA43" i="14"/>
  <c r="BB43" i="14"/>
  <c r="BG43" i="14"/>
  <c r="CI43" i="14"/>
  <c r="BO39" i="14"/>
  <c r="CC43" i="14"/>
  <c r="CF43" i="14"/>
  <c r="CH43" i="14"/>
  <c r="CK43" i="14"/>
  <c r="CO43" i="14"/>
  <c r="CT43" i="14"/>
  <c r="CZ43" i="14"/>
  <c r="DA43" i="14"/>
  <c r="DB43" i="14"/>
  <c r="DC43" i="14"/>
  <c r="W44" i="14"/>
  <c r="AB44" i="14"/>
  <c r="AG44" i="14"/>
  <c r="AL44" i="14"/>
  <c r="AR44" i="14"/>
  <c r="AX44" i="14"/>
  <c r="AY44" i="14"/>
  <c r="AZ44" i="14"/>
  <c r="BA44" i="14"/>
  <c r="BD44" i="14"/>
  <c r="BB44" i="14" s="1"/>
  <c r="BG44" i="14"/>
  <c r="BL44" i="14"/>
  <c r="CC44" i="14"/>
  <c r="CD44" i="14"/>
  <c r="CE44" i="14"/>
  <c r="CF44" i="14"/>
  <c r="CH44" i="14"/>
  <c r="CI44" i="14"/>
  <c r="CJ44" i="14"/>
  <c r="CK44" i="14"/>
  <c r="CO44" i="14"/>
  <c r="CT44" i="14"/>
  <c r="CZ44" i="14"/>
  <c r="DA44" i="14"/>
  <c r="DB44" i="14"/>
  <c r="DC44" i="14"/>
  <c r="W45" i="14"/>
  <c r="AB45" i="14"/>
  <c r="AG45" i="14"/>
  <c r="AL45" i="14"/>
  <c r="AR45" i="14"/>
  <c r="AX45" i="14"/>
  <c r="AY45" i="14"/>
  <c r="AZ45" i="14"/>
  <c r="BA45" i="14"/>
  <c r="BD45" i="14"/>
  <c r="BB45" i="14" s="1"/>
  <c r="BG45" i="14"/>
  <c r="BL45" i="14"/>
  <c r="CC45" i="14"/>
  <c r="CD45" i="14"/>
  <c r="CE45" i="14"/>
  <c r="CF45" i="14"/>
  <c r="CH45" i="14"/>
  <c r="CI45" i="14"/>
  <c r="CJ45" i="14"/>
  <c r="CK45" i="14"/>
  <c r="CO45" i="14"/>
  <c r="CT45" i="14"/>
  <c r="CZ45" i="14"/>
  <c r="DA45" i="14"/>
  <c r="DB45" i="14"/>
  <c r="DC45" i="14"/>
  <c r="W46" i="14"/>
  <c r="AB46" i="14"/>
  <c r="AG46" i="14"/>
  <c r="AL46" i="14"/>
  <c r="AR46" i="14"/>
  <c r="AX46" i="14"/>
  <c r="AY46" i="14"/>
  <c r="AZ46" i="14"/>
  <c r="BA46" i="14"/>
  <c r="BD46" i="14"/>
  <c r="BB46" i="14" s="1"/>
  <c r="BG46" i="14"/>
  <c r="BL46" i="14"/>
  <c r="P46" i="14" s="1"/>
  <c r="CC46" i="14"/>
  <c r="CD46" i="14"/>
  <c r="CE46" i="14"/>
  <c r="CF46" i="14"/>
  <c r="CH46" i="14"/>
  <c r="CI46" i="14"/>
  <c r="CJ46" i="14"/>
  <c r="CK46" i="14"/>
  <c r="CO46" i="14"/>
  <c r="CT46" i="14"/>
  <c r="CZ46" i="14"/>
  <c r="DA46" i="14"/>
  <c r="DB46" i="14"/>
  <c r="DC46" i="14"/>
  <c r="W47" i="14"/>
  <c r="AB47" i="14"/>
  <c r="AG47" i="14"/>
  <c r="AL47" i="14"/>
  <c r="AR47" i="14"/>
  <c r="AX47" i="14"/>
  <c r="AY47" i="14"/>
  <c r="AZ47" i="14"/>
  <c r="BA47" i="14"/>
  <c r="BD47" i="14"/>
  <c r="BB47" i="14" s="1"/>
  <c r="BG47" i="14"/>
  <c r="BL47" i="14"/>
  <c r="CC47" i="14"/>
  <c r="CD47" i="14"/>
  <c r="CE47" i="14"/>
  <c r="CF47" i="14"/>
  <c r="CH47" i="14"/>
  <c r="CI47" i="14"/>
  <c r="CJ47" i="14"/>
  <c r="CK47" i="14"/>
  <c r="CO47" i="14"/>
  <c r="CT47" i="14"/>
  <c r="CZ47" i="14"/>
  <c r="DA47" i="14"/>
  <c r="DB47" i="14"/>
  <c r="DC47" i="14"/>
  <c r="W48" i="14"/>
  <c r="AB48" i="14"/>
  <c r="AG48" i="14"/>
  <c r="AL48" i="14"/>
  <c r="AR48" i="14"/>
  <c r="AX48" i="14"/>
  <c r="AY48" i="14"/>
  <c r="AZ48" i="14"/>
  <c r="BA48" i="14"/>
  <c r="BE48" i="14"/>
  <c r="BB48" i="14" s="1"/>
  <c r="BG48" i="14"/>
  <c r="BL48" i="14"/>
  <c r="CC48" i="14"/>
  <c r="CD48" i="14"/>
  <c r="CE48" i="14"/>
  <c r="CF48" i="14"/>
  <c r="CH48" i="14"/>
  <c r="CI48" i="14"/>
  <c r="CJ48" i="14"/>
  <c r="CK48" i="14"/>
  <c r="CO48" i="14"/>
  <c r="CT48" i="14"/>
  <c r="CZ48" i="14"/>
  <c r="DA48" i="14"/>
  <c r="DB48" i="14"/>
  <c r="DC48" i="14"/>
  <c r="DF48" i="14"/>
  <c r="DF39" i="14" s="1"/>
  <c r="W49" i="14"/>
  <c r="AB49" i="14"/>
  <c r="AG49" i="14"/>
  <c r="AL49" i="14"/>
  <c r="AR49" i="14"/>
  <c r="AX49" i="14"/>
  <c r="AY49" i="14"/>
  <c r="AZ49" i="14"/>
  <c r="BA49" i="14"/>
  <c r="BD49" i="14"/>
  <c r="BB49" i="14" s="1"/>
  <c r="BG49" i="14"/>
  <c r="CC49" i="14"/>
  <c r="CE49" i="14"/>
  <c r="CF49" i="14"/>
  <c r="CH49" i="14"/>
  <c r="CJ49" i="14"/>
  <c r="CK49" i="14"/>
  <c r="CO49" i="14"/>
  <c r="CT49" i="14"/>
  <c r="CZ49" i="14"/>
  <c r="DA49" i="14"/>
  <c r="DB49" i="14"/>
  <c r="DC49" i="14"/>
  <c r="W50" i="14"/>
  <c r="AB50" i="14"/>
  <c r="AG50" i="14"/>
  <c r="AL50" i="14"/>
  <c r="AR50" i="14"/>
  <c r="AX50" i="14"/>
  <c r="AY50" i="14"/>
  <c r="AZ50" i="14"/>
  <c r="BA50" i="14"/>
  <c r="BD50" i="14"/>
  <c r="BB50" i="14" s="1"/>
  <c r="BG50" i="14"/>
  <c r="BL50" i="14"/>
  <c r="CC50" i="14"/>
  <c r="CD50" i="14"/>
  <c r="CE50" i="14"/>
  <c r="CF50" i="14"/>
  <c r="CH50" i="14"/>
  <c r="CI50" i="14"/>
  <c r="CJ50" i="14"/>
  <c r="CK50" i="14"/>
  <c r="CO50" i="14"/>
  <c r="CT50" i="14"/>
  <c r="DJ50" i="14" s="1"/>
  <c r="CZ50" i="14"/>
  <c r="DA50" i="14"/>
  <c r="DB50" i="14"/>
  <c r="DC50" i="14"/>
  <c r="W51" i="14"/>
  <c r="AB51" i="14"/>
  <c r="AG51" i="14"/>
  <c r="AL51" i="14"/>
  <c r="AR51" i="14"/>
  <c r="AX51" i="14"/>
  <c r="AY51" i="14"/>
  <c r="AZ51" i="14"/>
  <c r="BA51" i="14"/>
  <c r="BC51" i="14"/>
  <c r="BB51" i="14" s="1"/>
  <c r="BG51" i="14"/>
  <c r="BL51" i="14"/>
  <c r="CC51" i="14"/>
  <c r="CE51" i="14"/>
  <c r="CF51" i="14"/>
  <c r="CH51" i="14"/>
  <c r="CJ51" i="14"/>
  <c r="CK51" i="14"/>
  <c r="CO51" i="14"/>
  <c r="CT51" i="14"/>
  <c r="CZ51" i="14"/>
  <c r="DA51" i="14"/>
  <c r="DB51" i="14"/>
  <c r="DC51" i="14"/>
  <c r="W52" i="14"/>
  <c r="AB52" i="14"/>
  <c r="AG52" i="14"/>
  <c r="AL52" i="14"/>
  <c r="AR52" i="14"/>
  <c r="AX52" i="14"/>
  <c r="AY52" i="14"/>
  <c r="AZ52" i="14"/>
  <c r="BA52" i="14"/>
  <c r="BD52" i="14"/>
  <c r="BB52" i="14" s="1"/>
  <c r="BG52" i="14"/>
  <c r="BL52" i="14"/>
  <c r="CC52" i="14"/>
  <c r="CD52" i="14"/>
  <c r="CE52" i="14"/>
  <c r="CF52" i="14"/>
  <c r="CH52" i="14"/>
  <c r="CI52" i="14"/>
  <c r="CJ52" i="14"/>
  <c r="CK52" i="14"/>
  <c r="CO52" i="14"/>
  <c r="CT52" i="14"/>
  <c r="DJ52" i="14" s="1"/>
  <c r="CZ52" i="14"/>
  <c r="DA52" i="14"/>
  <c r="DB52" i="14"/>
  <c r="DC52" i="14"/>
  <c r="W53" i="14"/>
  <c r="AB53" i="14"/>
  <c r="AG53" i="14"/>
  <c r="AL53" i="14"/>
  <c r="AR53" i="14"/>
  <c r="AX53" i="14"/>
  <c r="AY53" i="14"/>
  <c r="AZ53" i="14"/>
  <c r="BA53" i="14"/>
  <c r="BB53" i="14"/>
  <c r="BG53" i="14"/>
  <c r="BL53" i="14"/>
  <c r="CI53" i="14"/>
  <c r="CC53" i="14"/>
  <c r="CE53" i="14"/>
  <c r="CF53" i="14"/>
  <c r="CH53" i="14"/>
  <c r="CJ53" i="14"/>
  <c r="CK53" i="14"/>
  <c r="CO53" i="14"/>
  <c r="CT53" i="14"/>
  <c r="CZ53" i="14"/>
  <c r="DA53" i="14"/>
  <c r="DB53" i="14"/>
  <c r="DC53" i="14"/>
  <c r="W54" i="14"/>
  <c r="AB54" i="14"/>
  <c r="AG54" i="14"/>
  <c r="AL54" i="14"/>
  <c r="AR54" i="14"/>
  <c r="AX54" i="14"/>
  <c r="AY54" i="14"/>
  <c r="AZ54" i="14"/>
  <c r="BA54" i="14"/>
  <c r="BD54" i="14"/>
  <c r="BE54" i="14"/>
  <c r="BG54" i="14"/>
  <c r="BL54" i="14"/>
  <c r="CC54" i="14"/>
  <c r="CE54" i="14"/>
  <c r="CF54" i="14"/>
  <c r="CH54" i="14"/>
  <c r="CJ54" i="14"/>
  <c r="CK54" i="14"/>
  <c r="CO54" i="14"/>
  <c r="CT54" i="14"/>
  <c r="CZ54" i="14"/>
  <c r="DA54" i="14"/>
  <c r="DB54" i="14"/>
  <c r="DC54" i="14"/>
  <c r="W55" i="14"/>
  <c r="AB55" i="14"/>
  <c r="AG55" i="14"/>
  <c r="AL55" i="14"/>
  <c r="AR55" i="14"/>
  <c r="AX55" i="14"/>
  <c r="AZ55" i="14"/>
  <c r="BA55" i="14"/>
  <c r="BB55" i="14"/>
  <c r="BG55" i="14"/>
  <c r="BL55" i="14"/>
  <c r="CC55" i="14"/>
  <c r="CD55" i="14"/>
  <c r="CE55" i="14"/>
  <c r="CF55" i="14"/>
  <c r="CH55" i="14"/>
  <c r="CI55" i="14"/>
  <c r="CJ55" i="14"/>
  <c r="CK55" i="14"/>
  <c r="CO55" i="14"/>
  <c r="CT55" i="14"/>
  <c r="DJ55" i="14" s="1"/>
  <c r="CZ55" i="14"/>
  <c r="DA55" i="14"/>
  <c r="DB55" i="14"/>
  <c r="DC55" i="14"/>
  <c r="W56" i="14"/>
  <c r="AB56" i="14"/>
  <c r="AG56" i="14"/>
  <c r="AL56" i="14"/>
  <c r="AR56" i="14"/>
  <c r="AY56" i="14"/>
  <c r="AX56" i="14"/>
  <c r="AZ56" i="14"/>
  <c r="BA56" i="14"/>
  <c r="BD56" i="14"/>
  <c r="BB56" i="14" s="1"/>
  <c r="BG56" i="14"/>
  <c r="CC56" i="14"/>
  <c r="CD56" i="14"/>
  <c r="CE56" i="14"/>
  <c r="CF56" i="14"/>
  <c r="CH56" i="14"/>
  <c r="CJ56" i="14"/>
  <c r="CK56" i="14"/>
  <c r="CO56" i="14"/>
  <c r="CT56" i="14"/>
  <c r="CZ56" i="14"/>
  <c r="DA56" i="14"/>
  <c r="DB56" i="14"/>
  <c r="DC56" i="14"/>
  <c r="V57" i="14"/>
  <c r="X57" i="14"/>
  <c r="Y57" i="14"/>
  <c r="AA57" i="14"/>
  <c r="AC57" i="14"/>
  <c r="AD57" i="14"/>
  <c r="AE57" i="14"/>
  <c r="AF57" i="14"/>
  <c r="AH57" i="14"/>
  <c r="AI57" i="14"/>
  <c r="AJ57" i="14"/>
  <c r="AK57" i="14"/>
  <c r="AM57" i="14"/>
  <c r="AN57" i="14"/>
  <c r="AO57" i="14"/>
  <c r="AP57" i="14"/>
  <c r="AS57" i="14"/>
  <c r="AV57" i="14"/>
  <c r="BC57" i="14"/>
  <c r="BE57" i="14"/>
  <c r="BF57" i="14"/>
  <c r="BH57" i="14"/>
  <c r="BI57" i="14"/>
  <c r="BJ57" i="14"/>
  <c r="BK57" i="14"/>
  <c r="BM57" i="14"/>
  <c r="BP57" i="14"/>
  <c r="BZ57" i="14"/>
  <c r="CP57" i="14"/>
  <c r="CQ57" i="14"/>
  <c r="CR57" i="14"/>
  <c r="CS57" i="14"/>
  <c r="CU57" i="14"/>
  <c r="CV57" i="14"/>
  <c r="CW57" i="14"/>
  <c r="CX57" i="14"/>
  <c r="DD57" i="14"/>
  <c r="DE57" i="14"/>
  <c r="DF57" i="14"/>
  <c r="W58" i="14"/>
  <c r="AB58" i="14"/>
  <c r="AG58" i="14"/>
  <c r="AL58" i="14"/>
  <c r="AR58" i="14"/>
  <c r="AX58" i="14"/>
  <c r="AY58" i="14"/>
  <c r="AZ58" i="14"/>
  <c r="BA58" i="14"/>
  <c r="BB58" i="14"/>
  <c r="BG58" i="14"/>
  <c r="BL58" i="14"/>
  <c r="CC58" i="14"/>
  <c r="CD58" i="14"/>
  <c r="CE58" i="14"/>
  <c r="CF58" i="14"/>
  <c r="CH58" i="14"/>
  <c r="CI58" i="14"/>
  <c r="CJ58" i="14"/>
  <c r="CK58" i="14"/>
  <c r="CO58" i="14"/>
  <c r="CT58" i="14"/>
  <c r="CY58" i="14"/>
  <c r="W59" i="14"/>
  <c r="AB59" i="14"/>
  <c r="AG59" i="14"/>
  <c r="AL59" i="14"/>
  <c r="AR59" i="14"/>
  <c r="AX59" i="14"/>
  <c r="AY59" i="14"/>
  <c r="AZ59" i="14"/>
  <c r="BA59" i="14"/>
  <c r="BB59" i="14"/>
  <c r="BG59" i="14"/>
  <c r="BL59" i="14"/>
  <c r="CC59" i="14"/>
  <c r="CD59" i="14"/>
  <c r="CE59" i="14"/>
  <c r="CF59" i="14"/>
  <c r="CH59" i="14"/>
  <c r="CI59" i="14"/>
  <c r="CJ59" i="14"/>
  <c r="CK59" i="14"/>
  <c r="CO59" i="14"/>
  <c r="CT59" i="14"/>
  <c r="CY59" i="14"/>
  <c r="W60" i="14"/>
  <c r="AB60" i="14"/>
  <c r="AG60" i="14"/>
  <c r="AL60" i="14"/>
  <c r="AR60" i="14"/>
  <c r="AX60" i="14"/>
  <c r="AY60" i="14"/>
  <c r="AZ60" i="14"/>
  <c r="BA60" i="14"/>
  <c r="BD60" i="14"/>
  <c r="BB60" i="14" s="1"/>
  <c r="BG60" i="14"/>
  <c r="BL60" i="14"/>
  <c r="CC60" i="14"/>
  <c r="CD60" i="14"/>
  <c r="CE60" i="14"/>
  <c r="CF60" i="14"/>
  <c r="CH60" i="14"/>
  <c r="CI60" i="14"/>
  <c r="CJ60" i="14"/>
  <c r="CK60" i="14"/>
  <c r="CO60" i="14"/>
  <c r="CT60" i="14"/>
  <c r="CZ60" i="14"/>
  <c r="DA60" i="14"/>
  <c r="DB60" i="14"/>
  <c r="DC60" i="14"/>
  <c r="W61" i="14"/>
  <c r="AB61" i="14"/>
  <c r="AG61" i="14"/>
  <c r="AL61" i="14"/>
  <c r="AR61" i="14"/>
  <c r="AX61" i="14"/>
  <c r="AY61" i="14"/>
  <c r="AZ61" i="14"/>
  <c r="BA61" i="14"/>
  <c r="BB61" i="14"/>
  <c r="BG61" i="14"/>
  <c r="BL61" i="14"/>
  <c r="CC61" i="14"/>
  <c r="CD61" i="14"/>
  <c r="CE61" i="14"/>
  <c r="CF61" i="14"/>
  <c r="CH61" i="14"/>
  <c r="CI61" i="14"/>
  <c r="CJ61" i="14"/>
  <c r="CK61" i="14"/>
  <c r="CO61" i="14"/>
  <c r="CT61" i="14"/>
  <c r="CZ61" i="14"/>
  <c r="DA61" i="14"/>
  <c r="DB61" i="14"/>
  <c r="DC61" i="14"/>
  <c r="W62" i="14"/>
  <c r="AB62" i="14"/>
  <c r="AG62" i="14"/>
  <c r="AL62" i="14"/>
  <c r="AR62" i="14"/>
  <c r="AX62" i="14"/>
  <c r="AY62" i="14"/>
  <c r="AZ62" i="14"/>
  <c r="BA62" i="14"/>
  <c r="BD62" i="14"/>
  <c r="BB62" i="14" s="1"/>
  <c r="BG62" i="14"/>
  <c r="BL62" i="14"/>
  <c r="CC62" i="14"/>
  <c r="CD62" i="14"/>
  <c r="CE62" i="14"/>
  <c r="CF62" i="14"/>
  <c r="CH62" i="14"/>
  <c r="CI62" i="14"/>
  <c r="CJ62" i="14"/>
  <c r="CK62" i="14"/>
  <c r="CO62" i="14"/>
  <c r="CT62" i="14"/>
  <c r="CZ62" i="14"/>
  <c r="DA62" i="14"/>
  <c r="DB62" i="14"/>
  <c r="DC62" i="14"/>
  <c r="W63" i="14"/>
  <c r="AB63" i="14"/>
  <c r="AG63" i="14"/>
  <c r="AL63" i="14"/>
  <c r="AR63" i="14"/>
  <c r="AX63" i="14"/>
  <c r="AY63" i="14"/>
  <c r="AZ63" i="14"/>
  <c r="BA63" i="14"/>
  <c r="BD63" i="14"/>
  <c r="BB63" i="14" s="1"/>
  <c r="BG63" i="14"/>
  <c r="BL63" i="14"/>
  <c r="CC63" i="14"/>
  <c r="CD63" i="14"/>
  <c r="CE63" i="14"/>
  <c r="CF63" i="14"/>
  <c r="CH63" i="14"/>
  <c r="CI63" i="14"/>
  <c r="CJ63" i="14"/>
  <c r="CK63" i="14"/>
  <c r="CO63" i="14"/>
  <c r="CT63" i="14"/>
  <c r="CZ63" i="14"/>
  <c r="DA63" i="14"/>
  <c r="DB63" i="14"/>
  <c r="DC63" i="14"/>
  <c r="W64" i="14"/>
  <c r="AB64" i="14"/>
  <c r="AG64" i="14"/>
  <c r="AL64" i="14"/>
  <c r="AR64" i="14"/>
  <c r="AX64" i="14"/>
  <c r="AY64" i="14"/>
  <c r="AZ64" i="14"/>
  <c r="BA64" i="14"/>
  <c r="BB64" i="14"/>
  <c r="BG64" i="14"/>
  <c r="CC64" i="14"/>
  <c r="CE64" i="14"/>
  <c r="CF64" i="14"/>
  <c r="CH64" i="14"/>
  <c r="CJ64" i="14"/>
  <c r="CK64" i="14"/>
  <c r="CO64" i="14"/>
  <c r="CT64" i="14"/>
  <c r="CZ64" i="14"/>
  <c r="DA64" i="14"/>
  <c r="DB64" i="14"/>
  <c r="DC64" i="14"/>
  <c r="W65" i="14"/>
  <c r="AB65" i="14"/>
  <c r="AG65" i="14"/>
  <c r="AL65" i="14"/>
  <c r="AX65" i="14"/>
  <c r="AZ65" i="14"/>
  <c r="BA65" i="14"/>
  <c r="BD65" i="14"/>
  <c r="BB65" i="14" s="1"/>
  <c r="BG65" i="14"/>
  <c r="BL65" i="14"/>
  <c r="CC65" i="14"/>
  <c r="CD65" i="14"/>
  <c r="CE65" i="14"/>
  <c r="CF65" i="14"/>
  <c r="CH65" i="14"/>
  <c r="CJ65" i="14"/>
  <c r="CK65" i="14"/>
  <c r="CO65" i="14"/>
  <c r="CT65" i="14"/>
  <c r="CZ65" i="14"/>
  <c r="DA65" i="14"/>
  <c r="DB65" i="14"/>
  <c r="DC65" i="14"/>
  <c r="W66" i="14"/>
  <c r="AB66" i="14"/>
  <c r="AG66" i="14"/>
  <c r="AL66" i="14"/>
  <c r="AR66" i="14"/>
  <c r="AX66" i="14"/>
  <c r="AY66" i="14"/>
  <c r="AZ66" i="14"/>
  <c r="BA66" i="14"/>
  <c r="BD66" i="14"/>
  <c r="BB66" i="14" s="1"/>
  <c r="BG66" i="14"/>
  <c r="BL66" i="14"/>
  <c r="CC66" i="14"/>
  <c r="CD66" i="14"/>
  <c r="CE66" i="14"/>
  <c r="CF66" i="14"/>
  <c r="CH66" i="14"/>
  <c r="CI66" i="14"/>
  <c r="CJ66" i="14"/>
  <c r="CK66" i="14"/>
  <c r="CO66" i="14"/>
  <c r="CT66" i="14"/>
  <c r="CZ66" i="14"/>
  <c r="DA66" i="14"/>
  <c r="DB66" i="14"/>
  <c r="DC66" i="14"/>
  <c r="W67" i="14"/>
  <c r="AB67" i="14"/>
  <c r="AG67" i="14"/>
  <c r="AL67" i="14"/>
  <c r="AR67" i="14"/>
  <c r="AX67" i="14"/>
  <c r="AY67" i="14"/>
  <c r="AZ67" i="14"/>
  <c r="BA67" i="14"/>
  <c r="BB67" i="14"/>
  <c r="BG67" i="14"/>
  <c r="BL67" i="14"/>
  <c r="CC67" i="14"/>
  <c r="CD67" i="14"/>
  <c r="CE67" i="14"/>
  <c r="CF67" i="14"/>
  <c r="CH67" i="14"/>
  <c r="CI67" i="14"/>
  <c r="CJ67" i="14"/>
  <c r="CK67" i="14"/>
  <c r="CO67" i="14"/>
  <c r="CT67" i="14"/>
  <c r="CZ67" i="14"/>
  <c r="DA67" i="14"/>
  <c r="DB67" i="14"/>
  <c r="DC67" i="14"/>
  <c r="W68" i="14"/>
  <c r="AB68" i="14"/>
  <c r="AG68" i="14"/>
  <c r="AL68" i="14"/>
  <c r="AR68" i="14"/>
  <c r="AX68" i="14"/>
  <c r="AY68" i="14"/>
  <c r="AZ68" i="14"/>
  <c r="BA68" i="14"/>
  <c r="BB68" i="14"/>
  <c r="BG68" i="14"/>
  <c r="BL68" i="14"/>
  <c r="CC68" i="14"/>
  <c r="CD68" i="14"/>
  <c r="CE68" i="14"/>
  <c r="CF68" i="14"/>
  <c r="CH68" i="14"/>
  <c r="CI68" i="14"/>
  <c r="CJ68" i="14"/>
  <c r="CK68" i="14"/>
  <c r="CO68" i="14"/>
  <c r="CT68" i="14"/>
  <c r="DJ68" i="14" s="1"/>
  <c r="CZ68" i="14"/>
  <c r="DA68" i="14"/>
  <c r="DB68" i="14"/>
  <c r="DC68" i="14"/>
  <c r="W69" i="14"/>
  <c r="AB69" i="14"/>
  <c r="AG69" i="14"/>
  <c r="AL69" i="14"/>
  <c r="AR69" i="14"/>
  <c r="AX69" i="14"/>
  <c r="AY69" i="14"/>
  <c r="AZ69" i="14"/>
  <c r="BA69" i="14"/>
  <c r="BB69" i="14"/>
  <c r="BG69" i="14"/>
  <c r="BL69" i="14"/>
  <c r="CC69" i="14"/>
  <c r="CD69" i="14"/>
  <c r="CE69" i="14"/>
  <c r="CF69" i="14"/>
  <c r="CH69" i="14"/>
  <c r="CI69" i="14"/>
  <c r="CJ69" i="14"/>
  <c r="CK69" i="14"/>
  <c r="CO69" i="14"/>
  <c r="CT69" i="14"/>
  <c r="CZ69" i="14"/>
  <c r="DA69" i="14"/>
  <c r="DB69" i="14"/>
  <c r="DC69" i="14"/>
  <c r="W70" i="14"/>
  <c r="AB70" i="14"/>
  <c r="AG70" i="14"/>
  <c r="AL70" i="14"/>
  <c r="AR70" i="14"/>
  <c r="AX70" i="14"/>
  <c r="AY70" i="14"/>
  <c r="AZ70" i="14"/>
  <c r="BA70" i="14"/>
  <c r="BB70" i="14"/>
  <c r="BG70" i="14"/>
  <c r="BL70" i="14"/>
  <c r="P70" i="14" s="1"/>
  <c r="CC70" i="14"/>
  <c r="CD70" i="14"/>
  <c r="CE70" i="14"/>
  <c r="CF70" i="14"/>
  <c r="CH70" i="14"/>
  <c r="CI70" i="14"/>
  <c r="CJ70" i="14"/>
  <c r="CK70" i="14"/>
  <c r="CO70" i="14"/>
  <c r="CT70" i="14"/>
  <c r="CZ70" i="14"/>
  <c r="DA70" i="14"/>
  <c r="DB70" i="14"/>
  <c r="DC70" i="14"/>
  <c r="W71" i="14"/>
  <c r="AB71" i="14"/>
  <c r="AG71" i="14"/>
  <c r="AL71" i="14"/>
  <c r="AR71" i="14"/>
  <c r="AX71" i="14"/>
  <c r="AY71" i="14"/>
  <c r="AZ71" i="14"/>
  <c r="BA71" i="14"/>
  <c r="BB71" i="14"/>
  <c r="BG71" i="14"/>
  <c r="BL71" i="14"/>
  <c r="CC71" i="14"/>
  <c r="CD71" i="14"/>
  <c r="CE71" i="14"/>
  <c r="CF71" i="14"/>
  <c r="CH71" i="14"/>
  <c r="CI71" i="14"/>
  <c r="CJ71" i="14"/>
  <c r="CK71" i="14"/>
  <c r="CO71" i="14"/>
  <c r="CT71" i="14"/>
  <c r="CZ71" i="14"/>
  <c r="DA71" i="14"/>
  <c r="DB71" i="14"/>
  <c r="DC71" i="14"/>
  <c r="W72" i="14"/>
  <c r="AB72" i="14"/>
  <c r="AG72" i="14"/>
  <c r="AL72" i="14"/>
  <c r="AR72" i="14"/>
  <c r="AX72" i="14"/>
  <c r="AY72" i="14"/>
  <c r="AZ72" i="14"/>
  <c r="BA72" i="14"/>
  <c r="BB72" i="14"/>
  <c r="BG72" i="14"/>
  <c r="BL72" i="14"/>
  <c r="CC72" i="14"/>
  <c r="CD72" i="14"/>
  <c r="CE72" i="14"/>
  <c r="CF72" i="14"/>
  <c r="CH72" i="14"/>
  <c r="CI72" i="14"/>
  <c r="CJ72" i="14"/>
  <c r="CK72" i="14"/>
  <c r="CO72" i="14"/>
  <c r="CT72" i="14"/>
  <c r="CZ72" i="14"/>
  <c r="DA72" i="14"/>
  <c r="DB72" i="14"/>
  <c r="DC72" i="14"/>
  <c r="W73" i="14"/>
  <c r="AB73" i="14"/>
  <c r="AG73" i="14"/>
  <c r="AL73" i="14"/>
  <c r="AR73" i="14"/>
  <c r="AX73" i="14"/>
  <c r="AY73" i="14"/>
  <c r="AZ73" i="14"/>
  <c r="BA73" i="14"/>
  <c r="BD73" i="14"/>
  <c r="BB73" i="14" s="1"/>
  <c r="BG73" i="14"/>
  <c r="BL73" i="14"/>
  <c r="CC73" i="14"/>
  <c r="CD73" i="14"/>
  <c r="CE73" i="14"/>
  <c r="CF73" i="14"/>
  <c r="CH73" i="14"/>
  <c r="CI73" i="14"/>
  <c r="CJ73" i="14"/>
  <c r="CK73" i="14"/>
  <c r="CO73" i="14"/>
  <c r="CT73" i="14"/>
  <c r="CZ73" i="14"/>
  <c r="DA73" i="14"/>
  <c r="DB73" i="14"/>
  <c r="DC73" i="14"/>
  <c r="W74" i="14"/>
  <c r="AB74" i="14"/>
  <c r="AG74" i="14"/>
  <c r="AL74" i="14"/>
  <c r="AR74" i="14"/>
  <c r="AX74" i="14"/>
  <c r="AY74" i="14"/>
  <c r="AZ74" i="14"/>
  <c r="BA74" i="14"/>
  <c r="BB74" i="14"/>
  <c r="BD74" i="14"/>
  <c r="BG74" i="14"/>
  <c r="BL74" i="14"/>
  <c r="CC74" i="14"/>
  <c r="CD74" i="14"/>
  <c r="CE74" i="14"/>
  <c r="CF74" i="14"/>
  <c r="CH74" i="14"/>
  <c r="CI74" i="14"/>
  <c r="CJ74" i="14"/>
  <c r="CK74" i="14"/>
  <c r="CO74" i="14"/>
  <c r="CT74" i="14"/>
  <c r="CZ74" i="14"/>
  <c r="DA74" i="14"/>
  <c r="DB74" i="14"/>
  <c r="DC74" i="14"/>
  <c r="W75" i="14"/>
  <c r="AB75" i="14"/>
  <c r="AG75" i="14"/>
  <c r="AL75" i="14"/>
  <c r="AR75" i="14"/>
  <c r="AX75" i="14"/>
  <c r="AY75" i="14"/>
  <c r="AZ75" i="14"/>
  <c r="BA75" i="14"/>
  <c r="BD75" i="14"/>
  <c r="BB75" i="14" s="1"/>
  <c r="BG75" i="14"/>
  <c r="BL75" i="14"/>
  <c r="CC75" i="14"/>
  <c r="CD75" i="14"/>
  <c r="CE75" i="14"/>
  <c r="CF75" i="14"/>
  <c r="CH75" i="14"/>
  <c r="CI75" i="14"/>
  <c r="CJ75" i="14"/>
  <c r="CK75" i="14"/>
  <c r="CO75" i="14"/>
  <c r="CT75" i="14"/>
  <c r="CZ75" i="14"/>
  <c r="DA75" i="14"/>
  <c r="DB75" i="14"/>
  <c r="DC75" i="14"/>
  <c r="W76" i="14"/>
  <c r="AB76" i="14"/>
  <c r="AG76" i="14"/>
  <c r="AL76" i="14"/>
  <c r="AX76" i="14"/>
  <c r="AY76" i="14"/>
  <c r="BA76" i="14"/>
  <c r="BB76" i="14"/>
  <c r="BG76" i="14"/>
  <c r="CC76" i="14"/>
  <c r="CD76" i="14"/>
  <c r="CF76" i="14"/>
  <c r="CH76" i="14"/>
  <c r="CI76" i="14"/>
  <c r="CK76" i="14"/>
  <c r="CO76" i="14"/>
  <c r="CT76" i="14"/>
  <c r="CZ76" i="14"/>
  <c r="DA76" i="14"/>
  <c r="DB76" i="14"/>
  <c r="DC76" i="14"/>
  <c r="W77" i="14"/>
  <c r="AB77" i="14"/>
  <c r="AG77" i="14"/>
  <c r="AL77" i="14"/>
  <c r="AR77" i="14"/>
  <c r="AX77" i="14"/>
  <c r="AY77" i="14"/>
  <c r="AZ77" i="14"/>
  <c r="BA77" i="14"/>
  <c r="BB77" i="14"/>
  <c r="BG77" i="14"/>
  <c r="BL77" i="14"/>
  <c r="CC77" i="14"/>
  <c r="CD77" i="14"/>
  <c r="CE77" i="14"/>
  <c r="CF77" i="14"/>
  <c r="CH77" i="14"/>
  <c r="CI77" i="14"/>
  <c r="CJ77" i="14"/>
  <c r="CK77" i="14"/>
  <c r="CO77" i="14"/>
  <c r="CT77" i="14"/>
  <c r="CZ77" i="14"/>
  <c r="DA77" i="14"/>
  <c r="DB77" i="14"/>
  <c r="DC77" i="14"/>
  <c r="W78" i="14"/>
  <c r="AB78" i="14"/>
  <c r="AG78" i="14"/>
  <c r="AL78" i="14"/>
  <c r="AY78" i="14"/>
  <c r="AX78" i="14"/>
  <c r="AZ78" i="14"/>
  <c r="BA78" i="14"/>
  <c r="BB78" i="14"/>
  <c r="BG78" i="14"/>
  <c r="BL78" i="14"/>
  <c r="CC78" i="14"/>
  <c r="CE78" i="14"/>
  <c r="CF78" i="14"/>
  <c r="CH78" i="14"/>
  <c r="CI78" i="14"/>
  <c r="CJ78" i="14"/>
  <c r="CK78" i="14"/>
  <c r="CO78" i="14"/>
  <c r="CT78" i="14"/>
  <c r="CZ78" i="14"/>
  <c r="DA78" i="14"/>
  <c r="DB78" i="14"/>
  <c r="DC78" i="14"/>
  <c r="V79" i="14"/>
  <c r="Y79" i="14"/>
  <c r="AA79" i="14"/>
  <c r="AC79" i="14"/>
  <c r="AD79" i="14"/>
  <c r="AE79" i="14"/>
  <c r="AF79" i="14"/>
  <c r="AH79" i="14"/>
  <c r="AI79" i="14"/>
  <c r="AJ79" i="14"/>
  <c r="AK79" i="14"/>
  <c r="AM79" i="14"/>
  <c r="AN79" i="14"/>
  <c r="AO79" i="14"/>
  <c r="AP79" i="14"/>
  <c r="AU79" i="14"/>
  <c r="AV79" i="14"/>
  <c r="BC79" i="14"/>
  <c r="BF79" i="14"/>
  <c r="BH79" i="14"/>
  <c r="BI79" i="14"/>
  <c r="BJ79" i="14"/>
  <c r="BK79" i="14"/>
  <c r="BM79" i="14"/>
  <c r="BP79" i="14"/>
  <c r="BZ79" i="14"/>
  <c r="CP79" i="14"/>
  <c r="CQ79" i="14"/>
  <c r="CR79" i="14"/>
  <c r="CS79" i="14"/>
  <c r="CU79" i="14"/>
  <c r="CV79" i="14"/>
  <c r="CW79" i="14"/>
  <c r="CX79" i="14"/>
  <c r="DD79" i="14"/>
  <c r="DE79" i="14"/>
  <c r="DF79" i="14"/>
  <c r="W80" i="14"/>
  <c r="AB80" i="14"/>
  <c r="AG80" i="14"/>
  <c r="AL80" i="14"/>
  <c r="AR80" i="14"/>
  <c r="AX80" i="14"/>
  <c r="AY80" i="14"/>
  <c r="AZ80" i="14"/>
  <c r="BA80" i="14"/>
  <c r="BB80" i="14"/>
  <c r="BG80" i="14"/>
  <c r="BL80" i="14"/>
  <c r="CC80" i="14"/>
  <c r="CD80" i="14"/>
  <c r="CE80" i="14"/>
  <c r="CF80" i="14"/>
  <c r="CH80" i="14"/>
  <c r="CI80" i="14"/>
  <c r="CJ80" i="14"/>
  <c r="CK80" i="14"/>
  <c r="CO80" i="14"/>
  <c r="CT80" i="14"/>
  <c r="CZ80" i="14"/>
  <c r="DA80" i="14"/>
  <c r="DB80" i="14"/>
  <c r="DC80" i="14"/>
  <c r="W81" i="14"/>
  <c r="AB81" i="14"/>
  <c r="AG81" i="14"/>
  <c r="AL81" i="14"/>
  <c r="AR81" i="14"/>
  <c r="AX81" i="14"/>
  <c r="AY81" i="14"/>
  <c r="AZ81" i="14"/>
  <c r="BA81" i="14"/>
  <c r="BB81" i="14"/>
  <c r="BG81" i="14"/>
  <c r="BL81" i="14"/>
  <c r="CC81" i="14"/>
  <c r="CD81" i="14"/>
  <c r="CE81" i="14"/>
  <c r="CF81" i="14"/>
  <c r="CH81" i="14"/>
  <c r="CI81" i="14"/>
  <c r="CJ81" i="14"/>
  <c r="CK81" i="14"/>
  <c r="CO81" i="14"/>
  <c r="CT81" i="14"/>
  <c r="CZ81" i="14"/>
  <c r="DA81" i="14"/>
  <c r="DB81" i="14"/>
  <c r="DC81" i="14"/>
  <c r="W82" i="14"/>
  <c r="X79" i="14"/>
  <c r="AB82" i="14"/>
  <c r="AG82" i="14"/>
  <c r="AL82" i="14"/>
  <c r="AR82" i="14"/>
  <c r="AS79" i="14"/>
  <c r="AY82" i="14"/>
  <c r="AZ82" i="14"/>
  <c r="BA82" i="14"/>
  <c r="BD82" i="14"/>
  <c r="BE82" i="14"/>
  <c r="BG82" i="14"/>
  <c r="CC82" i="14"/>
  <c r="CD82" i="14"/>
  <c r="CE82" i="14"/>
  <c r="CF82" i="14"/>
  <c r="CH82" i="14"/>
  <c r="CI82" i="14"/>
  <c r="CK82" i="14"/>
  <c r="CO82" i="14"/>
  <c r="CT82" i="14"/>
  <c r="CZ82" i="14"/>
  <c r="DA82" i="14"/>
  <c r="DB82" i="14"/>
  <c r="DC82" i="14"/>
  <c r="W83" i="14"/>
  <c r="AB83" i="14"/>
  <c r="AG83" i="14"/>
  <c r="AL83" i="14"/>
  <c r="AR83" i="14"/>
  <c r="AX83" i="14"/>
  <c r="AY83" i="14"/>
  <c r="AZ83" i="14"/>
  <c r="BA83" i="14"/>
  <c r="BB83" i="14"/>
  <c r="BG83" i="14"/>
  <c r="BL83" i="14"/>
  <c r="CC83" i="14"/>
  <c r="CD83" i="14"/>
  <c r="CE83" i="14"/>
  <c r="CF83" i="14"/>
  <c r="CH83" i="14"/>
  <c r="CI83" i="14"/>
  <c r="CJ83" i="14"/>
  <c r="CK83" i="14"/>
  <c r="CO83" i="14"/>
  <c r="CT83" i="14"/>
  <c r="CZ83" i="14"/>
  <c r="DA83" i="14"/>
  <c r="DB83" i="14"/>
  <c r="DC83" i="14"/>
  <c r="W84" i="14"/>
  <c r="AB84" i="14"/>
  <c r="AG84" i="14"/>
  <c r="AL84" i="14"/>
  <c r="AR84" i="14"/>
  <c r="AX84" i="14"/>
  <c r="AY84" i="14"/>
  <c r="AZ84" i="14"/>
  <c r="BA84" i="14"/>
  <c r="BD84" i="14"/>
  <c r="BG84" i="14"/>
  <c r="BL84" i="14"/>
  <c r="CC84" i="14"/>
  <c r="CD84" i="14"/>
  <c r="CE84" i="14"/>
  <c r="CF84" i="14"/>
  <c r="CH84" i="14"/>
  <c r="CI84" i="14"/>
  <c r="CJ84" i="14"/>
  <c r="CK84" i="14"/>
  <c r="CO84" i="14"/>
  <c r="CT84" i="14"/>
  <c r="CZ84" i="14"/>
  <c r="DA84" i="14"/>
  <c r="DB84" i="14"/>
  <c r="DC84" i="14"/>
  <c r="W85" i="14"/>
  <c r="AB85" i="14"/>
  <c r="AG85" i="14"/>
  <c r="AL85" i="14"/>
  <c r="AR85" i="14"/>
  <c r="AX85" i="14"/>
  <c r="AY85" i="14"/>
  <c r="AZ85" i="14"/>
  <c r="BA85" i="14"/>
  <c r="BD85" i="14"/>
  <c r="BB85" i="14" s="1"/>
  <c r="BG85" i="14"/>
  <c r="BL85" i="14"/>
  <c r="CC85" i="14"/>
  <c r="CD85" i="14"/>
  <c r="CE85" i="14"/>
  <c r="CF85" i="14"/>
  <c r="CH85" i="14"/>
  <c r="CI85" i="14"/>
  <c r="CJ85" i="14"/>
  <c r="CK85" i="14"/>
  <c r="CO85" i="14"/>
  <c r="CT85" i="14"/>
  <c r="CZ85" i="14"/>
  <c r="DA85" i="14"/>
  <c r="DB85" i="14"/>
  <c r="DC85" i="14"/>
  <c r="W86" i="14"/>
  <c r="AB86" i="14"/>
  <c r="AG86" i="14"/>
  <c r="AL86" i="14"/>
  <c r="AR86" i="14"/>
  <c r="AX86" i="14"/>
  <c r="AY86" i="14"/>
  <c r="AZ86" i="14"/>
  <c r="BA86" i="14"/>
  <c r="BB86" i="14"/>
  <c r="BG86" i="14"/>
  <c r="BL86" i="14"/>
  <c r="CC86" i="14"/>
  <c r="CD86" i="14"/>
  <c r="CE86" i="14"/>
  <c r="CF86" i="14"/>
  <c r="CH86" i="14"/>
  <c r="CI86" i="14"/>
  <c r="CJ86" i="14"/>
  <c r="CK86" i="14"/>
  <c r="CO86" i="14"/>
  <c r="CT86" i="14"/>
  <c r="CZ86" i="14"/>
  <c r="DA86" i="14"/>
  <c r="DB86" i="14"/>
  <c r="DC86" i="14"/>
  <c r="W87" i="14"/>
  <c r="AB87" i="14"/>
  <c r="AG87" i="14"/>
  <c r="AL87" i="14"/>
  <c r="AR87" i="14"/>
  <c r="AX87" i="14"/>
  <c r="AY87" i="14"/>
  <c r="AZ87" i="14"/>
  <c r="BA87" i="14"/>
  <c r="BD87" i="14"/>
  <c r="BB87" i="14" s="1"/>
  <c r="BG87" i="14"/>
  <c r="BL87" i="14"/>
  <c r="CC87" i="14"/>
  <c r="CD87" i="14"/>
  <c r="CE87" i="14"/>
  <c r="CF87" i="14"/>
  <c r="CH87" i="14"/>
  <c r="CI87" i="14"/>
  <c r="CJ87" i="14"/>
  <c r="CK87" i="14"/>
  <c r="CO87" i="14"/>
  <c r="CT87" i="14"/>
  <c r="CZ87" i="14"/>
  <c r="DA87" i="14"/>
  <c r="DB87" i="14"/>
  <c r="DC87" i="14"/>
  <c r="W88" i="14"/>
  <c r="AB88" i="14"/>
  <c r="AG88" i="14"/>
  <c r="AL88" i="14"/>
  <c r="AR88" i="14"/>
  <c r="AX88" i="14"/>
  <c r="AY88" i="14"/>
  <c r="AZ88" i="14"/>
  <c r="BA88" i="14"/>
  <c r="BD88" i="14"/>
  <c r="BB88" i="14" s="1"/>
  <c r="BG88" i="14"/>
  <c r="BL88" i="14"/>
  <c r="CC88" i="14"/>
  <c r="CD88" i="14"/>
  <c r="CE88" i="14"/>
  <c r="CF88" i="14"/>
  <c r="CH88" i="14"/>
  <c r="CI88" i="14"/>
  <c r="CJ88" i="14"/>
  <c r="CK88" i="14"/>
  <c r="CO88" i="14"/>
  <c r="CT88" i="14"/>
  <c r="CZ88" i="14"/>
  <c r="DA88" i="14"/>
  <c r="DB88" i="14"/>
  <c r="DC88" i="14"/>
  <c r="W89" i="14"/>
  <c r="AB89" i="14"/>
  <c r="AG89" i="14"/>
  <c r="AL89" i="14"/>
  <c r="AR89" i="14"/>
  <c r="AX89" i="14"/>
  <c r="AY89" i="14"/>
  <c r="AZ89" i="14"/>
  <c r="BA89" i="14"/>
  <c r="BB89" i="14"/>
  <c r="BG89" i="14"/>
  <c r="BL89" i="14"/>
  <c r="CC89" i="14"/>
  <c r="CD89" i="14"/>
  <c r="CE89" i="14"/>
  <c r="CF89" i="14"/>
  <c r="CH89" i="14"/>
  <c r="CI89" i="14"/>
  <c r="CJ89" i="14"/>
  <c r="CK89" i="14"/>
  <c r="CO89" i="14"/>
  <c r="CT89" i="14"/>
  <c r="DJ89" i="14" s="1"/>
  <c r="CZ89" i="14"/>
  <c r="DA89" i="14"/>
  <c r="DB89" i="14"/>
  <c r="DC89" i="14"/>
  <c r="W90" i="14"/>
  <c r="AB90" i="14"/>
  <c r="AG90" i="14"/>
  <c r="AL90" i="14"/>
  <c r="AR90" i="14"/>
  <c r="AX90" i="14"/>
  <c r="AY90" i="14"/>
  <c r="AZ90" i="14"/>
  <c r="BA90" i="14"/>
  <c r="BD90" i="14"/>
  <c r="BE90" i="14"/>
  <c r="BG90" i="14"/>
  <c r="CC90" i="14"/>
  <c r="CE90" i="14"/>
  <c r="CF90" i="14"/>
  <c r="CH90" i="14"/>
  <c r="CJ90" i="14"/>
  <c r="CK90" i="14"/>
  <c r="CO90" i="14"/>
  <c r="CT90" i="14"/>
  <c r="CZ90" i="14"/>
  <c r="DA90" i="14"/>
  <c r="DB90" i="14"/>
  <c r="DC90" i="14"/>
  <c r="W91" i="14"/>
  <c r="AB91" i="14"/>
  <c r="AG91" i="14"/>
  <c r="AL91" i="14"/>
  <c r="AX91" i="14"/>
  <c r="AZ91" i="14"/>
  <c r="BA91" i="14"/>
  <c r="BD91" i="14"/>
  <c r="BB91" i="14" s="1"/>
  <c r="BG91" i="14"/>
  <c r="BL91" i="14"/>
  <c r="CC91" i="14"/>
  <c r="CD91" i="14"/>
  <c r="CE91" i="14"/>
  <c r="CF91" i="14"/>
  <c r="CH91" i="14"/>
  <c r="CI91" i="14"/>
  <c r="CJ91" i="14"/>
  <c r="CK91" i="14"/>
  <c r="CO91" i="14"/>
  <c r="CT91" i="14"/>
  <c r="CZ91" i="14"/>
  <c r="DA91" i="14"/>
  <c r="DB91" i="14"/>
  <c r="DC91" i="14"/>
  <c r="W92" i="14"/>
  <c r="AB92" i="14"/>
  <c r="AG92" i="14"/>
  <c r="AL92" i="14"/>
  <c r="AR92" i="14"/>
  <c r="AX92" i="14"/>
  <c r="AY92" i="14"/>
  <c r="AZ92" i="14"/>
  <c r="BA92" i="14"/>
  <c r="BD92" i="14"/>
  <c r="BB92" i="14" s="1"/>
  <c r="BG92" i="14"/>
  <c r="BL92" i="14"/>
  <c r="CC92" i="14"/>
  <c r="CD92" i="14"/>
  <c r="CE92" i="14"/>
  <c r="CF92" i="14"/>
  <c r="CH92" i="14"/>
  <c r="CI92" i="14"/>
  <c r="CJ92" i="14"/>
  <c r="CK92" i="14"/>
  <c r="CO92" i="14"/>
  <c r="CT92" i="14"/>
  <c r="CZ92" i="14"/>
  <c r="DA92" i="14"/>
  <c r="DB92" i="14"/>
  <c r="DC92" i="14"/>
  <c r="W93" i="14"/>
  <c r="AB93" i="14"/>
  <c r="AG93" i="14"/>
  <c r="AL93" i="14"/>
  <c r="AR93" i="14"/>
  <c r="AX93" i="14"/>
  <c r="AZ93" i="14"/>
  <c r="BA93" i="14"/>
  <c r="BD93" i="14"/>
  <c r="BB93" i="14" s="1"/>
  <c r="BG93" i="14"/>
  <c r="CC93" i="14"/>
  <c r="CD93" i="14"/>
  <c r="CE93" i="14"/>
  <c r="CF93" i="14"/>
  <c r="CH93" i="14"/>
  <c r="CJ93" i="14"/>
  <c r="CK93" i="14"/>
  <c r="CO93" i="14"/>
  <c r="CT93" i="14"/>
  <c r="CZ93" i="14"/>
  <c r="DA93" i="14"/>
  <c r="DB93" i="14"/>
  <c r="DC93" i="14"/>
  <c r="V94" i="14"/>
  <c r="Y94" i="14"/>
  <c r="AA94" i="14"/>
  <c r="AC94" i="14"/>
  <c r="AD94" i="14"/>
  <c r="AE94" i="14"/>
  <c r="AF94" i="14"/>
  <c r="AH94" i="14"/>
  <c r="AI94" i="14"/>
  <c r="AJ94" i="14"/>
  <c r="AK94" i="14"/>
  <c r="AM94" i="14"/>
  <c r="AN94" i="14"/>
  <c r="AO94" i="14"/>
  <c r="AP94" i="14"/>
  <c r="AV94" i="14"/>
  <c r="BF94" i="14"/>
  <c r="BH94" i="14"/>
  <c r="BI94" i="14"/>
  <c r="BJ94" i="14"/>
  <c r="BK94" i="14"/>
  <c r="BM94" i="14"/>
  <c r="BP94" i="14"/>
  <c r="BZ94" i="14"/>
  <c r="CP94" i="14"/>
  <c r="CQ94" i="14"/>
  <c r="CR94" i="14"/>
  <c r="CS94" i="14"/>
  <c r="CU94" i="14"/>
  <c r="CV94" i="14"/>
  <c r="CW94" i="14"/>
  <c r="CX94" i="14"/>
  <c r="DD94" i="14"/>
  <c r="DE94" i="14"/>
  <c r="DF94" i="14"/>
  <c r="W95" i="14"/>
  <c r="AB95" i="14"/>
  <c r="AG95" i="14"/>
  <c r="AL95" i="14"/>
  <c r="AX95" i="14"/>
  <c r="AZ95" i="14"/>
  <c r="BA95" i="14"/>
  <c r="BC95" i="14"/>
  <c r="BB95" i="14" s="1"/>
  <c r="BG95" i="14"/>
  <c r="BL95" i="14"/>
  <c r="CC95" i="14"/>
  <c r="CD95" i="14"/>
  <c r="CE95" i="14"/>
  <c r="CF95" i="14"/>
  <c r="CH95" i="14"/>
  <c r="CI95" i="14"/>
  <c r="CJ95" i="14"/>
  <c r="CK95" i="14"/>
  <c r="CO95" i="14"/>
  <c r="DI95" i="14" s="1"/>
  <c r="CT95" i="14"/>
  <c r="CZ95" i="14"/>
  <c r="DA95" i="14"/>
  <c r="DB95" i="14"/>
  <c r="DC95" i="14"/>
  <c r="W96" i="14"/>
  <c r="AB96" i="14"/>
  <c r="AG96" i="14"/>
  <c r="AL96" i="14"/>
  <c r="AR96" i="14"/>
  <c r="AX96" i="14"/>
  <c r="AY96" i="14"/>
  <c r="AZ96" i="14"/>
  <c r="BA96" i="14"/>
  <c r="BB96" i="14"/>
  <c r="BG96" i="14"/>
  <c r="BL96" i="14"/>
  <c r="CC96" i="14"/>
  <c r="CD96" i="14"/>
  <c r="CE96" i="14"/>
  <c r="CF96" i="14"/>
  <c r="CH96" i="14"/>
  <c r="CI96" i="14"/>
  <c r="CJ96" i="14"/>
  <c r="CK96" i="14"/>
  <c r="CO96" i="14"/>
  <c r="CT96" i="14"/>
  <c r="CZ96" i="14"/>
  <c r="DA96" i="14"/>
  <c r="DB96" i="14"/>
  <c r="DC96" i="14"/>
  <c r="W97" i="14"/>
  <c r="AB97" i="14"/>
  <c r="AG97" i="14"/>
  <c r="AL97" i="14"/>
  <c r="AR97" i="14"/>
  <c r="AX97" i="14"/>
  <c r="AY97" i="14"/>
  <c r="AZ97" i="14"/>
  <c r="BA97" i="14"/>
  <c r="BD97" i="14"/>
  <c r="BB97" i="14" s="1"/>
  <c r="BG97" i="14"/>
  <c r="BL97" i="14"/>
  <c r="CC97" i="14"/>
  <c r="CD97" i="14"/>
  <c r="CE97" i="14"/>
  <c r="CF97" i="14"/>
  <c r="CH97" i="14"/>
  <c r="CI97" i="14"/>
  <c r="CJ97" i="14"/>
  <c r="CK97" i="14"/>
  <c r="CO97" i="14"/>
  <c r="CT97" i="14"/>
  <c r="CZ97" i="14"/>
  <c r="DA97" i="14"/>
  <c r="DB97" i="14"/>
  <c r="DC97" i="14"/>
  <c r="W98" i="14"/>
  <c r="AB98" i="14"/>
  <c r="AG98" i="14"/>
  <c r="AL98" i="14"/>
  <c r="AR98" i="14"/>
  <c r="AX98" i="14"/>
  <c r="AY98" i="14"/>
  <c r="AZ98" i="14"/>
  <c r="BA98" i="14"/>
  <c r="BB98" i="14"/>
  <c r="BG98" i="14"/>
  <c r="BL98" i="14"/>
  <c r="CC98" i="14"/>
  <c r="CD98" i="14"/>
  <c r="CE98" i="14"/>
  <c r="CF98" i="14"/>
  <c r="CH98" i="14"/>
  <c r="CI98" i="14"/>
  <c r="CJ98" i="14"/>
  <c r="CK98" i="14"/>
  <c r="CO98" i="14"/>
  <c r="CT98" i="14"/>
  <c r="CZ98" i="14"/>
  <c r="DA98" i="14"/>
  <c r="DB98" i="14"/>
  <c r="DC98" i="14"/>
  <c r="W99" i="14"/>
  <c r="AB99" i="14"/>
  <c r="AG99" i="14"/>
  <c r="AL99" i="14"/>
  <c r="AR99" i="14"/>
  <c r="AX99" i="14"/>
  <c r="AY99" i="14"/>
  <c r="AZ99" i="14"/>
  <c r="BA99" i="14"/>
  <c r="BD99" i="14"/>
  <c r="BB99" i="14" s="1"/>
  <c r="BG99" i="14"/>
  <c r="BL99" i="14"/>
  <c r="CC99" i="14"/>
  <c r="CD99" i="14"/>
  <c r="CE99" i="14"/>
  <c r="CF99" i="14"/>
  <c r="CH99" i="14"/>
  <c r="CI99" i="14"/>
  <c r="CJ99" i="14"/>
  <c r="CK99" i="14"/>
  <c r="CO99" i="14"/>
  <c r="CT99" i="14"/>
  <c r="CZ99" i="14"/>
  <c r="DA99" i="14"/>
  <c r="DB99" i="14"/>
  <c r="DC99" i="14"/>
  <c r="W100" i="14"/>
  <c r="AB100" i="14"/>
  <c r="AG100" i="14"/>
  <c r="AL100" i="14"/>
  <c r="AR100" i="14"/>
  <c r="AX100" i="14"/>
  <c r="AY100" i="14"/>
  <c r="AZ100" i="14"/>
  <c r="BA100" i="14"/>
  <c r="BB100" i="14"/>
  <c r="BG100" i="14"/>
  <c r="BL100" i="14"/>
  <c r="CC100" i="14"/>
  <c r="CD100" i="14"/>
  <c r="CE100" i="14"/>
  <c r="CF100" i="14"/>
  <c r="CH100" i="14"/>
  <c r="CI100" i="14"/>
  <c r="CJ100" i="14"/>
  <c r="CK100" i="14"/>
  <c r="CO100" i="14"/>
  <c r="CT100" i="14"/>
  <c r="CZ100" i="14"/>
  <c r="DA100" i="14"/>
  <c r="DB100" i="14"/>
  <c r="DC100" i="14"/>
  <c r="W101" i="14"/>
  <c r="AB101" i="14"/>
  <c r="AG101" i="14"/>
  <c r="AL101" i="14"/>
  <c r="AY101" i="14"/>
  <c r="AZ101" i="14"/>
  <c r="BA101" i="14"/>
  <c r="BC101" i="14"/>
  <c r="BD101" i="14"/>
  <c r="BE101" i="14"/>
  <c r="BE94" i="14" s="1"/>
  <c r="BG101" i="14"/>
  <c r="CC101" i="14"/>
  <c r="CD101" i="14"/>
  <c r="CE101" i="14"/>
  <c r="CF101" i="14"/>
  <c r="CI101" i="14"/>
  <c r="CJ101" i="14"/>
  <c r="CK101" i="14"/>
  <c r="CO101" i="14"/>
  <c r="CT101" i="14"/>
  <c r="CZ101" i="14"/>
  <c r="DA101" i="14"/>
  <c r="DB101" i="14"/>
  <c r="DC101" i="14"/>
  <c r="W102" i="14"/>
  <c r="AB102" i="14"/>
  <c r="AG102" i="14"/>
  <c r="AL102" i="14"/>
  <c r="AR102" i="14"/>
  <c r="AX102" i="14"/>
  <c r="AY102" i="14"/>
  <c r="AZ102" i="14"/>
  <c r="BA102" i="14"/>
  <c r="BD102" i="14"/>
  <c r="BB102" i="14" s="1"/>
  <c r="BG102" i="14"/>
  <c r="BL102" i="14"/>
  <c r="CC102" i="14"/>
  <c r="CD102" i="14"/>
  <c r="CE102" i="14"/>
  <c r="CF102" i="14"/>
  <c r="CH102" i="14"/>
  <c r="CI102" i="14"/>
  <c r="CJ102" i="14"/>
  <c r="CK102" i="14"/>
  <c r="CO102" i="14"/>
  <c r="CT102" i="14"/>
  <c r="CZ102" i="14"/>
  <c r="DA102" i="14"/>
  <c r="DB102" i="14"/>
  <c r="DC102" i="14"/>
  <c r="W103" i="14"/>
  <c r="AB103" i="14"/>
  <c r="AG103" i="14"/>
  <c r="AL103" i="14"/>
  <c r="AR103" i="14"/>
  <c r="AX103" i="14"/>
  <c r="AY103" i="14"/>
  <c r="AZ103" i="14"/>
  <c r="BA103" i="14"/>
  <c r="BB103" i="14"/>
  <c r="BG103" i="14"/>
  <c r="BL103" i="14"/>
  <c r="CC103" i="14"/>
  <c r="CD103" i="14"/>
  <c r="CE103" i="14"/>
  <c r="CF103" i="14"/>
  <c r="CH103" i="14"/>
  <c r="CI103" i="14"/>
  <c r="CJ103" i="14"/>
  <c r="CK103" i="14"/>
  <c r="CO103" i="14"/>
  <c r="CT103" i="14"/>
  <c r="CZ103" i="14"/>
  <c r="DA103" i="14"/>
  <c r="DB103" i="14"/>
  <c r="DC103" i="14"/>
  <c r="W104" i="14"/>
  <c r="AB104" i="14"/>
  <c r="AG104" i="14"/>
  <c r="AL104" i="14"/>
  <c r="AR104" i="14"/>
  <c r="AX104" i="14"/>
  <c r="AY104" i="14"/>
  <c r="AZ104" i="14"/>
  <c r="BA104" i="14"/>
  <c r="BB104" i="14"/>
  <c r="BD104" i="14"/>
  <c r="BG104" i="14"/>
  <c r="BL104" i="14"/>
  <c r="CC104" i="14"/>
  <c r="CD104" i="14"/>
  <c r="CE104" i="14"/>
  <c r="CF104" i="14"/>
  <c r="CH104" i="14"/>
  <c r="CI104" i="14"/>
  <c r="CJ104" i="14"/>
  <c r="CK104" i="14"/>
  <c r="CO104" i="14"/>
  <c r="CT104" i="14"/>
  <c r="CZ104" i="14"/>
  <c r="DA104" i="14"/>
  <c r="DB104" i="14"/>
  <c r="DC104" i="14"/>
  <c r="W105" i="14"/>
  <c r="AB105" i="14"/>
  <c r="AG105" i="14"/>
  <c r="AL105" i="14"/>
  <c r="AR105" i="14"/>
  <c r="AX105" i="14"/>
  <c r="AY105" i="14"/>
  <c r="AZ105" i="14"/>
  <c r="BA105" i="14"/>
  <c r="BB105" i="14"/>
  <c r="BG105" i="14"/>
  <c r="BL105" i="14"/>
  <c r="CC105" i="14"/>
  <c r="CD105" i="14"/>
  <c r="CE105" i="14"/>
  <c r="CF105" i="14"/>
  <c r="CH105" i="14"/>
  <c r="CI105" i="14"/>
  <c r="CJ105" i="14"/>
  <c r="CK105" i="14"/>
  <c r="CO105" i="14"/>
  <c r="CT105" i="14"/>
  <c r="CZ105" i="14"/>
  <c r="DA105" i="14"/>
  <c r="DB105" i="14"/>
  <c r="DC105" i="14"/>
  <c r="W106" i="14"/>
  <c r="AB106" i="14"/>
  <c r="AG106" i="14"/>
  <c r="AL106" i="14"/>
  <c r="AR106" i="14"/>
  <c r="AX106" i="14"/>
  <c r="AY106" i="14"/>
  <c r="AZ106" i="14"/>
  <c r="BA106" i="14"/>
  <c r="BB106" i="14"/>
  <c r="BG106" i="14"/>
  <c r="BL106" i="14"/>
  <c r="CC106" i="14"/>
  <c r="CD106" i="14"/>
  <c r="CE106" i="14"/>
  <c r="CF106" i="14"/>
  <c r="CH106" i="14"/>
  <c r="CI106" i="14"/>
  <c r="CJ106" i="14"/>
  <c r="CK106" i="14"/>
  <c r="CO106" i="14"/>
  <c r="CT106" i="14"/>
  <c r="CZ106" i="14"/>
  <c r="DA106" i="14"/>
  <c r="DB106" i="14"/>
  <c r="DC106" i="14"/>
  <c r="W107" i="14"/>
  <c r="AB107" i="14"/>
  <c r="AG107" i="14"/>
  <c r="AL107" i="14"/>
  <c r="AR107" i="14"/>
  <c r="AX107" i="14"/>
  <c r="AY107" i="14"/>
  <c r="AZ107" i="14"/>
  <c r="BA107" i="14"/>
  <c r="BD107" i="14"/>
  <c r="BB107" i="14" s="1"/>
  <c r="BG107" i="14"/>
  <c r="BL107" i="14"/>
  <c r="CC107" i="14"/>
  <c r="CD107" i="14"/>
  <c r="CE107" i="14"/>
  <c r="CF107" i="14"/>
  <c r="CH107" i="14"/>
  <c r="CI107" i="14"/>
  <c r="CJ107" i="14"/>
  <c r="CK107" i="14"/>
  <c r="CO107" i="14"/>
  <c r="DI107" i="14" s="1"/>
  <c r="CT107" i="14"/>
  <c r="CZ107" i="14"/>
  <c r="DA107" i="14"/>
  <c r="DB107" i="14"/>
  <c r="DC107" i="14"/>
  <c r="W108" i="14"/>
  <c r="AB108" i="14"/>
  <c r="AG108" i="14"/>
  <c r="AL108" i="14"/>
  <c r="AR108" i="14"/>
  <c r="AX108" i="14"/>
  <c r="AZ108" i="14"/>
  <c r="BA108" i="14"/>
  <c r="BD108" i="14"/>
  <c r="BB108" i="14" s="1"/>
  <c r="BG108" i="14"/>
  <c r="BL108" i="14"/>
  <c r="BN94" i="14"/>
  <c r="CC108" i="14"/>
  <c r="CE108" i="14"/>
  <c r="CF108" i="14"/>
  <c r="CH108" i="14"/>
  <c r="CJ108" i="14"/>
  <c r="CK108" i="14"/>
  <c r="CO108" i="14"/>
  <c r="CT108" i="14"/>
  <c r="CZ108" i="14"/>
  <c r="DA108" i="14"/>
  <c r="DB108" i="14"/>
  <c r="DC108" i="14"/>
  <c r="W109" i="14"/>
  <c r="AB109" i="14"/>
  <c r="AG109" i="14"/>
  <c r="AL109" i="14"/>
  <c r="AS94" i="14"/>
  <c r="AY109" i="14"/>
  <c r="AZ109" i="14"/>
  <c r="BA109" i="14"/>
  <c r="BB109" i="14"/>
  <c r="BG109" i="14"/>
  <c r="BL109" i="14"/>
  <c r="CC109" i="14"/>
  <c r="CD109" i="14"/>
  <c r="CE109" i="14"/>
  <c r="CF109" i="14"/>
  <c r="CH109" i="14"/>
  <c r="CI109" i="14"/>
  <c r="CJ109" i="14"/>
  <c r="CK109" i="14"/>
  <c r="CO109" i="14"/>
  <c r="CT109" i="14"/>
  <c r="CZ109" i="14"/>
  <c r="DA109" i="14"/>
  <c r="DB109" i="14"/>
  <c r="DC109" i="14"/>
  <c r="W110" i="14"/>
  <c r="AB110" i="14"/>
  <c r="AG110" i="14"/>
  <c r="AL110" i="14"/>
  <c r="AR110" i="14"/>
  <c r="AX110" i="14"/>
  <c r="AY110" i="14"/>
  <c r="AZ110" i="14"/>
  <c r="BA110" i="14"/>
  <c r="BB110" i="14"/>
  <c r="BG110" i="14"/>
  <c r="BL110" i="14"/>
  <c r="CC110" i="14"/>
  <c r="CD110" i="14"/>
  <c r="CE110" i="14"/>
  <c r="CF110" i="14"/>
  <c r="CH110" i="14"/>
  <c r="CI110" i="14"/>
  <c r="CJ110" i="14"/>
  <c r="CK110" i="14"/>
  <c r="CO110" i="14"/>
  <c r="CT110" i="14"/>
  <c r="CZ110" i="14"/>
  <c r="DA110" i="14"/>
  <c r="DB110" i="14"/>
  <c r="DC110" i="14"/>
  <c r="W111" i="14"/>
  <c r="AB111" i="14"/>
  <c r="AG111" i="14"/>
  <c r="AL111" i="14"/>
  <c r="AR111" i="14"/>
  <c r="AX111" i="14"/>
  <c r="AY111" i="14"/>
  <c r="AZ111" i="14"/>
  <c r="BA111" i="14"/>
  <c r="BB111" i="14"/>
  <c r="BG111" i="14"/>
  <c r="BL111" i="14"/>
  <c r="CC111" i="14"/>
  <c r="CD111" i="14"/>
  <c r="CE111" i="14"/>
  <c r="CF111" i="14"/>
  <c r="CH111" i="14"/>
  <c r="CI111" i="14"/>
  <c r="CJ111" i="14"/>
  <c r="CK111" i="14"/>
  <c r="CO111" i="14"/>
  <c r="CT111" i="14"/>
  <c r="CZ111" i="14"/>
  <c r="DA111" i="14"/>
  <c r="DB111" i="14"/>
  <c r="DC111" i="14"/>
  <c r="W112" i="14"/>
  <c r="AB112" i="14"/>
  <c r="AG112" i="14"/>
  <c r="AL112" i="14"/>
  <c r="AX112" i="14"/>
  <c r="AY112" i="14"/>
  <c r="BA112" i="14"/>
  <c r="BD112" i="14"/>
  <c r="BB112" i="14" s="1"/>
  <c r="BG112" i="14"/>
  <c r="CC112" i="14"/>
  <c r="CD112" i="14"/>
  <c r="CE112" i="14"/>
  <c r="CF112" i="14"/>
  <c r="CH112" i="14"/>
  <c r="CI112" i="14"/>
  <c r="CK112" i="14"/>
  <c r="CO112" i="14"/>
  <c r="CT112" i="14"/>
  <c r="CZ112" i="14"/>
  <c r="DA112" i="14"/>
  <c r="DB112" i="14"/>
  <c r="DC112" i="14"/>
  <c r="W113" i="14"/>
  <c r="AB113" i="14"/>
  <c r="AG113" i="14"/>
  <c r="AL113" i="14"/>
  <c r="AR113" i="14"/>
  <c r="AX113" i="14"/>
  <c r="AY113" i="14"/>
  <c r="AZ113" i="14"/>
  <c r="BA113" i="14"/>
  <c r="BB113" i="14"/>
  <c r="BG113" i="14"/>
  <c r="BL113" i="14"/>
  <c r="CC113" i="14"/>
  <c r="CD113" i="14"/>
  <c r="CE113" i="14"/>
  <c r="CF113" i="14"/>
  <c r="CH113" i="14"/>
  <c r="CI113" i="14"/>
  <c r="CJ113" i="14"/>
  <c r="CK113" i="14"/>
  <c r="CO113" i="14"/>
  <c r="CT113" i="14"/>
  <c r="CZ113" i="14"/>
  <c r="DA113" i="14"/>
  <c r="DB113" i="14"/>
  <c r="DC113" i="14"/>
  <c r="V114" i="14"/>
  <c r="X114" i="14"/>
  <c r="Y114" i="14"/>
  <c r="AA114" i="14"/>
  <c r="AC114" i="14"/>
  <c r="AD114" i="14"/>
  <c r="AE114" i="14"/>
  <c r="AF114" i="14"/>
  <c r="AH114" i="14"/>
  <c r="AI114" i="14"/>
  <c r="AJ114" i="14"/>
  <c r="AK114" i="14"/>
  <c r="AM114" i="14"/>
  <c r="AN114" i="14"/>
  <c r="AO114" i="14"/>
  <c r="AP114" i="14"/>
  <c r="AS114" i="14"/>
  <c r="AU114" i="14"/>
  <c r="AV114" i="14"/>
  <c r="BC114" i="14"/>
  <c r="BF114" i="14"/>
  <c r="BH114" i="14"/>
  <c r="BI114" i="14"/>
  <c r="BJ114" i="14"/>
  <c r="BK114" i="14"/>
  <c r="BM114" i="14"/>
  <c r="BP114" i="14"/>
  <c r="BZ114" i="14"/>
  <c r="CP114" i="14"/>
  <c r="CQ114" i="14"/>
  <c r="CR114" i="14"/>
  <c r="CS114" i="14"/>
  <c r="CU114" i="14"/>
  <c r="CV114" i="14"/>
  <c r="CW114" i="14"/>
  <c r="CX114" i="14"/>
  <c r="DD114" i="14"/>
  <c r="DE114" i="14"/>
  <c r="DF114" i="14"/>
  <c r="W115" i="14"/>
  <c r="AB115" i="14"/>
  <c r="AG115" i="14"/>
  <c r="AL115" i="14"/>
  <c r="AX115" i="14"/>
  <c r="AZ115" i="14"/>
  <c r="BA115" i="14"/>
  <c r="BD115" i="14"/>
  <c r="BG115" i="14"/>
  <c r="BL115" i="14"/>
  <c r="CC115" i="14"/>
  <c r="CD115" i="14"/>
  <c r="CE115" i="14"/>
  <c r="CF115" i="14"/>
  <c r="CH115" i="14"/>
  <c r="CI115" i="14"/>
  <c r="CJ115" i="14"/>
  <c r="CK115" i="14"/>
  <c r="CO115" i="14"/>
  <c r="CT115" i="14"/>
  <c r="CZ115" i="14"/>
  <c r="DA115" i="14"/>
  <c r="DB115" i="14"/>
  <c r="DC115" i="14"/>
  <c r="W116" i="14"/>
  <c r="AB116" i="14"/>
  <c r="AG116" i="14"/>
  <c r="AL116" i="14"/>
  <c r="AR116" i="14"/>
  <c r="AX116" i="14"/>
  <c r="AY116" i="14"/>
  <c r="AZ116" i="14"/>
  <c r="BA116" i="14"/>
  <c r="BB116" i="14"/>
  <c r="BG116" i="14"/>
  <c r="BL116" i="14"/>
  <c r="CC116" i="14"/>
  <c r="CD116" i="14"/>
  <c r="CE116" i="14"/>
  <c r="CF116" i="14"/>
  <c r="CH116" i="14"/>
  <c r="CI116" i="14"/>
  <c r="CJ116" i="14"/>
  <c r="CK116" i="14"/>
  <c r="CO116" i="14"/>
  <c r="CT116" i="14"/>
  <c r="CZ116" i="14"/>
  <c r="DA116" i="14"/>
  <c r="DB116" i="14"/>
  <c r="DC116" i="14"/>
  <c r="W117" i="14"/>
  <c r="AB117" i="14"/>
  <c r="AG117" i="14"/>
  <c r="AL117" i="14"/>
  <c r="AR117" i="14"/>
  <c r="AX117" i="14"/>
  <c r="AY117" i="14"/>
  <c r="AZ117" i="14"/>
  <c r="BA117" i="14"/>
  <c r="BB117" i="14"/>
  <c r="BG117" i="14"/>
  <c r="BL117" i="14"/>
  <c r="CC117" i="14"/>
  <c r="CD117" i="14"/>
  <c r="CE117" i="14"/>
  <c r="CF117" i="14"/>
  <c r="CH117" i="14"/>
  <c r="CI117" i="14"/>
  <c r="CJ117" i="14"/>
  <c r="CK117" i="14"/>
  <c r="CO117" i="14"/>
  <c r="CT117" i="14"/>
  <c r="CZ117" i="14"/>
  <c r="DA117" i="14"/>
  <c r="DB117" i="14"/>
  <c r="DC117" i="14"/>
  <c r="W118" i="14"/>
  <c r="AB118" i="14"/>
  <c r="AG118" i="14"/>
  <c r="AL118" i="14"/>
  <c r="AR118" i="14"/>
  <c r="AX118" i="14"/>
  <c r="AY118" i="14"/>
  <c r="AZ118" i="14"/>
  <c r="BA118" i="14"/>
  <c r="BB118" i="14"/>
  <c r="BG118" i="14"/>
  <c r="BL118" i="14"/>
  <c r="CC118" i="14"/>
  <c r="CD118" i="14"/>
  <c r="CE118" i="14"/>
  <c r="CF118" i="14"/>
  <c r="CH118" i="14"/>
  <c r="CI118" i="14"/>
  <c r="CJ118" i="14"/>
  <c r="CK118" i="14"/>
  <c r="CO118" i="14"/>
  <c r="CT118" i="14"/>
  <c r="CZ118" i="14"/>
  <c r="DA118" i="14"/>
  <c r="DB118" i="14"/>
  <c r="DC118" i="14"/>
  <c r="W119" i="14"/>
  <c r="AB119" i="14"/>
  <c r="AG119" i="14"/>
  <c r="AL119" i="14"/>
  <c r="AR119" i="14"/>
  <c r="AX119" i="14"/>
  <c r="AY119" i="14"/>
  <c r="AZ119" i="14"/>
  <c r="BA119" i="14"/>
  <c r="BD119" i="14"/>
  <c r="BB119" i="14" s="1"/>
  <c r="BG119" i="14"/>
  <c r="BL119" i="14"/>
  <c r="P119" i="14" s="1"/>
  <c r="CC119" i="14"/>
  <c r="CD119" i="14"/>
  <c r="CF119" i="14"/>
  <c r="CH119" i="14"/>
  <c r="CI119" i="14"/>
  <c r="CK119" i="14"/>
  <c r="CO119" i="14"/>
  <c r="CT119" i="14"/>
  <c r="CZ119" i="14"/>
  <c r="DA119" i="14"/>
  <c r="DB119" i="14"/>
  <c r="DC119" i="14"/>
  <c r="W120" i="14"/>
  <c r="AB120" i="14"/>
  <c r="AG120" i="14"/>
  <c r="AL120" i="14"/>
  <c r="AR120" i="14"/>
  <c r="AX120" i="14"/>
  <c r="AY120" i="14"/>
  <c r="AZ120" i="14"/>
  <c r="BA120" i="14"/>
  <c r="BD120" i="14"/>
  <c r="BB120" i="14" s="1"/>
  <c r="BG120" i="14"/>
  <c r="CI120" i="14"/>
  <c r="CC120" i="14"/>
  <c r="CF120" i="14"/>
  <c r="CH120" i="14"/>
  <c r="CK120" i="14"/>
  <c r="CO120" i="14"/>
  <c r="CT120" i="14"/>
  <c r="CZ120" i="14"/>
  <c r="DA120" i="14"/>
  <c r="DB120" i="14"/>
  <c r="DC120" i="14"/>
  <c r="W121" i="14"/>
  <c r="AB121" i="14"/>
  <c r="AG121" i="14"/>
  <c r="AL121" i="14"/>
  <c r="AX121" i="14"/>
  <c r="AZ121" i="14"/>
  <c r="BA121" i="14"/>
  <c r="BB121" i="14"/>
  <c r="BD121" i="14"/>
  <c r="BG121" i="14"/>
  <c r="BL121" i="14"/>
  <c r="CC121" i="14"/>
  <c r="CD121" i="14"/>
  <c r="CE121" i="14"/>
  <c r="CF121" i="14"/>
  <c r="CH121" i="14"/>
  <c r="CI121" i="14"/>
  <c r="CJ121" i="14"/>
  <c r="CK121" i="14"/>
  <c r="CO121" i="14"/>
  <c r="CT121" i="14"/>
  <c r="CZ121" i="14"/>
  <c r="DA121" i="14"/>
  <c r="DB121" i="14"/>
  <c r="DC121" i="14"/>
  <c r="W122" i="14"/>
  <c r="AB122" i="14"/>
  <c r="AG122" i="14"/>
  <c r="AL122" i="14"/>
  <c r="AR122" i="14"/>
  <c r="AX122" i="14"/>
  <c r="AY122" i="14"/>
  <c r="AZ122" i="14"/>
  <c r="BA122" i="14"/>
  <c r="BB122" i="14"/>
  <c r="BG122" i="14"/>
  <c r="BL122" i="14"/>
  <c r="CC122" i="14"/>
  <c r="CD122" i="14"/>
  <c r="CE122" i="14"/>
  <c r="CF122" i="14"/>
  <c r="CH122" i="14"/>
  <c r="CI122" i="14"/>
  <c r="CJ122" i="14"/>
  <c r="CK122" i="14"/>
  <c r="CO122" i="14"/>
  <c r="CT122" i="14"/>
  <c r="CZ122" i="14"/>
  <c r="DA122" i="14"/>
  <c r="DB122" i="14"/>
  <c r="DC122" i="14"/>
  <c r="W123" i="14"/>
  <c r="AB123" i="14"/>
  <c r="AG123" i="14"/>
  <c r="AL123" i="14"/>
  <c r="AR123" i="14"/>
  <c r="AX123" i="14"/>
  <c r="AY123" i="14"/>
  <c r="AZ123" i="14"/>
  <c r="BA123" i="14"/>
  <c r="BD123" i="14"/>
  <c r="BB123" i="14" s="1"/>
  <c r="BG123" i="14"/>
  <c r="CC123" i="14"/>
  <c r="CE123" i="14"/>
  <c r="CF123" i="14"/>
  <c r="CH123" i="14"/>
  <c r="CJ123" i="14"/>
  <c r="CK123" i="14"/>
  <c r="CO123" i="14"/>
  <c r="CT123" i="14"/>
  <c r="DJ123" i="14" s="1"/>
  <c r="CZ123" i="14"/>
  <c r="DA123" i="14"/>
  <c r="DB123" i="14"/>
  <c r="DC123" i="14"/>
  <c r="W124" i="14"/>
  <c r="AB124" i="14"/>
  <c r="AG124" i="14"/>
  <c r="AL124" i="14"/>
  <c r="AR124" i="14"/>
  <c r="AX124" i="14"/>
  <c r="AY124" i="14"/>
  <c r="AZ124" i="14"/>
  <c r="BA124" i="14"/>
  <c r="BD124" i="14"/>
  <c r="BE124" i="14"/>
  <c r="BE114" i="14" s="1"/>
  <c r="BG124" i="14"/>
  <c r="BL124" i="14"/>
  <c r="CC124" i="14"/>
  <c r="CD124" i="14"/>
  <c r="CE124" i="14"/>
  <c r="CF124" i="14"/>
  <c r="CH124" i="14"/>
  <c r="CI124" i="14"/>
  <c r="CJ124" i="14"/>
  <c r="CK124" i="14"/>
  <c r="CO124" i="14"/>
  <c r="CT124" i="14"/>
  <c r="CZ124" i="14"/>
  <c r="DA124" i="14"/>
  <c r="DB124" i="14"/>
  <c r="DC124" i="14"/>
  <c r="W125" i="14"/>
  <c r="AB125" i="14"/>
  <c r="AG125" i="14"/>
  <c r="AL125" i="14"/>
  <c r="AR125" i="14"/>
  <c r="AX125" i="14"/>
  <c r="AY125" i="14"/>
  <c r="AZ125" i="14"/>
  <c r="BA125" i="14"/>
  <c r="BD125" i="14"/>
  <c r="BB125" i="14" s="1"/>
  <c r="BG125" i="14"/>
  <c r="BL125" i="14"/>
  <c r="CC125" i="14"/>
  <c r="CD125" i="14"/>
  <c r="CE125" i="14"/>
  <c r="CF125" i="14"/>
  <c r="CH125" i="14"/>
  <c r="CI125" i="14"/>
  <c r="CJ125" i="14"/>
  <c r="CK125" i="14"/>
  <c r="CO125" i="14"/>
  <c r="CT125" i="14"/>
  <c r="CZ125" i="14"/>
  <c r="DA125" i="14"/>
  <c r="DB125" i="14"/>
  <c r="DC125" i="14"/>
  <c r="DJ125" i="14"/>
  <c r="W126" i="14"/>
  <c r="AB126" i="14"/>
  <c r="AG126" i="14"/>
  <c r="AL126" i="14"/>
  <c r="AR126" i="14"/>
  <c r="AX126" i="14"/>
  <c r="AY126" i="14"/>
  <c r="AZ126" i="14"/>
  <c r="BA126" i="14"/>
  <c r="BD126" i="14"/>
  <c r="BB126" i="14" s="1"/>
  <c r="BG126" i="14"/>
  <c r="BL126" i="14"/>
  <c r="CC126" i="14"/>
  <c r="CD126" i="14"/>
  <c r="CE126" i="14"/>
  <c r="CF126" i="14"/>
  <c r="CH126" i="14"/>
  <c r="CI126" i="14"/>
  <c r="CJ126" i="14"/>
  <c r="CK126" i="14"/>
  <c r="CO126" i="14"/>
  <c r="CT126" i="14"/>
  <c r="DJ126" i="14" s="1"/>
  <c r="CZ126" i="14"/>
  <c r="DA126" i="14"/>
  <c r="DB126" i="14"/>
  <c r="DC126" i="14"/>
  <c r="W127" i="14"/>
  <c r="AB127" i="14"/>
  <c r="AG127" i="14"/>
  <c r="AL127" i="14"/>
  <c r="AR127" i="14"/>
  <c r="AX127" i="14"/>
  <c r="AY127" i="14"/>
  <c r="AZ127" i="14"/>
  <c r="BA127" i="14"/>
  <c r="BD127" i="14"/>
  <c r="BB127" i="14" s="1"/>
  <c r="BG127" i="14"/>
  <c r="BL127" i="14"/>
  <c r="DI127" i="14" s="1"/>
  <c r="CC127" i="14"/>
  <c r="CD127" i="14"/>
  <c r="CE127" i="14"/>
  <c r="CF127" i="14"/>
  <c r="CH127" i="14"/>
  <c r="CI127" i="14"/>
  <c r="CJ127" i="14"/>
  <c r="CK127" i="14"/>
  <c r="CO127" i="14"/>
  <c r="CT127" i="14"/>
  <c r="CZ127" i="14"/>
  <c r="DA127" i="14"/>
  <c r="DB127" i="14"/>
  <c r="DC127" i="14"/>
  <c r="V128" i="14"/>
  <c r="X128" i="14"/>
  <c r="Y128" i="14"/>
  <c r="AA128" i="14"/>
  <c r="AC128" i="14"/>
  <c r="AD128" i="14"/>
  <c r="AE128" i="14"/>
  <c r="AF128" i="14"/>
  <c r="AH128" i="14"/>
  <c r="AI128" i="14"/>
  <c r="AJ128" i="14"/>
  <c r="AK128" i="14"/>
  <c r="AM128" i="14"/>
  <c r="AN128" i="14"/>
  <c r="AO128" i="14"/>
  <c r="AP128" i="14"/>
  <c r="AS128" i="14"/>
  <c r="AU128" i="14"/>
  <c r="AV128" i="14"/>
  <c r="BC128" i="14"/>
  <c r="BE128" i="14"/>
  <c r="BF128" i="14"/>
  <c r="BH128" i="14"/>
  <c r="BI128" i="14"/>
  <c r="BJ128" i="14"/>
  <c r="BK128" i="14"/>
  <c r="BM128" i="14"/>
  <c r="BN128" i="14"/>
  <c r="BO128" i="14"/>
  <c r="BP128" i="14"/>
  <c r="BZ128" i="14"/>
  <c r="CP128" i="14"/>
  <c r="CQ128" i="14"/>
  <c r="CR128" i="14"/>
  <c r="CS128" i="14"/>
  <c r="CU128" i="14"/>
  <c r="CV128" i="14"/>
  <c r="CW128" i="14"/>
  <c r="CX128" i="14"/>
  <c r="DD128" i="14"/>
  <c r="DE128" i="14"/>
  <c r="DF128" i="14"/>
  <c r="W129" i="14"/>
  <c r="AB129" i="14"/>
  <c r="AG129" i="14"/>
  <c r="AL129" i="14"/>
  <c r="AR129" i="14"/>
  <c r="AX129" i="14"/>
  <c r="AY129" i="14"/>
  <c r="AZ129" i="14"/>
  <c r="BA129" i="14"/>
  <c r="BB129" i="14"/>
  <c r="BG129" i="14"/>
  <c r="BL129" i="14"/>
  <c r="CC129" i="14"/>
  <c r="CD129" i="14"/>
  <c r="CE129" i="14"/>
  <c r="CF129" i="14"/>
  <c r="CH129" i="14"/>
  <c r="CI129" i="14"/>
  <c r="CJ129" i="14"/>
  <c r="CK129" i="14"/>
  <c r="CO129" i="14"/>
  <c r="CT129" i="14"/>
  <c r="CZ129" i="14"/>
  <c r="DA129" i="14"/>
  <c r="DB129" i="14"/>
  <c r="DC129" i="14"/>
  <c r="W130" i="14"/>
  <c r="AB130" i="14"/>
  <c r="AG130" i="14"/>
  <c r="AL130" i="14"/>
  <c r="AR130" i="14"/>
  <c r="AX130" i="14"/>
  <c r="AY130" i="14"/>
  <c r="AZ130" i="14"/>
  <c r="BA130" i="14"/>
  <c r="BB130" i="14"/>
  <c r="BG130" i="14"/>
  <c r="BL130" i="14"/>
  <c r="CC130" i="14"/>
  <c r="CD130" i="14"/>
  <c r="CE130" i="14"/>
  <c r="CF130" i="14"/>
  <c r="CH130" i="14"/>
  <c r="CI130" i="14"/>
  <c r="CJ130" i="14"/>
  <c r="CK130" i="14"/>
  <c r="CO130" i="14"/>
  <c r="CT130" i="14"/>
  <c r="CZ130" i="14"/>
  <c r="DA130" i="14"/>
  <c r="DB130" i="14"/>
  <c r="DC130" i="14"/>
  <c r="W131" i="14"/>
  <c r="AB131" i="14"/>
  <c r="AG131" i="14"/>
  <c r="AL131" i="14"/>
  <c r="AX131" i="14"/>
  <c r="AZ131" i="14"/>
  <c r="BA131" i="14"/>
  <c r="BB131" i="14"/>
  <c r="BG131" i="14"/>
  <c r="BL131" i="14"/>
  <c r="CD131" i="14"/>
  <c r="CC131" i="14"/>
  <c r="CE131" i="14"/>
  <c r="CF131" i="14"/>
  <c r="CH131" i="14"/>
  <c r="CJ131" i="14"/>
  <c r="CK131" i="14"/>
  <c r="CO131" i="14"/>
  <c r="CT131" i="14"/>
  <c r="CZ131" i="14"/>
  <c r="DA131" i="14"/>
  <c r="DB131" i="14"/>
  <c r="DC131" i="14"/>
  <c r="W132" i="14"/>
  <c r="AB132" i="14"/>
  <c r="AG132" i="14"/>
  <c r="AL132" i="14"/>
  <c r="AR132" i="14"/>
  <c r="AX132" i="14"/>
  <c r="AZ132" i="14"/>
  <c r="BA132" i="14"/>
  <c r="BD132" i="14"/>
  <c r="BB132" i="14" s="1"/>
  <c r="BG132" i="14"/>
  <c r="BL132" i="14"/>
  <c r="CC132" i="14"/>
  <c r="CD132" i="14"/>
  <c r="CE132" i="14"/>
  <c r="CF132" i="14"/>
  <c r="CH132" i="14"/>
  <c r="CI132" i="14"/>
  <c r="CJ132" i="14"/>
  <c r="CK132" i="14"/>
  <c r="CO132" i="14"/>
  <c r="CT132" i="14"/>
  <c r="DJ132" i="14" s="1"/>
  <c r="CZ132" i="14"/>
  <c r="DA132" i="14"/>
  <c r="DB132" i="14"/>
  <c r="DC132" i="14"/>
  <c r="W133" i="14"/>
  <c r="AB133" i="14"/>
  <c r="AG133" i="14"/>
  <c r="AL133" i="14"/>
  <c r="AR133" i="14"/>
  <c r="AY133" i="14"/>
  <c r="AX133" i="14"/>
  <c r="AZ133" i="14"/>
  <c r="BA133" i="14"/>
  <c r="BB133" i="14"/>
  <c r="BG133" i="14"/>
  <c r="BL133" i="14"/>
  <c r="DI133" i="14" s="1"/>
  <c r="CC133" i="14"/>
  <c r="CD133" i="14"/>
  <c r="CE133" i="14"/>
  <c r="CF133" i="14"/>
  <c r="CH133" i="14"/>
  <c r="CI133" i="14"/>
  <c r="CJ133" i="14"/>
  <c r="CK133" i="14"/>
  <c r="CO133" i="14"/>
  <c r="CT133" i="14"/>
  <c r="CZ133" i="14"/>
  <c r="DA133" i="14"/>
  <c r="DB133" i="14"/>
  <c r="DC133" i="14"/>
  <c r="W134" i="14"/>
  <c r="AB134" i="14"/>
  <c r="AG134" i="14"/>
  <c r="AL134" i="14"/>
  <c r="AR134" i="14"/>
  <c r="AX134" i="14"/>
  <c r="AZ134" i="14"/>
  <c r="BA134" i="14"/>
  <c r="BB134" i="14"/>
  <c r="BD134" i="14"/>
  <c r="BG134" i="14"/>
  <c r="BL134" i="14"/>
  <c r="DJ134" i="14"/>
  <c r="CC134" i="14"/>
  <c r="CD134" i="14"/>
  <c r="CE134" i="14"/>
  <c r="CF134" i="14"/>
  <c r="CH134" i="14"/>
  <c r="CI134" i="14"/>
  <c r="CJ134" i="14"/>
  <c r="CK134" i="14"/>
  <c r="CO134" i="14"/>
  <c r="CT134" i="14"/>
  <c r="CZ134" i="14"/>
  <c r="DA134" i="14"/>
  <c r="DB134" i="14"/>
  <c r="DC134" i="14"/>
  <c r="W135" i="14"/>
  <c r="AB135" i="14"/>
  <c r="AG135" i="14"/>
  <c r="AL135" i="14"/>
  <c r="AR135" i="14"/>
  <c r="AX135" i="14"/>
  <c r="AY135" i="14"/>
  <c r="AZ135" i="14"/>
  <c r="BA135" i="14"/>
  <c r="BD135" i="14"/>
  <c r="BG135" i="14"/>
  <c r="BL135" i="14"/>
  <c r="CC135" i="14"/>
  <c r="CD135" i="14"/>
  <c r="CE135" i="14"/>
  <c r="CF135" i="14"/>
  <c r="CH135" i="14"/>
  <c r="CI135" i="14"/>
  <c r="CJ135" i="14"/>
  <c r="CK135" i="14"/>
  <c r="CO135" i="14"/>
  <c r="CT135" i="14"/>
  <c r="CZ135" i="14"/>
  <c r="DA135" i="14"/>
  <c r="DB135" i="14"/>
  <c r="DC135" i="14"/>
  <c r="W136" i="14"/>
  <c r="AB136" i="14"/>
  <c r="AG136" i="14"/>
  <c r="AL136" i="14"/>
  <c r="AY136" i="14"/>
  <c r="AX136" i="14"/>
  <c r="AZ136" i="14"/>
  <c r="BA136" i="14"/>
  <c r="BD136" i="14"/>
  <c r="BB136" i="14" s="1"/>
  <c r="BG136" i="14"/>
  <c r="BL136" i="14"/>
  <c r="CC136" i="14"/>
  <c r="CD136" i="14"/>
  <c r="CE136" i="14"/>
  <c r="CF136" i="14"/>
  <c r="CH136" i="14"/>
  <c r="CI136" i="14"/>
  <c r="CJ136" i="14"/>
  <c r="CK136" i="14"/>
  <c r="CO136" i="14"/>
  <c r="CT136" i="14"/>
  <c r="CZ136" i="14"/>
  <c r="DA136" i="14"/>
  <c r="DB136" i="14"/>
  <c r="DC136" i="14"/>
  <c r="V137" i="14"/>
  <c r="Y137" i="14"/>
  <c r="AA137" i="14"/>
  <c r="AC137" i="14"/>
  <c r="AD137" i="14"/>
  <c r="AE137" i="14"/>
  <c r="AF137" i="14"/>
  <c r="AH137" i="14"/>
  <c r="AI137" i="14"/>
  <c r="AJ137" i="14"/>
  <c r="AK137" i="14"/>
  <c r="AM137" i="14"/>
  <c r="AN137" i="14"/>
  <c r="AO137" i="14"/>
  <c r="AP137" i="14"/>
  <c r="AS137" i="14"/>
  <c r="AU137" i="14"/>
  <c r="AV137" i="14"/>
  <c r="BC137" i="14"/>
  <c r="BE137" i="14"/>
  <c r="BF137" i="14"/>
  <c r="BH137" i="14"/>
  <c r="BI137" i="14"/>
  <c r="BJ137" i="14"/>
  <c r="BK137" i="14"/>
  <c r="BM137" i="14"/>
  <c r="BO137" i="14"/>
  <c r="BP137" i="14"/>
  <c r="BZ137" i="14"/>
  <c r="CP137" i="14"/>
  <c r="CQ137" i="14"/>
  <c r="CR137" i="14"/>
  <c r="CS137" i="14"/>
  <c r="CU137" i="14"/>
  <c r="CV137" i="14"/>
  <c r="CW137" i="14"/>
  <c r="CX137" i="14"/>
  <c r="DD137" i="14"/>
  <c r="DE137" i="14"/>
  <c r="DF137" i="14"/>
  <c r="W138" i="14"/>
  <c r="AB138" i="14"/>
  <c r="AG138" i="14"/>
  <c r="AL138" i="14"/>
  <c r="AX138" i="14"/>
  <c r="AZ138" i="14"/>
  <c r="BA138" i="14"/>
  <c r="BB138" i="14"/>
  <c r="CM138" i="14" s="1"/>
  <c r="CN138" i="14" s="1"/>
  <c r="BG138" i="14"/>
  <c r="BL138" i="14"/>
  <c r="CC138" i="14"/>
  <c r="CE138" i="14"/>
  <c r="CF138" i="14"/>
  <c r="CH138" i="14"/>
  <c r="CJ138" i="14"/>
  <c r="CK138" i="14"/>
  <c r="CO138" i="14"/>
  <c r="CT138" i="14"/>
  <c r="CZ138" i="14"/>
  <c r="DA138" i="14"/>
  <c r="DB138" i="14"/>
  <c r="DC138" i="14"/>
  <c r="W139" i="14"/>
  <c r="AB139" i="14"/>
  <c r="AG139" i="14"/>
  <c r="AL139" i="14"/>
  <c r="AR139" i="14"/>
  <c r="AX139" i="14"/>
  <c r="AY139" i="14"/>
  <c r="AZ139" i="14"/>
  <c r="BA139" i="14"/>
  <c r="BB139" i="14"/>
  <c r="BG139" i="14"/>
  <c r="BL139" i="14"/>
  <c r="CC139" i="14"/>
  <c r="CD139" i="14"/>
  <c r="CE139" i="14"/>
  <c r="CF139" i="14"/>
  <c r="CH139" i="14"/>
  <c r="CI139" i="14"/>
  <c r="CJ139" i="14"/>
  <c r="CK139" i="14"/>
  <c r="CO139" i="14"/>
  <c r="CT139" i="14"/>
  <c r="CZ139" i="14"/>
  <c r="DA139" i="14"/>
  <c r="DB139" i="14"/>
  <c r="DC139" i="14"/>
  <c r="W140" i="14"/>
  <c r="AB140" i="14"/>
  <c r="AG140" i="14"/>
  <c r="AL140" i="14"/>
  <c r="AR140" i="14"/>
  <c r="AX140" i="14"/>
  <c r="AY140" i="14"/>
  <c r="AZ140" i="14"/>
  <c r="BA140" i="14"/>
  <c r="BD140" i="14"/>
  <c r="BB140" i="14" s="1"/>
  <c r="BG140" i="14"/>
  <c r="BL140" i="14"/>
  <c r="CC140" i="14"/>
  <c r="CD140" i="14"/>
  <c r="CE140" i="14"/>
  <c r="CF140" i="14"/>
  <c r="CH140" i="14"/>
  <c r="CI140" i="14"/>
  <c r="CJ140" i="14"/>
  <c r="CK140" i="14"/>
  <c r="CO140" i="14"/>
  <c r="CT140" i="14"/>
  <c r="CZ140" i="14"/>
  <c r="DA140" i="14"/>
  <c r="DB140" i="14"/>
  <c r="DC140" i="14"/>
  <c r="W141" i="14"/>
  <c r="AB141" i="14"/>
  <c r="AG141" i="14"/>
  <c r="AL141" i="14"/>
  <c r="AR141" i="14"/>
  <c r="AX141" i="14"/>
  <c r="AY141" i="14"/>
  <c r="AZ141" i="14"/>
  <c r="BA141" i="14"/>
  <c r="BD141" i="14"/>
  <c r="BB141" i="14" s="1"/>
  <c r="BG141" i="14"/>
  <c r="BL141" i="14"/>
  <c r="CC141" i="14"/>
  <c r="CD141" i="14"/>
  <c r="CE141" i="14"/>
  <c r="CF141" i="14"/>
  <c r="CH141" i="14"/>
  <c r="CI141" i="14"/>
  <c r="CJ141" i="14"/>
  <c r="CK141" i="14"/>
  <c r="CO141" i="14"/>
  <c r="CT141" i="14"/>
  <c r="CZ141" i="14"/>
  <c r="DA141" i="14"/>
  <c r="DB141" i="14"/>
  <c r="DC141" i="14"/>
  <c r="W142" i="14"/>
  <c r="AB142" i="14"/>
  <c r="AG142" i="14"/>
  <c r="AL142" i="14"/>
  <c r="AR142" i="14"/>
  <c r="AX142" i="14"/>
  <c r="AY142" i="14"/>
  <c r="AZ142" i="14"/>
  <c r="BA142" i="14"/>
  <c r="BB142" i="14"/>
  <c r="BG142" i="14"/>
  <c r="BL142" i="14"/>
  <c r="CC142" i="14"/>
  <c r="CD142" i="14"/>
  <c r="CE142" i="14"/>
  <c r="CF142" i="14"/>
  <c r="CH142" i="14"/>
  <c r="CI142" i="14"/>
  <c r="CJ142" i="14"/>
  <c r="CK142" i="14"/>
  <c r="CO142" i="14"/>
  <c r="CT142" i="14"/>
  <c r="DJ142" i="14" s="1"/>
  <c r="CZ142" i="14"/>
  <c r="DA142" i="14"/>
  <c r="DB142" i="14"/>
  <c r="DC142" i="14"/>
  <c r="W143" i="14"/>
  <c r="AB143" i="14"/>
  <c r="AG143" i="14"/>
  <c r="AL143" i="14"/>
  <c r="AR143" i="14"/>
  <c r="AX143" i="14"/>
  <c r="AY143" i="14"/>
  <c r="AZ143" i="14"/>
  <c r="BA143" i="14"/>
  <c r="BD143" i="14"/>
  <c r="BB143" i="14" s="1"/>
  <c r="BG143" i="14"/>
  <c r="BL143" i="14"/>
  <c r="DI143" i="14" s="1"/>
  <c r="CC143" i="14"/>
  <c r="CD143" i="14"/>
  <c r="CE143" i="14"/>
  <c r="CF143" i="14"/>
  <c r="CH143" i="14"/>
  <c r="CI143" i="14"/>
  <c r="CJ143" i="14"/>
  <c r="CK143" i="14"/>
  <c r="CO143" i="14"/>
  <c r="CT143" i="14"/>
  <c r="DJ143" i="14" s="1"/>
  <c r="CZ143" i="14"/>
  <c r="DA143" i="14"/>
  <c r="DB143" i="14"/>
  <c r="DC143" i="14"/>
  <c r="W144" i="14"/>
  <c r="AB144" i="14"/>
  <c r="AG144" i="14"/>
  <c r="AL144" i="14"/>
  <c r="AR144" i="14"/>
  <c r="AX144" i="14"/>
  <c r="AY144" i="14"/>
  <c r="AZ144" i="14"/>
  <c r="BA144" i="14"/>
  <c r="BD144" i="14"/>
  <c r="BB144" i="14" s="1"/>
  <c r="BG144" i="14"/>
  <c r="BL144" i="14"/>
  <c r="CC144" i="14"/>
  <c r="CD144" i="14"/>
  <c r="CE144" i="14"/>
  <c r="CF144" i="14"/>
  <c r="CH144" i="14"/>
  <c r="CI144" i="14"/>
  <c r="CJ144" i="14"/>
  <c r="CK144" i="14"/>
  <c r="CO144" i="14"/>
  <c r="CT144" i="14"/>
  <c r="CZ144" i="14"/>
  <c r="DA144" i="14"/>
  <c r="DB144" i="14"/>
  <c r="DC144" i="14"/>
  <c r="W145" i="14"/>
  <c r="AB145" i="14"/>
  <c r="AG145" i="14"/>
  <c r="AL145" i="14"/>
  <c r="AR145" i="14"/>
  <c r="AX145" i="14"/>
  <c r="AY145" i="14"/>
  <c r="AZ145" i="14"/>
  <c r="BA145" i="14"/>
  <c r="BB145" i="14"/>
  <c r="BG145" i="14"/>
  <c r="BL145" i="14"/>
  <c r="CC145" i="14"/>
  <c r="CD145" i="14"/>
  <c r="CE145" i="14"/>
  <c r="CF145" i="14"/>
  <c r="CH145" i="14"/>
  <c r="CI145" i="14"/>
  <c r="CJ145" i="14"/>
  <c r="CK145" i="14"/>
  <c r="CO145" i="14"/>
  <c r="CT145" i="14"/>
  <c r="DJ145" i="14" s="1"/>
  <c r="CZ145" i="14"/>
  <c r="DA145" i="14"/>
  <c r="DB145" i="14"/>
  <c r="DC145" i="14"/>
  <c r="W146" i="14"/>
  <c r="AB146" i="14"/>
  <c r="AG146" i="14"/>
  <c r="AL146" i="14"/>
  <c r="AX146" i="14"/>
  <c r="AZ146" i="14"/>
  <c r="BA146" i="14"/>
  <c r="BB146" i="14"/>
  <c r="BG146" i="14"/>
  <c r="BL146" i="14"/>
  <c r="DI146" i="14" s="1"/>
  <c r="CC146" i="14"/>
  <c r="CD146" i="14"/>
  <c r="CE146" i="14"/>
  <c r="CF146" i="14"/>
  <c r="CH146" i="14"/>
  <c r="CI146" i="14"/>
  <c r="CJ146" i="14"/>
  <c r="CK146" i="14"/>
  <c r="CO146" i="14"/>
  <c r="CT146" i="14"/>
  <c r="CZ146" i="14"/>
  <c r="DA146" i="14"/>
  <c r="DB146" i="14"/>
  <c r="DC146" i="14"/>
  <c r="W147" i="14"/>
  <c r="AB147" i="14"/>
  <c r="AG147" i="14"/>
  <c r="AL147" i="14"/>
  <c r="AR147" i="14"/>
  <c r="AX147" i="14"/>
  <c r="AY147" i="14"/>
  <c r="AZ147" i="14"/>
  <c r="BA147" i="14"/>
  <c r="BB147" i="14"/>
  <c r="BG147" i="14"/>
  <c r="BL147" i="14"/>
  <c r="CC147" i="14"/>
  <c r="CD147" i="14"/>
  <c r="CE147" i="14"/>
  <c r="CF147" i="14"/>
  <c r="CH147" i="14"/>
  <c r="CI147" i="14"/>
  <c r="CJ147" i="14"/>
  <c r="CK147" i="14"/>
  <c r="CO147" i="14"/>
  <c r="CT147" i="14"/>
  <c r="CZ147" i="14"/>
  <c r="DA147" i="14"/>
  <c r="DB147" i="14"/>
  <c r="DC147" i="14"/>
  <c r="W148" i="14"/>
  <c r="AB148" i="14"/>
  <c r="AG148" i="14"/>
  <c r="AL148" i="14"/>
  <c r="AR148" i="14"/>
  <c r="AX148" i="14"/>
  <c r="AY148" i="14"/>
  <c r="AZ148" i="14"/>
  <c r="BA148" i="14"/>
  <c r="BD148" i="14"/>
  <c r="BB148" i="14" s="1"/>
  <c r="BG148" i="14"/>
  <c r="BL148" i="14"/>
  <c r="CC148" i="14"/>
  <c r="CD148" i="14"/>
  <c r="CE148" i="14"/>
  <c r="CF148" i="14"/>
  <c r="CH148" i="14"/>
  <c r="CI148" i="14"/>
  <c r="CJ148" i="14"/>
  <c r="CK148" i="14"/>
  <c r="CO148" i="14"/>
  <c r="CT148" i="14"/>
  <c r="CZ148" i="14"/>
  <c r="DA148" i="14"/>
  <c r="DB148" i="14"/>
  <c r="DC148" i="14"/>
  <c r="AB149" i="14"/>
  <c r="AG149" i="14"/>
  <c r="AL149" i="14"/>
  <c r="AR149" i="14"/>
  <c r="AX149" i="14"/>
  <c r="AY149" i="14"/>
  <c r="AZ149" i="14"/>
  <c r="BA149" i="14"/>
  <c r="BB149" i="14"/>
  <c r="BG149" i="14"/>
  <c r="BL149" i="14"/>
  <c r="CC149" i="14"/>
  <c r="CD149" i="14"/>
  <c r="CE149" i="14"/>
  <c r="CF149" i="14"/>
  <c r="CH149" i="14"/>
  <c r="CI149" i="14"/>
  <c r="CJ149" i="14"/>
  <c r="CK149" i="14"/>
  <c r="CO149" i="14"/>
  <c r="CT149" i="14"/>
  <c r="CZ149" i="14"/>
  <c r="DA149" i="14"/>
  <c r="DB149" i="14"/>
  <c r="DC149" i="14"/>
  <c r="W150" i="14"/>
  <c r="AB150" i="14"/>
  <c r="AG150" i="14"/>
  <c r="AL150" i="14"/>
  <c r="AR150" i="14"/>
  <c r="AX150" i="14"/>
  <c r="AY150" i="14"/>
  <c r="AZ150" i="14"/>
  <c r="BA150" i="14"/>
  <c r="BB150" i="14"/>
  <c r="BG150" i="14"/>
  <c r="BL150" i="14"/>
  <c r="CC150" i="14"/>
  <c r="CD150" i="14"/>
  <c r="CE150" i="14"/>
  <c r="CF150" i="14"/>
  <c r="CH150" i="14"/>
  <c r="CI150" i="14"/>
  <c r="CJ150" i="14"/>
  <c r="CK150" i="14"/>
  <c r="CO150" i="14"/>
  <c r="CT150" i="14"/>
  <c r="CZ150" i="14"/>
  <c r="DA150" i="14"/>
  <c r="DB150" i="14"/>
  <c r="DC150" i="14"/>
  <c r="V151" i="14"/>
  <c r="X151" i="14"/>
  <c r="Y151" i="14"/>
  <c r="AA151" i="14"/>
  <c r="AC151" i="14"/>
  <c r="AD151" i="14"/>
  <c r="AE151" i="14"/>
  <c r="AF151" i="14"/>
  <c r="AH151" i="14"/>
  <c r="AI151" i="14"/>
  <c r="AJ151" i="14"/>
  <c r="AK151" i="14"/>
  <c r="AM151" i="14"/>
  <c r="AN151" i="14"/>
  <c r="AO151" i="14"/>
  <c r="AP151" i="14"/>
  <c r="AS151" i="14"/>
  <c r="AU151" i="14"/>
  <c r="AV151" i="14"/>
  <c r="BC151" i="14"/>
  <c r="BE151" i="14"/>
  <c r="BF151" i="14"/>
  <c r="BH151" i="14"/>
  <c r="BI151" i="14"/>
  <c r="BJ151" i="14"/>
  <c r="BK151" i="14"/>
  <c r="BM151" i="14"/>
  <c r="BO151" i="14"/>
  <c r="BP151" i="14"/>
  <c r="BZ151" i="14"/>
  <c r="CP151" i="14"/>
  <c r="CQ151" i="14"/>
  <c r="CR151" i="14"/>
  <c r="CS151" i="14"/>
  <c r="CU151" i="14"/>
  <c r="CV151" i="14"/>
  <c r="CW151" i="14"/>
  <c r="CX151" i="14"/>
  <c r="DD151" i="14"/>
  <c r="DE151" i="14"/>
  <c r="W152" i="14"/>
  <c r="AB152" i="14"/>
  <c r="AG152" i="14"/>
  <c r="AL152" i="14"/>
  <c r="AR152" i="14"/>
  <c r="AX152" i="14"/>
  <c r="AY152" i="14"/>
  <c r="AZ152" i="14"/>
  <c r="BA152" i="14"/>
  <c r="BB152" i="14"/>
  <c r="BG152" i="14"/>
  <c r="BL152" i="14"/>
  <c r="CC152" i="14"/>
  <c r="CD152" i="14"/>
  <c r="CE152" i="14"/>
  <c r="CF152" i="14"/>
  <c r="CH152" i="14"/>
  <c r="CI152" i="14"/>
  <c r="CJ152" i="14"/>
  <c r="CK152" i="14"/>
  <c r="CO152" i="14"/>
  <c r="CT152" i="14"/>
  <c r="DJ152" i="14" s="1"/>
  <c r="CZ152" i="14"/>
  <c r="DA152" i="14"/>
  <c r="DB152" i="14"/>
  <c r="DC152" i="14"/>
  <c r="DF152" i="14"/>
  <c r="DF151" i="14" s="1"/>
  <c r="W153" i="14"/>
  <c r="AB153" i="14"/>
  <c r="AG153" i="14"/>
  <c r="AL153" i="14"/>
  <c r="AR153" i="14"/>
  <c r="AX153" i="14"/>
  <c r="AY153" i="14"/>
  <c r="AZ153" i="14"/>
  <c r="BA153" i="14"/>
  <c r="BB153" i="14"/>
  <c r="BG153" i="14"/>
  <c r="BL153" i="14"/>
  <c r="CC153" i="14"/>
  <c r="CD153" i="14"/>
  <c r="CE153" i="14"/>
  <c r="CF153" i="14"/>
  <c r="CH153" i="14"/>
  <c r="CI153" i="14"/>
  <c r="CJ153" i="14"/>
  <c r="CK153" i="14"/>
  <c r="CO153" i="14"/>
  <c r="CT153" i="14"/>
  <c r="CZ153" i="14"/>
  <c r="DA153" i="14"/>
  <c r="DB153" i="14"/>
  <c r="DC153" i="14"/>
  <c r="W154" i="14"/>
  <c r="AB154" i="14"/>
  <c r="AG154" i="14"/>
  <c r="AL154" i="14"/>
  <c r="AX154" i="14"/>
  <c r="AZ154" i="14"/>
  <c r="BA154" i="14"/>
  <c r="BB154" i="14"/>
  <c r="BG154" i="14"/>
  <c r="CC154" i="14"/>
  <c r="CE154" i="14"/>
  <c r="CF154" i="14"/>
  <c r="CH154" i="14"/>
  <c r="CJ154" i="14"/>
  <c r="CK154" i="14"/>
  <c r="CO154" i="14"/>
  <c r="CT154" i="14"/>
  <c r="CZ154" i="14"/>
  <c r="DA154" i="14"/>
  <c r="DB154" i="14"/>
  <c r="DC154" i="14"/>
  <c r="W155" i="14"/>
  <c r="AB155" i="14"/>
  <c r="AG155" i="14"/>
  <c r="AL155" i="14"/>
  <c r="AR155" i="14"/>
  <c r="AX155" i="14"/>
  <c r="AY155" i="14"/>
  <c r="AZ155" i="14"/>
  <c r="BA155" i="14"/>
  <c r="BD155" i="14"/>
  <c r="BG155" i="14"/>
  <c r="BL155" i="14"/>
  <c r="CC155" i="14"/>
  <c r="CD155" i="14"/>
  <c r="CE155" i="14"/>
  <c r="CF155" i="14"/>
  <c r="CH155" i="14"/>
  <c r="CI155" i="14"/>
  <c r="CJ155" i="14"/>
  <c r="CK155" i="14"/>
  <c r="CO155" i="14"/>
  <c r="CT155" i="14"/>
  <c r="CZ155" i="14"/>
  <c r="DA155" i="14"/>
  <c r="DB155" i="14"/>
  <c r="DC155" i="14"/>
  <c r="W156" i="14"/>
  <c r="AB156" i="14"/>
  <c r="AG156" i="14"/>
  <c r="AL156" i="14"/>
  <c r="AR156" i="14"/>
  <c r="AX156" i="14"/>
  <c r="AZ156" i="14"/>
  <c r="BA156" i="14"/>
  <c r="BD156" i="14"/>
  <c r="BB156" i="14" s="1"/>
  <c r="BG156" i="14"/>
  <c r="BL156" i="14"/>
  <c r="CC156" i="14"/>
  <c r="CE156" i="14"/>
  <c r="CF156" i="14"/>
  <c r="CH156" i="14"/>
  <c r="CI156" i="14"/>
  <c r="CJ156" i="14"/>
  <c r="CK156" i="14"/>
  <c r="CO156" i="14"/>
  <c r="CT156" i="14"/>
  <c r="CZ156" i="14"/>
  <c r="DA156" i="14"/>
  <c r="DB156" i="14"/>
  <c r="DC156" i="14"/>
  <c r="W157" i="14"/>
  <c r="AB157" i="14"/>
  <c r="AG157" i="14"/>
  <c r="AL157" i="14"/>
  <c r="AX157" i="14"/>
  <c r="AZ157" i="14"/>
  <c r="BA157" i="14"/>
  <c r="BD157" i="14"/>
  <c r="BB157" i="14" s="1"/>
  <c r="BG157" i="14"/>
  <c r="BL157" i="14"/>
  <c r="CC157" i="14"/>
  <c r="CE157" i="14"/>
  <c r="CF157" i="14"/>
  <c r="CH157" i="14"/>
  <c r="CI157" i="14"/>
  <c r="CJ157" i="14"/>
  <c r="CK157" i="14"/>
  <c r="CO157" i="14"/>
  <c r="CT157" i="14"/>
  <c r="CZ157" i="14"/>
  <c r="DA157" i="14"/>
  <c r="DB157" i="14"/>
  <c r="DC157" i="14"/>
  <c r="W158" i="14"/>
  <c r="AB158" i="14"/>
  <c r="AG158" i="14"/>
  <c r="AL158" i="14"/>
  <c r="AX158" i="14"/>
  <c r="AZ158" i="14"/>
  <c r="BA158" i="14"/>
  <c r="BB158" i="14"/>
  <c r="BG158" i="14"/>
  <c r="CC158" i="14"/>
  <c r="CE158" i="14"/>
  <c r="CF158" i="14"/>
  <c r="CH158" i="14"/>
  <c r="CJ158" i="14"/>
  <c r="CK158" i="14"/>
  <c r="CO158" i="14"/>
  <c r="CT158" i="14"/>
  <c r="CZ158" i="14"/>
  <c r="DA158" i="14"/>
  <c r="DB158" i="14"/>
  <c r="DC158" i="14"/>
  <c r="V159" i="14"/>
  <c r="X159" i="14"/>
  <c r="Y159" i="14"/>
  <c r="AA159" i="14"/>
  <c r="AC159" i="14"/>
  <c r="AD159" i="14"/>
  <c r="AE159" i="14"/>
  <c r="AF159" i="14"/>
  <c r="AH159" i="14"/>
  <c r="AI159" i="14"/>
  <c r="AJ159" i="14"/>
  <c r="AK159" i="14"/>
  <c r="AM159" i="14"/>
  <c r="AN159" i="14"/>
  <c r="AO159" i="14"/>
  <c r="AP159" i="14"/>
  <c r="AS159" i="14"/>
  <c r="AU159" i="14"/>
  <c r="AV159" i="14"/>
  <c r="BC159" i="14"/>
  <c r="BF159" i="14"/>
  <c r="BH159" i="14"/>
  <c r="BI159" i="14"/>
  <c r="BJ159" i="14"/>
  <c r="BK159" i="14"/>
  <c r="BM159" i="14"/>
  <c r="BN159" i="14"/>
  <c r="BO159" i="14"/>
  <c r="BP159" i="14"/>
  <c r="BZ159" i="14"/>
  <c r="CP159" i="14"/>
  <c r="CQ159" i="14"/>
  <c r="CR159" i="14"/>
  <c r="CS159" i="14"/>
  <c r="CU159" i="14"/>
  <c r="CV159" i="14"/>
  <c r="CW159" i="14"/>
  <c r="CX159" i="14"/>
  <c r="DD159" i="14"/>
  <c r="DE159" i="14"/>
  <c r="DF159" i="14"/>
  <c r="W160" i="14"/>
  <c r="AB160" i="14"/>
  <c r="AG160" i="14"/>
  <c r="AL160" i="14"/>
  <c r="AR160" i="14"/>
  <c r="AX160" i="14"/>
  <c r="AY160" i="14"/>
  <c r="AZ160" i="14"/>
  <c r="BA160" i="14"/>
  <c r="BD160" i="14"/>
  <c r="BB160" i="14" s="1"/>
  <c r="BG160" i="14"/>
  <c r="BL160" i="14"/>
  <c r="CC160" i="14"/>
  <c r="CE160" i="14"/>
  <c r="CF160" i="14"/>
  <c r="CH160" i="14"/>
  <c r="CI160" i="14"/>
  <c r="CJ160" i="14"/>
  <c r="CK160" i="14"/>
  <c r="CO160" i="14"/>
  <c r="CT160" i="14"/>
  <c r="CZ160" i="14"/>
  <c r="DA160" i="14"/>
  <c r="DB160" i="14"/>
  <c r="DC160" i="14"/>
  <c r="W161" i="14"/>
  <c r="AB161" i="14"/>
  <c r="AG161" i="14"/>
  <c r="AL161" i="14"/>
  <c r="AR161" i="14"/>
  <c r="AX161" i="14"/>
  <c r="AY161" i="14"/>
  <c r="AZ161" i="14"/>
  <c r="BA161" i="14"/>
  <c r="BB161" i="14"/>
  <c r="BG161" i="14"/>
  <c r="BL161" i="14"/>
  <c r="CC161" i="14"/>
  <c r="CD161" i="14"/>
  <c r="CE161" i="14"/>
  <c r="CF161" i="14"/>
  <c r="CH161" i="14"/>
  <c r="CI161" i="14"/>
  <c r="CJ161" i="14"/>
  <c r="CK161" i="14"/>
  <c r="CO161" i="14"/>
  <c r="CT161" i="14"/>
  <c r="CZ161" i="14"/>
  <c r="DA161" i="14"/>
  <c r="DB161" i="14"/>
  <c r="DC161" i="14"/>
  <c r="W162" i="14"/>
  <c r="AB162" i="14"/>
  <c r="AG162" i="14"/>
  <c r="AL162" i="14"/>
  <c r="AR162" i="14"/>
  <c r="AX162" i="14"/>
  <c r="AY162" i="14"/>
  <c r="AZ162" i="14"/>
  <c r="BA162" i="14"/>
  <c r="BB162" i="14"/>
  <c r="BG162" i="14"/>
  <c r="BL162" i="14"/>
  <c r="P162" i="14" s="1"/>
  <c r="CC162" i="14"/>
  <c r="CD162" i="14"/>
  <c r="CE162" i="14"/>
  <c r="CF162" i="14"/>
  <c r="CH162" i="14"/>
  <c r="CI162" i="14"/>
  <c r="CJ162" i="14"/>
  <c r="CK162" i="14"/>
  <c r="CO162" i="14"/>
  <c r="CT162" i="14"/>
  <c r="CZ162" i="14"/>
  <c r="DA162" i="14"/>
  <c r="DB162" i="14"/>
  <c r="DC162" i="14"/>
  <c r="W163" i="14"/>
  <c r="AB163" i="14"/>
  <c r="AG163" i="14"/>
  <c r="AL163" i="14"/>
  <c r="AR163" i="14"/>
  <c r="AX163" i="14"/>
  <c r="AY163" i="14"/>
  <c r="AZ163" i="14"/>
  <c r="BA163" i="14"/>
  <c r="BB163" i="14"/>
  <c r="BG163" i="14"/>
  <c r="BL163" i="14"/>
  <c r="CC163" i="14"/>
  <c r="CD163" i="14"/>
  <c r="CE163" i="14"/>
  <c r="CF163" i="14"/>
  <c r="CH163" i="14"/>
  <c r="CI163" i="14"/>
  <c r="CJ163" i="14"/>
  <c r="CK163" i="14"/>
  <c r="CO163" i="14"/>
  <c r="CT163" i="14"/>
  <c r="DJ163" i="14" s="1"/>
  <c r="CZ163" i="14"/>
  <c r="DA163" i="14"/>
  <c r="DB163" i="14"/>
  <c r="DC163" i="14"/>
  <c r="W164" i="14"/>
  <c r="AB164" i="14"/>
  <c r="AG164" i="14"/>
  <c r="AL164" i="14"/>
  <c r="AR164" i="14"/>
  <c r="AX164" i="14"/>
  <c r="AY164" i="14"/>
  <c r="AZ164" i="14"/>
  <c r="BA164" i="14"/>
  <c r="BB164" i="14"/>
  <c r="BG164" i="14"/>
  <c r="BL164" i="14"/>
  <c r="CC164" i="14"/>
  <c r="CD164" i="14"/>
  <c r="CE164" i="14"/>
  <c r="CF164" i="14"/>
  <c r="CH164" i="14"/>
  <c r="CI164" i="14"/>
  <c r="CJ164" i="14"/>
  <c r="CK164" i="14"/>
  <c r="CO164" i="14"/>
  <c r="CT164" i="14"/>
  <c r="CZ164" i="14"/>
  <c r="DA164" i="14"/>
  <c r="DB164" i="14"/>
  <c r="DC164" i="14"/>
  <c r="W165" i="14"/>
  <c r="AB165" i="14"/>
  <c r="AG165" i="14"/>
  <c r="AL165" i="14"/>
  <c r="AR165" i="14"/>
  <c r="AX165" i="14"/>
  <c r="AY165" i="14"/>
  <c r="AZ165" i="14"/>
  <c r="BA165" i="14"/>
  <c r="BD165" i="14"/>
  <c r="BG165" i="14"/>
  <c r="BL165" i="14"/>
  <c r="CC165" i="14"/>
  <c r="CD165" i="14"/>
  <c r="CE165" i="14"/>
  <c r="CF165" i="14"/>
  <c r="CH165" i="14"/>
  <c r="CI165" i="14"/>
  <c r="CJ165" i="14"/>
  <c r="CK165" i="14"/>
  <c r="CO165" i="14"/>
  <c r="CT165" i="14"/>
  <c r="CZ165" i="14"/>
  <c r="DA165" i="14"/>
  <c r="DB165" i="14"/>
  <c r="DC165" i="14"/>
  <c r="W166" i="14"/>
  <c r="AB166" i="14"/>
  <c r="AG166" i="14"/>
  <c r="AL166" i="14"/>
  <c r="AR166" i="14"/>
  <c r="AX166" i="14"/>
  <c r="AY166" i="14"/>
  <c r="AZ166" i="14"/>
  <c r="BA166" i="14"/>
  <c r="BB166" i="14"/>
  <c r="BG166" i="14"/>
  <c r="BL166" i="14"/>
  <c r="DI166" i="14" s="1"/>
  <c r="CC166" i="14"/>
  <c r="CD166" i="14"/>
  <c r="CE166" i="14"/>
  <c r="CF166" i="14"/>
  <c r="CH166" i="14"/>
  <c r="CI166" i="14"/>
  <c r="CJ166" i="14"/>
  <c r="CK166" i="14"/>
  <c r="CO166" i="14"/>
  <c r="CT166" i="14"/>
  <c r="DJ166" i="14" s="1"/>
  <c r="CZ166" i="14"/>
  <c r="DA166" i="14"/>
  <c r="DB166" i="14"/>
  <c r="DC166" i="14"/>
  <c r="W167" i="14"/>
  <c r="AB167" i="14"/>
  <c r="AG167" i="14"/>
  <c r="AL167" i="14"/>
  <c r="AR167" i="14"/>
  <c r="AX167" i="14"/>
  <c r="AY167" i="14"/>
  <c r="AZ167" i="14"/>
  <c r="BA167" i="14"/>
  <c r="BB167" i="14"/>
  <c r="BG167" i="14"/>
  <c r="BL167" i="14"/>
  <c r="CC167" i="14"/>
  <c r="CD167" i="14"/>
  <c r="CE167" i="14"/>
  <c r="CF167" i="14"/>
  <c r="CH167" i="14"/>
  <c r="CI167" i="14"/>
  <c r="CJ167" i="14"/>
  <c r="CK167" i="14"/>
  <c r="CO167" i="14"/>
  <c r="CT167" i="14"/>
  <c r="DJ167" i="14" s="1"/>
  <c r="CZ167" i="14"/>
  <c r="DA167" i="14"/>
  <c r="DB167" i="14"/>
  <c r="DC167" i="14"/>
  <c r="W168" i="14"/>
  <c r="AB168" i="14"/>
  <c r="AG168" i="14"/>
  <c r="AL168" i="14"/>
  <c r="AR168" i="14"/>
  <c r="AX168" i="14"/>
  <c r="AZ168" i="14"/>
  <c r="BA168" i="14"/>
  <c r="BD168" i="14"/>
  <c r="BB168" i="14" s="1"/>
  <c r="BG168" i="14"/>
  <c r="BL168" i="14"/>
  <c r="CC168" i="14"/>
  <c r="CD168" i="14"/>
  <c r="CE168" i="14"/>
  <c r="CF168" i="14"/>
  <c r="CH168" i="14"/>
  <c r="CI168" i="14"/>
  <c r="CJ168" i="14"/>
  <c r="CK168" i="14"/>
  <c r="CO168" i="14"/>
  <c r="CT168" i="14"/>
  <c r="CZ168" i="14"/>
  <c r="DA168" i="14"/>
  <c r="DB168" i="14"/>
  <c r="DC168" i="14"/>
  <c r="W169" i="14"/>
  <c r="AB169" i="14"/>
  <c r="AG169" i="14"/>
  <c r="AL169" i="14"/>
  <c r="AR169" i="14"/>
  <c r="AX169" i="14"/>
  <c r="AY169" i="14"/>
  <c r="AZ169" i="14"/>
  <c r="BA169" i="14"/>
  <c r="BE169" i="14"/>
  <c r="BB169" i="14" s="1"/>
  <c r="BG169" i="14"/>
  <c r="BL169" i="14"/>
  <c r="CC169" i="14"/>
  <c r="CD169" i="14"/>
  <c r="CE169" i="14"/>
  <c r="CF169" i="14"/>
  <c r="CH169" i="14"/>
  <c r="CI169" i="14"/>
  <c r="CJ169" i="14"/>
  <c r="CK169" i="14"/>
  <c r="CO169" i="14"/>
  <c r="CT169" i="14"/>
  <c r="CZ169" i="14"/>
  <c r="DA169" i="14"/>
  <c r="DB169" i="14"/>
  <c r="DC169" i="14"/>
  <c r="W170" i="14"/>
  <c r="AB170" i="14"/>
  <c r="AG170" i="14"/>
  <c r="AL170" i="14"/>
  <c r="AR170" i="14"/>
  <c r="AX170" i="14"/>
  <c r="AY170" i="14"/>
  <c r="AZ170" i="14"/>
  <c r="BA170" i="14"/>
  <c r="BD170" i="14"/>
  <c r="BB170" i="14" s="1"/>
  <c r="BG170" i="14"/>
  <c r="BL170" i="14"/>
  <c r="P170" i="14" s="1"/>
  <c r="CC170" i="14"/>
  <c r="CD170" i="14"/>
  <c r="CE170" i="14"/>
  <c r="CF170" i="14"/>
  <c r="CH170" i="14"/>
  <c r="CI170" i="14"/>
  <c r="CJ170" i="14"/>
  <c r="CK170" i="14"/>
  <c r="CO170" i="14"/>
  <c r="CT170" i="14"/>
  <c r="CZ170" i="14"/>
  <c r="DA170" i="14"/>
  <c r="DB170" i="14"/>
  <c r="DC170" i="14"/>
  <c r="W171" i="14"/>
  <c r="AB171" i="14"/>
  <c r="AG171" i="14"/>
  <c r="AL171" i="14"/>
  <c r="AR171" i="14"/>
  <c r="AX171" i="14"/>
  <c r="AZ171" i="14"/>
  <c r="BA171" i="14"/>
  <c r="BD171" i="14"/>
  <c r="BB171" i="14" s="1"/>
  <c r="BG171" i="14"/>
  <c r="BL171" i="14"/>
  <c r="CC171" i="14"/>
  <c r="CD171" i="14"/>
  <c r="CE171" i="14"/>
  <c r="CF171" i="14"/>
  <c r="CH171" i="14"/>
  <c r="CI171" i="14"/>
  <c r="CJ171" i="14"/>
  <c r="CK171" i="14"/>
  <c r="CO171" i="14"/>
  <c r="CT171" i="14"/>
  <c r="CZ171" i="14"/>
  <c r="DA171" i="14"/>
  <c r="DB171" i="14"/>
  <c r="DC171" i="14"/>
  <c r="W172" i="14"/>
  <c r="AB172" i="14"/>
  <c r="AG172" i="14"/>
  <c r="AL172" i="14"/>
  <c r="AR172" i="14"/>
  <c r="AX172" i="14"/>
  <c r="AY172" i="14"/>
  <c r="AZ172" i="14"/>
  <c r="BA172" i="14"/>
  <c r="BB172" i="14"/>
  <c r="BG172" i="14"/>
  <c r="BL172" i="14"/>
  <c r="CC172" i="14"/>
  <c r="CD172" i="14"/>
  <c r="CE172" i="14"/>
  <c r="CF172" i="14"/>
  <c r="CH172" i="14"/>
  <c r="CI172" i="14"/>
  <c r="CJ172" i="14"/>
  <c r="CK172" i="14"/>
  <c r="CO172" i="14"/>
  <c r="CT172" i="14"/>
  <c r="CZ172" i="14"/>
  <c r="DA172" i="14"/>
  <c r="DB172" i="14"/>
  <c r="DC172" i="14"/>
  <c r="W173" i="14"/>
  <c r="AB173" i="14"/>
  <c r="AG173" i="14"/>
  <c r="AL173" i="14"/>
  <c r="AR173" i="14"/>
  <c r="AX173" i="14"/>
  <c r="AY173" i="14"/>
  <c r="AZ173" i="14"/>
  <c r="BA173" i="14"/>
  <c r="BD173" i="14"/>
  <c r="BB173" i="14" s="1"/>
  <c r="BG173" i="14"/>
  <c r="BL173" i="14"/>
  <c r="P173" i="14" s="1"/>
  <c r="CC173" i="14"/>
  <c r="CD173" i="14"/>
  <c r="CE173" i="14"/>
  <c r="CF173" i="14"/>
  <c r="CH173" i="14"/>
  <c r="CI173" i="14"/>
  <c r="CJ173" i="14"/>
  <c r="CK173" i="14"/>
  <c r="CO173" i="14"/>
  <c r="CT173" i="14"/>
  <c r="CZ173" i="14"/>
  <c r="DA173" i="14"/>
  <c r="DB173" i="14"/>
  <c r="DC173" i="14"/>
  <c r="W174" i="14"/>
  <c r="AB174" i="14"/>
  <c r="AG174" i="14"/>
  <c r="AL174" i="14"/>
  <c r="AR174" i="14"/>
  <c r="AX174" i="14"/>
  <c r="AY174" i="14"/>
  <c r="AZ174" i="14"/>
  <c r="BA174" i="14"/>
  <c r="BB174" i="14"/>
  <c r="BG174" i="14"/>
  <c r="BL174" i="14"/>
  <c r="P174" i="14" s="1"/>
  <c r="CC174" i="14"/>
  <c r="CD174" i="14"/>
  <c r="CE174" i="14"/>
  <c r="CF174" i="14"/>
  <c r="CH174" i="14"/>
  <c r="CI174" i="14"/>
  <c r="CJ174" i="14"/>
  <c r="CK174" i="14"/>
  <c r="CO174" i="14"/>
  <c r="CT174" i="14"/>
  <c r="CZ174" i="14"/>
  <c r="DA174" i="14"/>
  <c r="DB174" i="14"/>
  <c r="DC174" i="14"/>
  <c r="W175" i="14"/>
  <c r="AB175" i="14"/>
  <c r="AG175" i="14"/>
  <c r="AL175" i="14"/>
  <c r="AR175" i="14"/>
  <c r="AX175" i="14"/>
  <c r="AY175" i="14"/>
  <c r="AZ175" i="14"/>
  <c r="BA175" i="14"/>
  <c r="BD175" i="14"/>
  <c r="BB175" i="14" s="1"/>
  <c r="BG175" i="14"/>
  <c r="BL175" i="14"/>
  <c r="CC175" i="14"/>
  <c r="CD175" i="14"/>
  <c r="CE175" i="14"/>
  <c r="CF175" i="14"/>
  <c r="CH175" i="14"/>
  <c r="CI175" i="14"/>
  <c r="CJ175" i="14"/>
  <c r="CK175" i="14"/>
  <c r="CO175" i="14"/>
  <c r="CT175" i="14"/>
  <c r="CZ175" i="14"/>
  <c r="DA175" i="14"/>
  <c r="DB175" i="14"/>
  <c r="DC175" i="14"/>
  <c r="DJ175" i="14"/>
  <c r="W176" i="14"/>
  <c r="AB176" i="14"/>
  <c r="AG176" i="14"/>
  <c r="AL176" i="14"/>
  <c r="AR176" i="14"/>
  <c r="AX176" i="14"/>
  <c r="AY176" i="14"/>
  <c r="AZ176" i="14"/>
  <c r="BA176" i="14"/>
  <c r="BD176" i="14"/>
  <c r="BB176" i="14" s="1"/>
  <c r="BG176" i="14"/>
  <c r="BL176" i="14"/>
  <c r="DI176" i="14" s="1"/>
  <c r="CC176" i="14"/>
  <c r="CD176" i="14"/>
  <c r="CE176" i="14"/>
  <c r="CF176" i="14"/>
  <c r="CH176" i="14"/>
  <c r="CI176" i="14"/>
  <c r="CJ176" i="14"/>
  <c r="CK176" i="14"/>
  <c r="CO176" i="14"/>
  <c r="CT176" i="14"/>
  <c r="DJ176" i="14" s="1"/>
  <c r="CZ176" i="14"/>
  <c r="DA176" i="14"/>
  <c r="DB176" i="14"/>
  <c r="DC176" i="14"/>
  <c r="V177" i="14"/>
  <c r="X177" i="14"/>
  <c r="Y177" i="14"/>
  <c r="AA177" i="14"/>
  <c r="AC177" i="14"/>
  <c r="AD177" i="14"/>
  <c r="AE177" i="14"/>
  <c r="AF177" i="14"/>
  <c r="AH177" i="14"/>
  <c r="AI177" i="14"/>
  <c r="AJ177" i="14"/>
  <c r="AK177" i="14"/>
  <c r="AM177" i="14"/>
  <c r="AN177" i="14"/>
  <c r="AO177" i="14"/>
  <c r="AP177" i="14"/>
  <c r="AS177" i="14"/>
  <c r="AV177" i="14"/>
  <c r="BC177" i="14"/>
  <c r="BF177" i="14"/>
  <c r="BH177" i="14"/>
  <c r="BI177" i="14"/>
  <c r="BJ177" i="14"/>
  <c r="BK177" i="14"/>
  <c r="BM177" i="14"/>
  <c r="BO177" i="14"/>
  <c r="BP177" i="14"/>
  <c r="BZ177" i="14"/>
  <c r="CP177" i="14"/>
  <c r="CQ177" i="14"/>
  <c r="CR177" i="14"/>
  <c r="CS177" i="14"/>
  <c r="CU177" i="14"/>
  <c r="CV177" i="14"/>
  <c r="CW177" i="14"/>
  <c r="CX177" i="14"/>
  <c r="DD177" i="14"/>
  <c r="DE177" i="14"/>
  <c r="W178" i="14"/>
  <c r="AB178" i="14"/>
  <c r="AG178" i="14"/>
  <c r="AL178" i="14"/>
  <c r="AR178" i="14"/>
  <c r="AX178" i="14"/>
  <c r="AY178" i="14"/>
  <c r="AZ178" i="14"/>
  <c r="BA178" i="14"/>
  <c r="BB178" i="14"/>
  <c r="CM178" i="14" s="1"/>
  <c r="CN178" i="14" s="1"/>
  <c r="BG178" i="14"/>
  <c r="BL178" i="14"/>
  <c r="P178" i="14" s="1"/>
  <c r="CC178" i="14"/>
  <c r="CD178" i="14"/>
  <c r="CE178" i="14"/>
  <c r="CF178" i="14"/>
  <c r="CH178" i="14"/>
  <c r="CI178" i="14"/>
  <c r="CJ178" i="14"/>
  <c r="CK178" i="14"/>
  <c r="CO178" i="14"/>
  <c r="CT178" i="14"/>
  <c r="CZ178" i="14"/>
  <c r="DA178" i="14"/>
  <c r="DB178" i="14"/>
  <c r="DC178" i="14"/>
  <c r="DF178" i="14"/>
  <c r="W179" i="14"/>
  <c r="AB179" i="14"/>
  <c r="AG179" i="14"/>
  <c r="AL179" i="14"/>
  <c r="AR179" i="14"/>
  <c r="AX179" i="14"/>
  <c r="AY179" i="14"/>
  <c r="AZ179" i="14"/>
  <c r="BA179" i="14"/>
  <c r="BB179" i="14"/>
  <c r="BG179" i="14"/>
  <c r="BL179" i="14"/>
  <c r="CC179" i="14"/>
  <c r="CD179" i="14"/>
  <c r="CE179" i="14"/>
  <c r="CF179" i="14"/>
  <c r="CH179" i="14"/>
  <c r="CI179" i="14"/>
  <c r="CJ179" i="14"/>
  <c r="CK179" i="14"/>
  <c r="CO179" i="14"/>
  <c r="CT179" i="14"/>
  <c r="CZ179" i="14"/>
  <c r="DA179" i="14"/>
  <c r="DB179" i="14"/>
  <c r="DC179" i="14"/>
  <c r="W180" i="14"/>
  <c r="AB180" i="14"/>
  <c r="AG180" i="14"/>
  <c r="AL180" i="14"/>
  <c r="AR180" i="14"/>
  <c r="AX180" i="14"/>
  <c r="AY180" i="14"/>
  <c r="AZ180" i="14"/>
  <c r="BA180" i="14"/>
  <c r="BB180" i="14"/>
  <c r="BG180" i="14"/>
  <c r="BL180" i="14"/>
  <c r="CC180" i="14"/>
  <c r="CD180" i="14"/>
  <c r="CE180" i="14"/>
  <c r="CF180" i="14"/>
  <c r="CH180" i="14"/>
  <c r="CI180" i="14"/>
  <c r="CJ180" i="14"/>
  <c r="CK180" i="14"/>
  <c r="CO180" i="14"/>
  <c r="CT180" i="14"/>
  <c r="DJ180" i="14" s="1"/>
  <c r="CZ180" i="14"/>
  <c r="DA180" i="14"/>
  <c r="DB180" i="14"/>
  <c r="DC180" i="14"/>
  <c r="W181" i="14"/>
  <c r="AB181" i="14"/>
  <c r="AG181" i="14"/>
  <c r="AL181" i="14"/>
  <c r="AR181" i="14"/>
  <c r="AX181" i="14"/>
  <c r="AY181" i="14"/>
  <c r="AZ181" i="14"/>
  <c r="BA181" i="14"/>
  <c r="BB181" i="14"/>
  <c r="BG181" i="14"/>
  <c r="BL181" i="14"/>
  <c r="CC181" i="14"/>
  <c r="CD181" i="14"/>
  <c r="CE181" i="14"/>
  <c r="CF181" i="14"/>
  <c r="CH181" i="14"/>
  <c r="CI181" i="14"/>
  <c r="CJ181" i="14"/>
  <c r="CK181" i="14"/>
  <c r="CO181" i="14"/>
  <c r="CT181" i="14"/>
  <c r="CZ181" i="14"/>
  <c r="DA181" i="14"/>
  <c r="DB181" i="14"/>
  <c r="DC181" i="14"/>
  <c r="W182" i="14"/>
  <c r="AB182" i="14"/>
  <c r="AG182" i="14"/>
  <c r="AL182" i="14"/>
  <c r="AR182" i="14"/>
  <c r="AX182" i="14"/>
  <c r="AY182" i="14"/>
  <c r="AZ182" i="14"/>
  <c r="BA182" i="14"/>
  <c r="BD182" i="14"/>
  <c r="BB182" i="14" s="1"/>
  <c r="BG182" i="14"/>
  <c r="CI182" i="14"/>
  <c r="CC182" i="14"/>
  <c r="CD182" i="14"/>
  <c r="CE182" i="14"/>
  <c r="CF182" i="14"/>
  <c r="CH182" i="14"/>
  <c r="CJ182" i="14"/>
  <c r="CK182" i="14"/>
  <c r="CO182" i="14"/>
  <c r="CT182" i="14"/>
  <c r="CZ182" i="14"/>
  <c r="DA182" i="14"/>
  <c r="DB182" i="14"/>
  <c r="DC182" i="14"/>
  <c r="W183" i="14"/>
  <c r="AB183" i="14"/>
  <c r="AG183" i="14"/>
  <c r="AL183" i="14"/>
  <c r="AR183" i="14"/>
  <c r="AX183" i="14"/>
  <c r="AY183" i="14"/>
  <c r="AZ183" i="14"/>
  <c r="BA183" i="14"/>
  <c r="BD183" i="14"/>
  <c r="BG183" i="14"/>
  <c r="CC183" i="14"/>
  <c r="CD183" i="14"/>
  <c r="CE183" i="14"/>
  <c r="CF183" i="14"/>
  <c r="CH183" i="14"/>
  <c r="CJ183" i="14"/>
  <c r="CK183" i="14"/>
  <c r="CO183" i="14"/>
  <c r="CT183" i="14"/>
  <c r="CZ183" i="14"/>
  <c r="DA183" i="14"/>
  <c r="DB183" i="14"/>
  <c r="DC183" i="14"/>
  <c r="W184" i="14"/>
  <c r="AB184" i="14"/>
  <c r="AG184" i="14"/>
  <c r="AL184" i="14"/>
  <c r="AR184" i="14"/>
  <c r="AX184" i="14"/>
  <c r="AY184" i="14"/>
  <c r="AZ184" i="14"/>
  <c r="BA184" i="14"/>
  <c r="BD184" i="14"/>
  <c r="BE184" i="14"/>
  <c r="BE177" i="14" s="1"/>
  <c r="BG184" i="14"/>
  <c r="BL184" i="14"/>
  <c r="CC184" i="14"/>
  <c r="CD184" i="14"/>
  <c r="CE184" i="14"/>
  <c r="CF184" i="14"/>
  <c r="CH184" i="14"/>
  <c r="CI184" i="14"/>
  <c r="CJ184" i="14"/>
  <c r="CK184" i="14"/>
  <c r="CO184" i="14"/>
  <c r="CT184" i="14"/>
  <c r="CZ184" i="14"/>
  <c r="DA184" i="14"/>
  <c r="DB184" i="14"/>
  <c r="DC184" i="14"/>
  <c r="DF184" i="14"/>
  <c r="W185" i="14"/>
  <c r="AB185" i="14"/>
  <c r="AG185" i="14"/>
  <c r="AL185" i="14"/>
  <c r="AR185" i="14"/>
  <c r="AX185" i="14"/>
  <c r="AY185" i="14"/>
  <c r="AZ185" i="14"/>
  <c r="BA185" i="14"/>
  <c r="BB185" i="14"/>
  <c r="BG185" i="14"/>
  <c r="BL185" i="14"/>
  <c r="DI185" i="14" s="1"/>
  <c r="CC185" i="14"/>
  <c r="CD185" i="14"/>
  <c r="CE185" i="14"/>
  <c r="CF185" i="14"/>
  <c r="CH185" i="14"/>
  <c r="CI185" i="14"/>
  <c r="CJ185" i="14"/>
  <c r="CK185" i="14"/>
  <c r="CO185" i="14"/>
  <c r="CT185" i="14"/>
  <c r="DJ185" i="14" s="1"/>
  <c r="CZ185" i="14"/>
  <c r="DA185" i="14"/>
  <c r="DB185" i="14"/>
  <c r="DC185" i="14"/>
  <c r="W186" i="14"/>
  <c r="AB186" i="14"/>
  <c r="AG186" i="14"/>
  <c r="AL186" i="14"/>
  <c r="AR186" i="14"/>
  <c r="AX186" i="14"/>
  <c r="AY186" i="14"/>
  <c r="AZ186" i="14"/>
  <c r="BA186" i="14"/>
  <c r="BB186" i="14"/>
  <c r="BG186" i="14"/>
  <c r="BL186" i="14"/>
  <c r="CC186" i="14"/>
  <c r="CD186" i="14"/>
  <c r="CE186" i="14"/>
  <c r="CF186" i="14"/>
  <c r="CH186" i="14"/>
  <c r="CI186" i="14"/>
  <c r="CJ186" i="14"/>
  <c r="CK186" i="14"/>
  <c r="CO186" i="14"/>
  <c r="CT186" i="14"/>
  <c r="DJ186" i="14" s="1"/>
  <c r="CZ186" i="14"/>
  <c r="DA186" i="14"/>
  <c r="DB186" i="14"/>
  <c r="DC186" i="14"/>
  <c r="W187" i="14"/>
  <c r="AB187" i="14"/>
  <c r="AG187" i="14"/>
  <c r="AL187" i="14"/>
  <c r="AX187" i="14"/>
  <c r="AZ187" i="14"/>
  <c r="BA187" i="14"/>
  <c r="BD187" i="14"/>
  <c r="BB187" i="14" s="1"/>
  <c r="BG187" i="14"/>
  <c r="BL187" i="14"/>
  <c r="CC187" i="14"/>
  <c r="CE187" i="14"/>
  <c r="CF187" i="14"/>
  <c r="CH187" i="14"/>
  <c r="CJ187" i="14"/>
  <c r="CK187" i="14"/>
  <c r="CO187" i="14"/>
  <c r="CT187" i="14"/>
  <c r="CZ187" i="14"/>
  <c r="DA187" i="14"/>
  <c r="DB187" i="14"/>
  <c r="DC187" i="14"/>
  <c r="W188" i="14"/>
  <c r="AB188" i="14"/>
  <c r="AG188" i="14"/>
  <c r="AL188" i="14"/>
  <c r="AX188" i="14"/>
  <c r="AZ188" i="14"/>
  <c r="BA188" i="14"/>
  <c r="BB188" i="14"/>
  <c r="BG188" i="14"/>
  <c r="BL188" i="14"/>
  <c r="CC188" i="14"/>
  <c r="CD188" i="14"/>
  <c r="CE188" i="14"/>
  <c r="CF188" i="14"/>
  <c r="CH188" i="14"/>
  <c r="CI188" i="14"/>
  <c r="CJ188" i="14"/>
  <c r="CK188" i="14"/>
  <c r="CO188" i="14"/>
  <c r="CT188" i="14"/>
  <c r="CZ188" i="14"/>
  <c r="DA188" i="14"/>
  <c r="DB188" i="14"/>
  <c r="DC188" i="14"/>
  <c r="W189" i="14"/>
  <c r="AB189" i="14"/>
  <c r="AG189" i="14"/>
  <c r="AL189" i="14"/>
  <c r="AR189" i="14"/>
  <c r="AX189" i="14"/>
  <c r="AY189" i="14"/>
  <c r="AZ189" i="14"/>
  <c r="BA189" i="14"/>
  <c r="BD189" i="14"/>
  <c r="BB189" i="14" s="1"/>
  <c r="BG189" i="14"/>
  <c r="BL189" i="14"/>
  <c r="CC189" i="14"/>
  <c r="CD189" i="14"/>
  <c r="CE189" i="14"/>
  <c r="CF189" i="14"/>
  <c r="CH189" i="14"/>
  <c r="CI189" i="14"/>
  <c r="CJ189" i="14"/>
  <c r="CK189" i="14"/>
  <c r="CO189" i="14"/>
  <c r="CT189" i="14"/>
  <c r="DJ189" i="14" s="1"/>
  <c r="CZ189" i="14"/>
  <c r="DA189" i="14"/>
  <c r="DB189" i="14"/>
  <c r="DC189" i="14"/>
  <c r="W190" i="14"/>
  <c r="AB190" i="14"/>
  <c r="AG190" i="14"/>
  <c r="AL190" i="14"/>
  <c r="AR190" i="14"/>
  <c r="AX190" i="14"/>
  <c r="AY190" i="14"/>
  <c r="AZ190" i="14"/>
  <c r="BA190" i="14"/>
  <c r="BD190" i="14"/>
  <c r="BB190" i="14" s="1"/>
  <c r="BG190" i="14"/>
  <c r="BL190" i="14"/>
  <c r="CC190" i="14"/>
  <c r="CD190" i="14"/>
  <c r="CE190" i="14"/>
  <c r="CF190" i="14"/>
  <c r="CH190" i="14"/>
  <c r="CI190" i="14"/>
  <c r="CJ190" i="14"/>
  <c r="CK190" i="14"/>
  <c r="CO190" i="14"/>
  <c r="CT190" i="14"/>
  <c r="CZ190" i="14"/>
  <c r="DA190" i="14"/>
  <c r="DB190" i="14"/>
  <c r="DC190" i="14"/>
  <c r="W191" i="14"/>
  <c r="AB191" i="14"/>
  <c r="AG191" i="14"/>
  <c r="AL191" i="14"/>
  <c r="AR191" i="14"/>
  <c r="AX191" i="14"/>
  <c r="AY191" i="14"/>
  <c r="AZ191" i="14"/>
  <c r="BA191" i="14"/>
  <c r="BB191" i="14"/>
  <c r="BG191" i="14"/>
  <c r="BL191" i="14"/>
  <c r="CC191" i="14"/>
  <c r="CD191" i="14"/>
  <c r="CE191" i="14"/>
  <c r="CF191" i="14"/>
  <c r="CH191" i="14"/>
  <c r="CI191" i="14"/>
  <c r="CJ191" i="14"/>
  <c r="CK191" i="14"/>
  <c r="CO191" i="14"/>
  <c r="CT191" i="14"/>
  <c r="DJ191" i="14" s="1"/>
  <c r="CZ191" i="14"/>
  <c r="DA191" i="14"/>
  <c r="DB191" i="14"/>
  <c r="DC191" i="14"/>
  <c r="W192" i="14"/>
  <c r="AB192" i="14"/>
  <c r="AG192" i="14"/>
  <c r="AL192" i="14"/>
  <c r="AR192" i="14"/>
  <c r="AX192" i="14"/>
  <c r="AY192" i="14"/>
  <c r="AZ192" i="14"/>
  <c r="BA192" i="14"/>
  <c r="BB192" i="14"/>
  <c r="BG192" i="14"/>
  <c r="CC192" i="14"/>
  <c r="CD192" i="14"/>
  <c r="CE192" i="14"/>
  <c r="CF192" i="14"/>
  <c r="CH192" i="14"/>
  <c r="CJ192" i="14"/>
  <c r="CK192" i="14"/>
  <c r="CO192" i="14"/>
  <c r="CT192" i="14"/>
  <c r="CZ192" i="14"/>
  <c r="DA192" i="14"/>
  <c r="DB192" i="14"/>
  <c r="DC192" i="14"/>
  <c r="W193" i="14"/>
  <c r="AB193" i="14"/>
  <c r="AG193" i="14"/>
  <c r="AL193" i="14"/>
  <c r="AX193" i="14"/>
  <c r="AY193" i="14"/>
  <c r="AZ193" i="14"/>
  <c r="BA193" i="14"/>
  <c r="BD193" i="14"/>
  <c r="BB193" i="14" s="1"/>
  <c r="BG193" i="14"/>
  <c r="BL193" i="14"/>
  <c r="CC193" i="14"/>
  <c r="CD193" i="14"/>
  <c r="CE193" i="14"/>
  <c r="CF193" i="14"/>
  <c r="CH193" i="14"/>
  <c r="CI193" i="14"/>
  <c r="CJ193" i="14"/>
  <c r="CK193" i="14"/>
  <c r="CO193" i="14"/>
  <c r="CT193" i="14"/>
  <c r="CZ193" i="14"/>
  <c r="DA193" i="14"/>
  <c r="DB193" i="14"/>
  <c r="DC193" i="14"/>
  <c r="W194" i="14"/>
  <c r="AB194" i="14"/>
  <c r="AG194" i="14"/>
  <c r="AL194" i="14"/>
  <c r="AR194" i="14"/>
  <c r="AX194" i="14"/>
  <c r="AY194" i="14"/>
  <c r="AZ194" i="14"/>
  <c r="BA194" i="14"/>
  <c r="BB194" i="14"/>
  <c r="BG194" i="14"/>
  <c r="BL194" i="14"/>
  <c r="CC194" i="14"/>
  <c r="CD194" i="14"/>
  <c r="CE194" i="14"/>
  <c r="CF194" i="14"/>
  <c r="CH194" i="14"/>
  <c r="CI194" i="14"/>
  <c r="CJ194" i="14"/>
  <c r="CK194" i="14"/>
  <c r="CO194" i="14"/>
  <c r="DI194" i="14" s="1"/>
  <c r="CT194" i="14"/>
  <c r="CZ194" i="14"/>
  <c r="DA194" i="14"/>
  <c r="DB194" i="14"/>
  <c r="DC194" i="14"/>
  <c r="V195" i="14"/>
  <c r="X195" i="14"/>
  <c r="Y195" i="14"/>
  <c r="AA195" i="14"/>
  <c r="AC195" i="14"/>
  <c r="AD195" i="14"/>
  <c r="AE195" i="14"/>
  <c r="AF195" i="14"/>
  <c r="AH195" i="14"/>
  <c r="AI195" i="14"/>
  <c r="AJ195" i="14"/>
  <c r="AK195" i="14"/>
  <c r="AM195" i="14"/>
  <c r="AN195" i="14"/>
  <c r="AO195" i="14"/>
  <c r="AP195" i="14"/>
  <c r="AS195" i="14"/>
  <c r="AT195" i="14"/>
  <c r="AU195" i="14"/>
  <c r="AV195" i="14"/>
  <c r="BC195" i="14"/>
  <c r="BE195" i="14"/>
  <c r="BF195" i="14"/>
  <c r="BH195" i="14"/>
  <c r="BI195" i="14"/>
  <c r="BJ195" i="14"/>
  <c r="BK195" i="14"/>
  <c r="BM195" i="14"/>
  <c r="BN195" i="14"/>
  <c r="BO195" i="14"/>
  <c r="BP195" i="14"/>
  <c r="BZ195" i="14"/>
  <c r="CP195" i="14"/>
  <c r="CQ195" i="14"/>
  <c r="CR195" i="14"/>
  <c r="CS195" i="14"/>
  <c r="CU195" i="14"/>
  <c r="CV195" i="14"/>
  <c r="CW195" i="14"/>
  <c r="CX195" i="14"/>
  <c r="DD195" i="14"/>
  <c r="DE195" i="14"/>
  <c r="DF195" i="14"/>
  <c r="W196" i="14"/>
  <c r="AB196" i="14"/>
  <c r="AG196" i="14"/>
  <c r="AL196" i="14"/>
  <c r="AR196" i="14"/>
  <c r="AX196" i="14"/>
  <c r="AY196" i="14"/>
  <c r="AZ196" i="14"/>
  <c r="BA196" i="14"/>
  <c r="BB196" i="14"/>
  <c r="BG196" i="14"/>
  <c r="BL196" i="14"/>
  <c r="CC196" i="14"/>
  <c r="CD196" i="14"/>
  <c r="CE196" i="14"/>
  <c r="CF196" i="14"/>
  <c r="CH196" i="14"/>
  <c r="CI196" i="14"/>
  <c r="CJ196" i="14"/>
  <c r="CK196" i="14"/>
  <c r="CO196" i="14"/>
  <c r="CT196" i="14"/>
  <c r="CZ196" i="14"/>
  <c r="DA196" i="14"/>
  <c r="DB196" i="14"/>
  <c r="DC196" i="14"/>
  <c r="W197" i="14"/>
  <c r="AB197" i="14"/>
  <c r="AG197" i="14"/>
  <c r="AL197" i="14"/>
  <c r="AR197" i="14"/>
  <c r="AX197" i="14"/>
  <c r="AY197" i="14"/>
  <c r="AZ197" i="14"/>
  <c r="BA197" i="14"/>
  <c r="BB197" i="14"/>
  <c r="BG197" i="14"/>
  <c r="BL197" i="14"/>
  <c r="CC197" i="14"/>
  <c r="CD197" i="14"/>
  <c r="CE197" i="14"/>
  <c r="CF197" i="14"/>
  <c r="CH197" i="14"/>
  <c r="CI197" i="14"/>
  <c r="CJ197" i="14"/>
  <c r="CK197" i="14"/>
  <c r="CO197" i="14"/>
  <c r="CT197" i="14"/>
  <c r="CZ197" i="14"/>
  <c r="DA197" i="14"/>
  <c r="DB197" i="14"/>
  <c r="DC197" i="14"/>
  <c r="W198" i="14"/>
  <c r="AB198" i="14"/>
  <c r="AG198" i="14"/>
  <c r="AL198" i="14"/>
  <c r="AR198" i="14"/>
  <c r="AX198" i="14"/>
  <c r="AY198" i="14"/>
  <c r="AZ198" i="14"/>
  <c r="BA198" i="14"/>
  <c r="BB198" i="14"/>
  <c r="BG198" i="14"/>
  <c r="BL198" i="14"/>
  <c r="CC198" i="14"/>
  <c r="CD198" i="14"/>
  <c r="CE198" i="14"/>
  <c r="CF198" i="14"/>
  <c r="CH198" i="14"/>
  <c r="CI198" i="14"/>
  <c r="CJ198" i="14"/>
  <c r="CK198" i="14"/>
  <c r="CO198" i="14"/>
  <c r="CT198" i="14"/>
  <c r="CZ198" i="14"/>
  <c r="DA198" i="14"/>
  <c r="DB198" i="14"/>
  <c r="DC198" i="14"/>
  <c r="DJ198" i="14"/>
  <c r="W199" i="14"/>
  <c r="AB199" i="14"/>
  <c r="AG199" i="14"/>
  <c r="AL199" i="14"/>
  <c r="AR199" i="14"/>
  <c r="AX199" i="14"/>
  <c r="AY199" i="14"/>
  <c r="AZ199" i="14"/>
  <c r="BA199" i="14"/>
  <c r="BB199" i="14"/>
  <c r="BD199" i="14"/>
  <c r="BD195" i="14" s="1"/>
  <c r="BG199" i="14"/>
  <c r="BL199" i="14"/>
  <c r="CC199" i="14"/>
  <c r="CD199" i="14"/>
  <c r="CE199" i="14"/>
  <c r="CF199" i="14"/>
  <c r="CH199" i="14"/>
  <c r="CI199" i="14"/>
  <c r="CJ199" i="14"/>
  <c r="CK199" i="14"/>
  <c r="CO199" i="14"/>
  <c r="CT199" i="14"/>
  <c r="CZ199" i="14"/>
  <c r="DA199" i="14"/>
  <c r="DB199" i="14"/>
  <c r="DC199" i="14"/>
  <c r="W200" i="14"/>
  <c r="AB200" i="14"/>
  <c r="AG200" i="14"/>
  <c r="AL200" i="14"/>
  <c r="AR200" i="14"/>
  <c r="AX200" i="14"/>
  <c r="AY200" i="14"/>
  <c r="AZ200" i="14"/>
  <c r="BA200" i="14"/>
  <c r="BB200" i="14"/>
  <c r="BG200" i="14"/>
  <c r="BL200" i="14"/>
  <c r="CC200" i="14"/>
  <c r="CD200" i="14"/>
  <c r="CE200" i="14"/>
  <c r="CF200" i="14"/>
  <c r="CH200" i="14"/>
  <c r="CI200" i="14"/>
  <c r="CJ200" i="14"/>
  <c r="CK200" i="14"/>
  <c r="CO200" i="14"/>
  <c r="CT200" i="14"/>
  <c r="CZ200" i="14"/>
  <c r="DA200" i="14"/>
  <c r="DB200" i="14"/>
  <c r="DC200" i="14"/>
  <c r="W201" i="14"/>
  <c r="AB201" i="14"/>
  <c r="AG201" i="14"/>
  <c r="AL201" i="14"/>
  <c r="AR201" i="14"/>
  <c r="AX201" i="14"/>
  <c r="AY201" i="14"/>
  <c r="AZ201" i="14"/>
  <c r="BA201" i="14"/>
  <c r="BB201" i="14"/>
  <c r="BG201" i="14"/>
  <c r="BL201" i="14"/>
  <c r="CC201" i="14"/>
  <c r="CD201" i="14"/>
  <c r="CE201" i="14"/>
  <c r="CF201" i="14"/>
  <c r="CH201" i="14"/>
  <c r="CI201" i="14"/>
  <c r="CJ201" i="14"/>
  <c r="CK201" i="14"/>
  <c r="CO201" i="14"/>
  <c r="CT201" i="14"/>
  <c r="DJ201" i="14" s="1"/>
  <c r="CZ201" i="14"/>
  <c r="DA201" i="14"/>
  <c r="DB201" i="14"/>
  <c r="DC201" i="14"/>
  <c r="W202" i="14"/>
  <c r="AB202" i="14"/>
  <c r="AG202" i="14"/>
  <c r="AL202" i="14"/>
  <c r="AR202" i="14"/>
  <c r="AX202" i="14"/>
  <c r="AY202" i="14"/>
  <c r="AZ202" i="14"/>
  <c r="BA202" i="14"/>
  <c r="BB202" i="14"/>
  <c r="BG202" i="14"/>
  <c r="BL202" i="14"/>
  <c r="P202" i="14" s="1"/>
  <c r="CC202" i="14"/>
  <c r="CD202" i="14"/>
  <c r="CE202" i="14"/>
  <c r="CF202" i="14"/>
  <c r="CH202" i="14"/>
  <c r="CI202" i="14"/>
  <c r="CJ202" i="14"/>
  <c r="CK202" i="14"/>
  <c r="CO202" i="14"/>
  <c r="CT202" i="14"/>
  <c r="CZ202" i="14"/>
  <c r="DA202" i="14"/>
  <c r="DB202" i="14"/>
  <c r="DC202" i="14"/>
  <c r="V203" i="14"/>
  <c r="X203" i="14"/>
  <c r="Y203" i="14"/>
  <c r="AA203" i="14"/>
  <c r="AC203" i="14"/>
  <c r="AD203" i="14"/>
  <c r="AE203" i="14"/>
  <c r="AF203" i="14"/>
  <c r="AH203" i="14"/>
  <c r="AI203" i="14"/>
  <c r="AJ203" i="14"/>
  <c r="AK203" i="14"/>
  <c r="AM203" i="14"/>
  <c r="AN203" i="14"/>
  <c r="AO203" i="14"/>
  <c r="AP203" i="14"/>
  <c r="AS203" i="14"/>
  <c r="AU203" i="14"/>
  <c r="AV203" i="14"/>
  <c r="BC203" i="14"/>
  <c r="BE203" i="14"/>
  <c r="BF203" i="14"/>
  <c r="BH203" i="14"/>
  <c r="BI203" i="14"/>
  <c r="BJ203" i="14"/>
  <c r="BK203" i="14"/>
  <c r="BM203" i="14"/>
  <c r="BP203" i="14"/>
  <c r="BZ203" i="14"/>
  <c r="CP203" i="14"/>
  <c r="CQ203" i="14"/>
  <c r="CR203" i="14"/>
  <c r="CS203" i="14"/>
  <c r="CU203" i="14"/>
  <c r="CV203" i="14"/>
  <c r="CW203" i="14"/>
  <c r="CX203" i="14"/>
  <c r="DD203" i="14"/>
  <c r="DE203" i="14"/>
  <c r="DF203" i="14"/>
  <c r="W204" i="14"/>
  <c r="AB204" i="14"/>
  <c r="AG204" i="14"/>
  <c r="AL204" i="14"/>
  <c r="AR204" i="14"/>
  <c r="AX204" i="14"/>
  <c r="AY204" i="14"/>
  <c r="AZ204" i="14"/>
  <c r="BA204" i="14"/>
  <c r="BB204" i="14"/>
  <c r="CM204" i="14" s="1"/>
  <c r="BG204" i="14"/>
  <c r="BL204" i="14"/>
  <c r="CC204" i="14"/>
  <c r="CD204" i="14"/>
  <c r="CE204" i="14"/>
  <c r="CF204" i="14"/>
  <c r="CH204" i="14"/>
  <c r="CI204" i="14"/>
  <c r="CJ204" i="14"/>
  <c r="CK204" i="14"/>
  <c r="CO204" i="14"/>
  <c r="CT204" i="14"/>
  <c r="CZ204" i="14"/>
  <c r="DA204" i="14"/>
  <c r="DB204" i="14"/>
  <c r="DC204" i="14"/>
  <c r="W205" i="14"/>
  <c r="AB205" i="14"/>
  <c r="AG205" i="14"/>
  <c r="AL205" i="14"/>
  <c r="AR205" i="14"/>
  <c r="AX205" i="14"/>
  <c r="AW205" i="14" s="1"/>
  <c r="AY205" i="14"/>
  <c r="AZ205" i="14"/>
  <c r="BA205" i="14"/>
  <c r="BA203" i="14" s="1"/>
  <c r="BB205" i="14"/>
  <c r="BG205" i="14"/>
  <c r="BL205" i="14"/>
  <c r="CC205" i="14"/>
  <c r="CD205" i="14"/>
  <c r="CE205" i="14"/>
  <c r="CF205" i="14"/>
  <c r="CH205" i="14"/>
  <c r="CI205" i="14"/>
  <c r="CJ205" i="14"/>
  <c r="CK205" i="14"/>
  <c r="CO205" i="14"/>
  <c r="CT205" i="14"/>
  <c r="CZ205" i="14"/>
  <c r="DA205" i="14"/>
  <c r="DB205" i="14"/>
  <c r="DC205" i="14"/>
  <c r="W206" i="14"/>
  <c r="AB206" i="14"/>
  <c r="AG206" i="14"/>
  <c r="AL206" i="14"/>
  <c r="AR206" i="14"/>
  <c r="AX206" i="14"/>
  <c r="AY206" i="14"/>
  <c r="AZ206" i="14"/>
  <c r="BA206" i="14"/>
  <c r="BB206" i="14"/>
  <c r="BG206" i="14"/>
  <c r="BL206" i="14"/>
  <c r="CC206" i="14"/>
  <c r="CD206" i="14"/>
  <c r="CE206" i="14"/>
  <c r="CF206" i="14"/>
  <c r="CH206" i="14"/>
  <c r="CI206" i="14"/>
  <c r="CJ206" i="14"/>
  <c r="CK206" i="14"/>
  <c r="CO206" i="14"/>
  <c r="CT206" i="14"/>
  <c r="CZ206" i="14"/>
  <c r="DA206" i="14"/>
  <c r="DB206" i="14"/>
  <c r="DC206" i="14"/>
  <c r="W207" i="14"/>
  <c r="AB207" i="14"/>
  <c r="AG207" i="14"/>
  <c r="AL207" i="14"/>
  <c r="AR207" i="14"/>
  <c r="AX207" i="14"/>
  <c r="AY207" i="14"/>
  <c r="AZ207" i="14"/>
  <c r="BA207" i="14"/>
  <c r="BB207" i="14"/>
  <c r="BG207" i="14"/>
  <c r="CC207" i="14"/>
  <c r="CE207" i="14"/>
  <c r="CF207" i="14"/>
  <c r="CH207" i="14"/>
  <c r="CJ207" i="14"/>
  <c r="CK207" i="14"/>
  <c r="CO207" i="14"/>
  <c r="CT207" i="14"/>
  <c r="CZ207" i="14"/>
  <c r="DA207" i="14"/>
  <c r="DB207" i="14"/>
  <c r="DC207" i="14"/>
  <c r="W208" i="14"/>
  <c r="AB208" i="14"/>
  <c r="AG208" i="14"/>
  <c r="AL208" i="14"/>
  <c r="AR208" i="14"/>
  <c r="AX208" i="14"/>
  <c r="AY208" i="14"/>
  <c r="AZ208" i="14"/>
  <c r="BA208" i="14"/>
  <c r="BB208" i="14"/>
  <c r="BG208" i="14"/>
  <c r="BL208" i="14"/>
  <c r="CC208" i="14"/>
  <c r="CD208" i="14"/>
  <c r="CE208" i="14"/>
  <c r="CF208" i="14"/>
  <c r="CH208" i="14"/>
  <c r="CI208" i="14"/>
  <c r="CJ208" i="14"/>
  <c r="CK208" i="14"/>
  <c r="CO208" i="14"/>
  <c r="CT208" i="14"/>
  <c r="DJ208" i="14" s="1"/>
  <c r="CZ208" i="14"/>
  <c r="DA208" i="14"/>
  <c r="DB208" i="14"/>
  <c r="DC208" i="14"/>
  <c r="W209" i="14"/>
  <c r="AB209" i="14"/>
  <c r="AG209" i="14"/>
  <c r="AL209" i="14"/>
  <c r="AR209" i="14"/>
  <c r="AX209" i="14"/>
  <c r="AY209" i="14"/>
  <c r="AZ209" i="14"/>
  <c r="BA209" i="14"/>
  <c r="BD209" i="14"/>
  <c r="BB209" i="14" s="1"/>
  <c r="BG209" i="14"/>
  <c r="BL209" i="14"/>
  <c r="CC209" i="14"/>
  <c r="CD209" i="14"/>
  <c r="CE209" i="14"/>
  <c r="CF209" i="14"/>
  <c r="CH209" i="14"/>
  <c r="CI209" i="14"/>
  <c r="CJ209" i="14"/>
  <c r="CK209" i="14"/>
  <c r="CO209" i="14"/>
  <c r="CT209" i="14"/>
  <c r="CZ209" i="14"/>
  <c r="DA209" i="14"/>
  <c r="DB209" i="14"/>
  <c r="DC209" i="14"/>
  <c r="W210" i="14"/>
  <c r="AB210" i="14"/>
  <c r="AG210" i="14"/>
  <c r="AL210" i="14"/>
  <c r="AR210" i="14"/>
  <c r="AX210" i="14"/>
  <c r="AY210" i="14"/>
  <c r="AZ210" i="14"/>
  <c r="BA210" i="14"/>
  <c r="BD210" i="14"/>
  <c r="BG210" i="14"/>
  <c r="BL210" i="14"/>
  <c r="CC210" i="14"/>
  <c r="CD210" i="14"/>
  <c r="CE210" i="14"/>
  <c r="CF210" i="14"/>
  <c r="CH210" i="14"/>
  <c r="CI210" i="14"/>
  <c r="CJ210" i="14"/>
  <c r="CK210" i="14"/>
  <c r="CO210" i="14"/>
  <c r="CT210" i="14"/>
  <c r="DJ210" i="14" s="1"/>
  <c r="CZ210" i="14"/>
  <c r="DA210" i="14"/>
  <c r="DB210" i="14"/>
  <c r="DC210" i="14"/>
  <c r="W211" i="14"/>
  <c r="AB211" i="14"/>
  <c r="AG211" i="14"/>
  <c r="AL211" i="14"/>
  <c r="AR211" i="14"/>
  <c r="AX211" i="14"/>
  <c r="AY211" i="14"/>
  <c r="AZ211" i="14"/>
  <c r="BA211" i="14"/>
  <c r="BD211" i="14"/>
  <c r="BB211" i="14" s="1"/>
  <c r="BG211" i="14"/>
  <c r="BL211" i="14"/>
  <c r="CC211" i="14"/>
  <c r="CD211" i="14"/>
  <c r="CE211" i="14"/>
  <c r="CF211" i="14"/>
  <c r="CH211" i="14"/>
  <c r="CI211" i="14"/>
  <c r="CJ211" i="14"/>
  <c r="CK211" i="14"/>
  <c r="CO211" i="14"/>
  <c r="CT211" i="14"/>
  <c r="CZ211" i="14"/>
  <c r="DA211" i="14"/>
  <c r="DB211" i="14"/>
  <c r="DC211" i="14"/>
  <c r="W212" i="14"/>
  <c r="AB212" i="14"/>
  <c r="AG212" i="14"/>
  <c r="AL212" i="14"/>
  <c r="AT203" i="14"/>
  <c r="AX212" i="14"/>
  <c r="AZ212" i="14"/>
  <c r="BA212" i="14"/>
  <c r="BB212" i="14"/>
  <c r="BG212" i="14"/>
  <c r="BL212" i="14"/>
  <c r="CC212" i="14"/>
  <c r="CD212" i="14"/>
  <c r="CE212" i="14"/>
  <c r="CF212" i="14"/>
  <c r="CH212" i="14"/>
  <c r="CI212" i="14"/>
  <c r="CJ212" i="14"/>
  <c r="CK212" i="14"/>
  <c r="CO212" i="14"/>
  <c r="CT212" i="14"/>
  <c r="CZ212" i="14"/>
  <c r="DA212" i="14"/>
  <c r="DB212" i="14"/>
  <c r="DC212" i="14"/>
  <c r="W213" i="14"/>
  <c r="AB213" i="14"/>
  <c r="AG213" i="14"/>
  <c r="AL213" i="14"/>
  <c r="AR213" i="14"/>
  <c r="AX213" i="14"/>
  <c r="AY213" i="14"/>
  <c r="AZ213" i="14"/>
  <c r="BA213" i="14"/>
  <c r="BD213" i="14"/>
  <c r="BB213" i="14" s="1"/>
  <c r="BG213" i="14"/>
  <c r="BL213" i="14"/>
  <c r="CC213" i="14"/>
  <c r="CD213" i="14"/>
  <c r="CE213" i="14"/>
  <c r="CF213" i="14"/>
  <c r="CH213" i="14"/>
  <c r="CI213" i="14"/>
  <c r="CJ213" i="14"/>
  <c r="CK213" i="14"/>
  <c r="CO213" i="14"/>
  <c r="CT213" i="14"/>
  <c r="CZ213" i="14"/>
  <c r="DA213" i="14"/>
  <c r="DB213" i="14"/>
  <c r="DC213" i="14"/>
  <c r="W214" i="14"/>
  <c r="AB214" i="14"/>
  <c r="AG214" i="14"/>
  <c r="AL214" i="14"/>
  <c r="AR214" i="14"/>
  <c r="AX214" i="14"/>
  <c r="AY214" i="14"/>
  <c r="AZ214" i="14"/>
  <c r="BA214" i="14"/>
  <c r="BB214" i="14"/>
  <c r="BG214" i="14"/>
  <c r="BL214" i="14"/>
  <c r="CC214" i="14"/>
  <c r="CD214" i="14"/>
  <c r="CE214" i="14"/>
  <c r="CF214" i="14"/>
  <c r="CH214" i="14"/>
  <c r="CI214" i="14"/>
  <c r="CJ214" i="14"/>
  <c r="CK214" i="14"/>
  <c r="CO214" i="14"/>
  <c r="CT214" i="14"/>
  <c r="CZ214" i="14"/>
  <c r="DA214" i="14"/>
  <c r="DB214" i="14"/>
  <c r="DC214" i="14"/>
  <c r="W215" i="14"/>
  <c r="AB215" i="14"/>
  <c r="AG215" i="14"/>
  <c r="AL215" i="14"/>
  <c r="AR215" i="14"/>
  <c r="AX215" i="14"/>
  <c r="AY215" i="14"/>
  <c r="AZ215" i="14"/>
  <c r="BA215" i="14"/>
  <c r="BD215" i="14"/>
  <c r="BB215" i="14" s="1"/>
  <c r="BG215" i="14"/>
  <c r="CC215" i="14"/>
  <c r="CD215" i="14"/>
  <c r="CF215" i="14"/>
  <c r="CH215" i="14"/>
  <c r="CI215" i="14"/>
  <c r="CK215" i="14"/>
  <c r="CO215" i="14"/>
  <c r="CT215" i="14"/>
  <c r="CZ215" i="14"/>
  <c r="DA215" i="14"/>
  <c r="DB215" i="14"/>
  <c r="DC215" i="14"/>
  <c r="W216" i="14"/>
  <c r="AB216" i="14"/>
  <c r="AG216" i="14"/>
  <c r="AL216" i="14"/>
  <c r="AR216" i="14"/>
  <c r="AX216" i="14"/>
  <c r="AY216" i="14"/>
  <c r="AZ216" i="14"/>
  <c r="BA216" i="14"/>
  <c r="BD216" i="14"/>
  <c r="BB216" i="14" s="1"/>
  <c r="BG216" i="14"/>
  <c r="BL216" i="14"/>
  <c r="CC216" i="14"/>
  <c r="CE216" i="14"/>
  <c r="CF216" i="14"/>
  <c r="CH216" i="14"/>
  <c r="CI216" i="14"/>
  <c r="CJ216" i="14"/>
  <c r="CK216" i="14"/>
  <c r="CO216" i="14"/>
  <c r="CT216" i="14"/>
  <c r="CZ216" i="14"/>
  <c r="DA216" i="14"/>
  <c r="DB216" i="14"/>
  <c r="DC216" i="14"/>
  <c r="W217" i="14"/>
  <c r="AB217" i="14"/>
  <c r="AG217" i="14"/>
  <c r="AL217" i="14"/>
  <c r="AR217" i="14"/>
  <c r="AX217" i="14"/>
  <c r="AY217" i="14"/>
  <c r="AZ217" i="14"/>
  <c r="BA217" i="14"/>
  <c r="BD217" i="14"/>
  <c r="BB217" i="14" s="1"/>
  <c r="BG217" i="14"/>
  <c r="BL217" i="14"/>
  <c r="P217" i="14" s="1"/>
  <c r="CC217" i="14"/>
  <c r="CD217" i="14"/>
  <c r="CE217" i="14"/>
  <c r="CF217" i="14"/>
  <c r="CH217" i="14"/>
  <c r="CI217" i="14"/>
  <c r="CJ217" i="14"/>
  <c r="CK217" i="14"/>
  <c r="CO217" i="14"/>
  <c r="CT217" i="14"/>
  <c r="CZ217" i="14"/>
  <c r="DA217" i="14"/>
  <c r="DB217" i="14"/>
  <c r="DC217" i="14"/>
  <c r="W218" i="14"/>
  <c r="AB218" i="14"/>
  <c r="AG218" i="14"/>
  <c r="AL218" i="14"/>
  <c r="AR218" i="14"/>
  <c r="AX218" i="14"/>
  <c r="AY218" i="14"/>
  <c r="AZ218" i="14"/>
  <c r="BA218" i="14"/>
  <c r="BD218" i="14"/>
  <c r="BB218" i="14" s="1"/>
  <c r="BG218" i="14"/>
  <c r="BL218" i="14"/>
  <c r="CC218" i="14"/>
  <c r="CD218" i="14"/>
  <c r="CE218" i="14"/>
  <c r="CF218" i="14"/>
  <c r="CH218" i="14"/>
  <c r="CI218" i="14"/>
  <c r="CJ218" i="14"/>
  <c r="CK218" i="14"/>
  <c r="CO218" i="14"/>
  <c r="CT218" i="14"/>
  <c r="CZ218" i="14"/>
  <c r="DA218" i="14"/>
  <c r="DB218" i="14"/>
  <c r="DC218" i="14"/>
  <c r="W219" i="14"/>
  <c r="AB219" i="14"/>
  <c r="AG219" i="14"/>
  <c r="AL219" i="14"/>
  <c r="AR219" i="14"/>
  <c r="AX219" i="14"/>
  <c r="AY219" i="14"/>
  <c r="AZ219" i="14"/>
  <c r="BA219" i="14"/>
  <c r="BD219" i="14"/>
  <c r="BB219" i="14" s="1"/>
  <c r="BG219" i="14"/>
  <c r="BL219" i="14"/>
  <c r="CC219" i="14"/>
  <c r="CE219" i="14"/>
  <c r="CF219" i="14"/>
  <c r="CH219" i="14"/>
  <c r="CJ219" i="14"/>
  <c r="CK219" i="14"/>
  <c r="CO219" i="14"/>
  <c r="CT219" i="14"/>
  <c r="CZ219" i="14"/>
  <c r="DA219" i="14"/>
  <c r="DB219" i="14"/>
  <c r="DC219" i="14"/>
  <c r="V220" i="14"/>
  <c r="X220" i="14"/>
  <c r="Y220" i="14"/>
  <c r="AA220" i="14"/>
  <c r="AC220" i="14"/>
  <c r="AD220" i="14"/>
  <c r="AE220" i="14"/>
  <c r="AF220" i="14"/>
  <c r="AH220" i="14"/>
  <c r="AI220" i="14"/>
  <c r="AJ220" i="14"/>
  <c r="AK220" i="14"/>
  <c r="AM220" i="14"/>
  <c r="AN220" i="14"/>
  <c r="AO220" i="14"/>
  <c r="AP220" i="14"/>
  <c r="AS220" i="14"/>
  <c r="AU220" i="14"/>
  <c r="AV220" i="14"/>
  <c r="BC220" i="14"/>
  <c r="BE220" i="14"/>
  <c r="BF220" i="14"/>
  <c r="BH220" i="14"/>
  <c r="BI220" i="14"/>
  <c r="BJ220" i="14"/>
  <c r="BK220" i="14"/>
  <c r="BM220" i="14"/>
  <c r="BO220" i="14"/>
  <c r="BP220" i="14"/>
  <c r="BZ220" i="14"/>
  <c r="CP220" i="14"/>
  <c r="CQ220" i="14"/>
  <c r="CR220" i="14"/>
  <c r="CS220" i="14"/>
  <c r="CU220" i="14"/>
  <c r="CV220" i="14"/>
  <c r="CW220" i="14"/>
  <c r="CX220" i="14"/>
  <c r="DD220" i="14"/>
  <c r="DE220" i="14"/>
  <c r="DF220" i="14"/>
  <c r="W221" i="14"/>
  <c r="AB221" i="14"/>
  <c r="AG221" i="14"/>
  <c r="AL221" i="14"/>
  <c r="AX221" i="14"/>
  <c r="AZ221" i="14"/>
  <c r="BA221" i="14"/>
  <c r="BB221" i="14"/>
  <c r="CM221" i="14" s="1"/>
  <c r="CN221" i="14" s="1"/>
  <c r="BG221" i="14"/>
  <c r="BL221" i="14"/>
  <c r="CC221" i="14"/>
  <c r="CD221" i="14"/>
  <c r="CE221" i="14"/>
  <c r="CF221" i="14"/>
  <c r="CH221" i="14"/>
  <c r="CI221" i="14"/>
  <c r="CJ221" i="14"/>
  <c r="CK221" i="14"/>
  <c r="CO221" i="14"/>
  <c r="CT221" i="14"/>
  <c r="CY221" i="14"/>
  <c r="W222" i="14"/>
  <c r="AB222" i="14"/>
  <c r="AG222" i="14"/>
  <c r="AL222" i="14"/>
  <c r="AR222" i="14"/>
  <c r="AX222" i="14"/>
  <c r="AY222" i="14"/>
  <c r="AZ222" i="14"/>
  <c r="BA222" i="14"/>
  <c r="BB222" i="14"/>
  <c r="BG222" i="14"/>
  <c r="BL222" i="14"/>
  <c r="CC222" i="14"/>
  <c r="CD222" i="14"/>
  <c r="CE222" i="14"/>
  <c r="CF222" i="14"/>
  <c r="CH222" i="14"/>
  <c r="CI222" i="14"/>
  <c r="CJ222" i="14"/>
  <c r="CK222" i="14"/>
  <c r="CO222" i="14"/>
  <c r="CT222" i="14"/>
  <c r="CY222" i="14"/>
  <c r="W223" i="14"/>
  <c r="AB223" i="14"/>
  <c r="AG223" i="14"/>
  <c r="AL223" i="14"/>
  <c r="AR223" i="14"/>
  <c r="AX223" i="14"/>
  <c r="AY223" i="14"/>
  <c r="AZ223" i="14"/>
  <c r="BA223" i="14"/>
  <c r="BD223" i="14"/>
  <c r="BG223" i="14"/>
  <c r="CC223" i="14"/>
  <c r="CD223" i="14"/>
  <c r="CE223" i="14"/>
  <c r="CF223" i="14"/>
  <c r="CH223" i="14"/>
  <c r="CJ223" i="14"/>
  <c r="CK223" i="14"/>
  <c r="CO223" i="14"/>
  <c r="CT223" i="14"/>
  <c r="DJ223" i="14" s="1"/>
  <c r="CZ223" i="14"/>
  <c r="DA223" i="14"/>
  <c r="DB223" i="14"/>
  <c r="DC223" i="14"/>
  <c r="W224" i="14"/>
  <c r="AB224" i="14"/>
  <c r="AG224" i="14"/>
  <c r="AL224" i="14"/>
  <c r="AR224" i="14"/>
  <c r="AX224" i="14"/>
  <c r="AY224" i="14"/>
  <c r="AZ224" i="14"/>
  <c r="BA224" i="14"/>
  <c r="BB224" i="14"/>
  <c r="BG224" i="14"/>
  <c r="BL224" i="14"/>
  <c r="CC224" i="14"/>
  <c r="CD224" i="14"/>
  <c r="CE224" i="14"/>
  <c r="CF224" i="14"/>
  <c r="CH224" i="14"/>
  <c r="CI224" i="14"/>
  <c r="CJ224" i="14"/>
  <c r="CK224" i="14"/>
  <c r="CO224" i="14"/>
  <c r="CT224" i="14"/>
  <c r="CZ224" i="14"/>
  <c r="DA224" i="14"/>
  <c r="DB224" i="14"/>
  <c r="DC224" i="14"/>
  <c r="W225" i="14"/>
  <c r="AB225" i="14"/>
  <c r="AG225" i="14"/>
  <c r="AL225" i="14"/>
  <c r="AR225" i="14"/>
  <c r="AX225" i="14"/>
  <c r="AY225" i="14"/>
  <c r="AZ225" i="14"/>
  <c r="BA225" i="14"/>
  <c r="BB225" i="14"/>
  <c r="BG225" i="14"/>
  <c r="BL225" i="14"/>
  <c r="CC225" i="14"/>
  <c r="CD225" i="14"/>
  <c r="CE225" i="14"/>
  <c r="CF225" i="14"/>
  <c r="CH225" i="14"/>
  <c r="CI225" i="14"/>
  <c r="CJ225" i="14"/>
  <c r="CK225" i="14"/>
  <c r="CO225" i="14"/>
  <c r="CT225" i="14"/>
  <c r="DJ225" i="14" s="1"/>
  <c r="CZ225" i="14"/>
  <c r="DA225" i="14"/>
  <c r="DB225" i="14"/>
  <c r="DC225" i="14"/>
  <c r="W226" i="14"/>
  <c r="AB226" i="14"/>
  <c r="AG226" i="14"/>
  <c r="AL226" i="14"/>
  <c r="AR226" i="14"/>
  <c r="AX226" i="14"/>
  <c r="AY226" i="14"/>
  <c r="AZ226" i="14"/>
  <c r="BA226" i="14"/>
  <c r="BB226" i="14"/>
  <c r="BG226" i="14"/>
  <c r="BL226" i="14"/>
  <c r="CC226" i="14"/>
  <c r="CD226" i="14"/>
  <c r="CE226" i="14"/>
  <c r="CF226" i="14"/>
  <c r="CH226" i="14"/>
  <c r="CI226" i="14"/>
  <c r="CJ226" i="14"/>
  <c r="CK226" i="14"/>
  <c r="CO226" i="14"/>
  <c r="CT226" i="14"/>
  <c r="DJ226" i="14" s="1"/>
  <c r="CZ226" i="14"/>
  <c r="DA226" i="14"/>
  <c r="DB226" i="14"/>
  <c r="DC226" i="14"/>
  <c r="W227" i="14"/>
  <c r="AB227" i="14"/>
  <c r="AG227" i="14"/>
  <c r="AL227" i="14"/>
  <c r="AR227" i="14"/>
  <c r="AX227" i="14"/>
  <c r="AY227" i="14"/>
  <c r="AZ227" i="14"/>
  <c r="BA227" i="14"/>
  <c r="BD227" i="14"/>
  <c r="BB227" i="14" s="1"/>
  <c r="CM227" i="14" s="1"/>
  <c r="CN227" i="14" s="1"/>
  <c r="BG227" i="14"/>
  <c r="BL227" i="14"/>
  <c r="CC227" i="14"/>
  <c r="CD227" i="14"/>
  <c r="CE227" i="14"/>
  <c r="CF227" i="14"/>
  <c r="CH227" i="14"/>
  <c r="CI227" i="14"/>
  <c r="CJ227" i="14"/>
  <c r="CK227" i="14"/>
  <c r="CO227" i="14"/>
  <c r="CT227" i="14"/>
  <c r="DJ227" i="14" s="1"/>
  <c r="CZ227" i="14"/>
  <c r="DA227" i="14"/>
  <c r="DB227" i="14"/>
  <c r="DC227" i="14"/>
  <c r="W228" i="14"/>
  <c r="AB228" i="14"/>
  <c r="AG228" i="14"/>
  <c r="AL228" i="14"/>
  <c r="AX228" i="14"/>
  <c r="AZ228" i="14"/>
  <c r="BA228" i="14"/>
  <c r="BB228" i="14"/>
  <c r="BG228" i="14"/>
  <c r="BL228" i="14"/>
  <c r="CC228" i="14"/>
  <c r="CD228" i="14"/>
  <c r="CE228" i="14"/>
  <c r="CF228" i="14"/>
  <c r="CH228" i="14"/>
  <c r="CI228" i="14"/>
  <c r="CJ228" i="14"/>
  <c r="CK228" i="14"/>
  <c r="CO228" i="14"/>
  <c r="CT228" i="14"/>
  <c r="DJ228" i="14" s="1"/>
  <c r="CZ228" i="14"/>
  <c r="DA228" i="14"/>
  <c r="DB228" i="14"/>
  <c r="DC228" i="14"/>
  <c r="W229" i="14"/>
  <c r="AB229" i="14"/>
  <c r="AG229" i="14"/>
  <c r="AL229" i="14"/>
  <c r="AR229" i="14"/>
  <c r="AX229" i="14"/>
  <c r="AY229" i="14"/>
  <c r="AZ229" i="14"/>
  <c r="BA229" i="14"/>
  <c r="BD229" i="14"/>
  <c r="BB229" i="14" s="1"/>
  <c r="BG229" i="14"/>
  <c r="CI229" i="14"/>
  <c r="CC229" i="14"/>
  <c r="CE229" i="14"/>
  <c r="CF229" i="14"/>
  <c r="CH229" i="14"/>
  <c r="CJ229" i="14"/>
  <c r="CK229" i="14"/>
  <c r="CO229" i="14"/>
  <c r="CT229" i="14"/>
  <c r="CZ229" i="14"/>
  <c r="DA229" i="14"/>
  <c r="DB229" i="14"/>
  <c r="DC229" i="14"/>
  <c r="V230" i="14"/>
  <c r="X230" i="14"/>
  <c r="Y230" i="14"/>
  <c r="AA230" i="14"/>
  <c r="AC230" i="14"/>
  <c r="AD230" i="14"/>
  <c r="AE230" i="14"/>
  <c r="AF230" i="14"/>
  <c r="AH230" i="14"/>
  <c r="AI230" i="14"/>
  <c r="AJ230" i="14"/>
  <c r="AK230" i="14"/>
  <c r="AM230" i="14"/>
  <c r="AN230" i="14"/>
  <c r="AO230" i="14"/>
  <c r="AP230" i="14"/>
  <c r="AS230" i="14"/>
  <c r="AU230" i="14"/>
  <c r="AV230" i="14"/>
  <c r="BE230" i="14"/>
  <c r="BF230" i="14"/>
  <c r="BH230" i="14"/>
  <c r="BI230" i="14"/>
  <c r="BJ230" i="14"/>
  <c r="BK230" i="14"/>
  <c r="BM230" i="14"/>
  <c r="BO230" i="14"/>
  <c r="BP230" i="14"/>
  <c r="BZ230" i="14"/>
  <c r="CP230" i="14"/>
  <c r="CQ230" i="14"/>
  <c r="CR230" i="14"/>
  <c r="CS230" i="14"/>
  <c r="CU230" i="14"/>
  <c r="CV230" i="14"/>
  <c r="CW230" i="14"/>
  <c r="CX230" i="14"/>
  <c r="DD230" i="14"/>
  <c r="DE230" i="14"/>
  <c r="W231" i="14"/>
  <c r="AB231" i="14"/>
  <c r="AG231" i="14"/>
  <c r="AL231" i="14"/>
  <c r="AR231" i="14"/>
  <c r="AX231" i="14"/>
  <c r="AY231" i="14"/>
  <c r="AZ231" i="14"/>
  <c r="BA231" i="14"/>
  <c r="BD231" i="14"/>
  <c r="BG231" i="14"/>
  <c r="BL231" i="14"/>
  <c r="CC231" i="14"/>
  <c r="CD231" i="14"/>
  <c r="CE231" i="14"/>
  <c r="CF231" i="14"/>
  <c r="CH231" i="14"/>
  <c r="CI231" i="14"/>
  <c r="CJ231" i="14"/>
  <c r="CK231" i="14"/>
  <c r="CO231" i="14"/>
  <c r="CT231" i="14"/>
  <c r="CZ231" i="14"/>
  <c r="DA231" i="14"/>
  <c r="DB231" i="14"/>
  <c r="DC231" i="14"/>
  <c r="DF231" i="14"/>
  <c r="DF230" i="14" s="1"/>
  <c r="W232" i="14"/>
  <c r="AB232" i="14"/>
  <c r="AG232" i="14"/>
  <c r="AL232" i="14"/>
  <c r="AR232" i="14"/>
  <c r="AX232" i="14"/>
  <c r="AY232" i="14"/>
  <c r="AZ232" i="14"/>
  <c r="BA232" i="14"/>
  <c r="BB232" i="14"/>
  <c r="BG232" i="14"/>
  <c r="BL232" i="14"/>
  <c r="CC232" i="14"/>
  <c r="CD232" i="14"/>
  <c r="CE232" i="14"/>
  <c r="CF232" i="14"/>
  <c r="CH232" i="14"/>
  <c r="CI232" i="14"/>
  <c r="CJ232" i="14"/>
  <c r="CK232" i="14"/>
  <c r="CO232" i="14"/>
  <c r="CT232" i="14"/>
  <c r="DJ232" i="14" s="1"/>
  <c r="CZ232" i="14"/>
  <c r="DA232" i="14"/>
  <c r="DB232" i="14"/>
  <c r="DC232" i="14"/>
  <c r="W233" i="14"/>
  <c r="AB233" i="14"/>
  <c r="AG233" i="14"/>
  <c r="AL233" i="14"/>
  <c r="AR233" i="14"/>
  <c r="AX233" i="14"/>
  <c r="AY233" i="14"/>
  <c r="AZ233" i="14"/>
  <c r="BA233" i="14"/>
  <c r="BB233" i="14"/>
  <c r="BG233" i="14"/>
  <c r="BL233" i="14"/>
  <c r="CC233" i="14"/>
  <c r="CD233" i="14"/>
  <c r="CE233" i="14"/>
  <c r="CF233" i="14"/>
  <c r="CH233" i="14"/>
  <c r="CI233" i="14"/>
  <c r="CJ233" i="14"/>
  <c r="CK233" i="14"/>
  <c r="CO233" i="14"/>
  <c r="CT233" i="14"/>
  <c r="DJ233" i="14" s="1"/>
  <c r="CZ233" i="14"/>
  <c r="DA233" i="14"/>
  <c r="DB233" i="14"/>
  <c r="DC233" i="14"/>
  <c r="W234" i="14"/>
  <c r="AB234" i="14"/>
  <c r="AG234" i="14"/>
  <c r="AL234" i="14"/>
  <c r="AR234" i="14"/>
  <c r="AX234" i="14"/>
  <c r="AY234" i="14"/>
  <c r="AZ234" i="14"/>
  <c r="BA234" i="14"/>
  <c r="BD234" i="14"/>
  <c r="BB234" i="14" s="1"/>
  <c r="BG234" i="14"/>
  <c r="BL234" i="14"/>
  <c r="CC234" i="14"/>
  <c r="CD234" i="14"/>
  <c r="CE234" i="14"/>
  <c r="CF234" i="14"/>
  <c r="CH234" i="14"/>
  <c r="CI234" i="14"/>
  <c r="CJ234" i="14"/>
  <c r="CK234" i="14"/>
  <c r="CO234" i="14"/>
  <c r="CT234" i="14"/>
  <c r="CZ234" i="14"/>
  <c r="DA234" i="14"/>
  <c r="DB234" i="14"/>
  <c r="DC234" i="14"/>
  <c r="W235" i="14"/>
  <c r="AB235" i="14"/>
  <c r="AG235" i="14"/>
  <c r="AL235" i="14"/>
  <c r="AR235" i="14"/>
  <c r="AX235" i="14"/>
  <c r="AY235" i="14"/>
  <c r="AZ235" i="14"/>
  <c r="BA235" i="14"/>
  <c r="BB235" i="14"/>
  <c r="BG235" i="14"/>
  <c r="BL235" i="14"/>
  <c r="CC235" i="14"/>
  <c r="CD235" i="14"/>
  <c r="CE235" i="14"/>
  <c r="CF235" i="14"/>
  <c r="CH235" i="14"/>
  <c r="CI235" i="14"/>
  <c r="CJ235" i="14"/>
  <c r="CK235" i="14"/>
  <c r="CO235" i="14"/>
  <c r="DI235" i="14" s="1"/>
  <c r="CT235" i="14"/>
  <c r="CZ235" i="14"/>
  <c r="DA235" i="14"/>
  <c r="DB235" i="14"/>
  <c r="DC235" i="14"/>
  <c r="W236" i="14"/>
  <c r="AB236" i="14"/>
  <c r="AG236" i="14"/>
  <c r="AL236" i="14"/>
  <c r="AR236" i="14"/>
  <c r="AX236" i="14"/>
  <c r="AY236" i="14"/>
  <c r="AZ236" i="14"/>
  <c r="BA236" i="14"/>
  <c r="BB236" i="14"/>
  <c r="BG236" i="14"/>
  <c r="BL236" i="14"/>
  <c r="CC236" i="14"/>
  <c r="CD236" i="14"/>
  <c r="CE236" i="14"/>
  <c r="CF236" i="14"/>
  <c r="CH236" i="14"/>
  <c r="CI236" i="14"/>
  <c r="CJ236" i="14"/>
  <c r="CK236" i="14"/>
  <c r="CO236" i="14"/>
  <c r="DI236" i="14" s="1"/>
  <c r="CT236" i="14"/>
  <c r="CZ236" i="14"/>
  <c r="DA236" i="14"/>
  <c r="DB236" i="14"/>
  <c r="DC236" i="14"/>
  <c r="W237" i="14"/>
  <c r="AB237" i="14"/>
  <c r="AG237" i="14"/>
  <c r="AL237" i="14"/>
  <c r="AR237" i="14"/>
  <c r="AX237" i="14"/>
  <c r="AY237" i="14"/>
  <c r="AZ237" i="14"/>
  <c r="BA237" i="14"/>
  <c r="BB237" i="14"/>
  <c r="BG237" i="14"/>
  <c r="BL237" i="14"/>
  <c r="CC237" i="14"/>
  <c r="CD237" i="14"/>
  <c r="CE237" i="14"/>
  <c r="CF237" i="14"/>
  <c r="CH237" i="14"/>
  <c r="CI237" i="14"/>
  <c r="CJ237" i="14"/>
  <c r="CK237" i="14"/>
  <c r="CO237" i="14"/>
  <c r="DI237" i="14" s="1"/>
  <c r="CT237" i="14"/>
  <c r="CZ237" i="14"/>
  <c r="DA237" i="14"/>
  <c r="DB237" i="14"/>
  <c r="DC237" i="14"/>
  <c r="W238" i="14"/>
  <c r="AB238" i="14"/>
  <c r="AG238" i="14"/>
  <c r="AL238" i="14"/>
  <c r="AR238" i="14"/>
  <c r="AX238" i="14"/>
  <c r="AY238" i="14"/>
  <c r="AZ238" i="14"/>
  <c r="BA238" i="14"/>
  <c r="BB238" i="14"/>
  <c r="BG238" i="14"/>
  <c r="BL238" i="14"/>
  <c r="CC238" i="14"/>
  <c r="CD238" i="14"/>
  <c r="CE238" i="14"/>
  <c r="CF238" i="14"/>
  <c r="CH238" i="14"/>
  <c r="CI238" i="14"/>
  <c r="CJ238" i="14"/>
  <c r="CK238" i="14"/>
  <c r="CO238" i="14"/>
  <c r="DI238" i="14" s="1"/>
  <c r="CT238" i="14"/>
  <c r="CZ238" i="14"/>
  <c r="DA238" i="14"/>
  <c r="DB238" i="14"/>
  <c r="DC238" i="14"/>
  <c r="W239" i="14"/>
  <c r="AB239" i="14"/>
  <c r="AG239" i="14"/>
  <c r="AL239" i="14"/>
  <c r="AR239" i="14"/>
  <c r="AX239" i="14"/>
  <c r="AY239" i="14"/>
  <c r="AZ239" i="14"/>
  <c r="BA239" i="14"/>
  <c r="BC239" i="14"/>
  <c r="BC230" i="14" s="1"/>
  <c r="BD239" i="14"/>
  <c r="BB239" i="14" s="1"/>
  <c r="CM239" i="14" s="1"/>
  <c r="CN239" i="14" s="1"/>
  <c r="BG239" i="14"/>
  <c r="BL239" i="14"/>
  <c r="P239" i="14" s="1"/>
  <c r="CD239" i="14"/>
  <c r="CE239" i="14"/>
  <c r="CF239" i="14"/>
  <c r="CI239" i="14"/>
  <c r="CJ239" i="14"/>
  <c r="CK239" i="14"/>
  <c r="CO239" i="14"/>
  <c r="CT239" i="14"/>
  <c r="CZ239" i="14"/>
  <c r="DA239" i="14"/>
  <c r="DB239" i="14"/>
  <c r="DC239" i="14"/>
  <c r="W240" i="14"/>
  <c r="AB240" i="14"/>
  <c r="AG240" i="14"/>
  <c r="AL240" i="14"/>
  <c r="AT230" i="14"/>
  <c r="AX240" i="14"/>
  <c r="AZ240" i="14"/>
  <c r="BA240" i="14"/>
  <c r="BD240" i="14"/>
  <c r="BB240" i="14" s="1"/>
  <c r="BG240" i="14"/>
  <c r="CC240" i="14"/>
  <c r="CD240" i="14"/>
  <c r="CE240" i="14"/>
  <c r="CF240" i="14"/>
  <c r="CH240" i="14"/>
  <c r="CJ240" i="14"/>
  <c r="CK240" i="14"/>
  <c r="CO240" i="14"/>
  <c r="CT240" i="14"/>
  <c r="DJ240" i="14" s="1"/>
  <c r="CZ240" i="14"/>
  <c r="DA240" i="14"/>
  <c r="DB240" i="14"/>
  <c r="DC240" i="14"/>
  <c r="W241" i="14"/>
  <c r="AB241" i="14"/>
  <c r="AG241" i="14"/>
  <c r="AL241" i="14"/>
  <c r="AR241" i="14"/>
  <c r="AX241" i="14"/>
  <c r="AY241" i="14"/>
  <c r="AZ241" i="14"/>
  <c r="BA241" i="14"/>
  <c r="BB241" i="14"/>
  <c r="BG241" i="14"/>
  <c r="BL241" i="14"/>
  <c r="P241" i="14" s="1"/>
  <c r="CC241" i="14"/>
  <c r="CD241" i="14"/>
  <c r="CE241" i="14"/>
  <c r="CF241" i="14"/>
  <c r="CH241" i="14"/>
  <c r="CI241" i="14"/>
  <c r="CJ241" i="14"/>
  <c r="CK241" i="14"/>
  <c r="CO241" i="14"/>
  <c r="CT241" i="14"/>
  <c r="CZ241" i="14"/>
  <c r="DA241" i="14"/>
  <c r="DB241" i="14"/>
  <c r="DC241" i="14"/>
  <c r="V242" i="14"/>
  <c r="X242" i="14"/>
  <c r="Y242" i="14"/>
  <c r="Z242" i="14"/>
  <c r="AA242" i="14"/>
  <c r="AC242" i="14"/>
  <c r="AD242" i="14"/>
  <c r="AE242" i="14"/>
  <c r="AF242" i="14"/>
  <c r="AH242" i="14"/>
  <c r="AI242" i="14"/>
  <c r="AJ242" i="14"/>
  <c r="AK242" i="14"/>
  <c r="AM242" i="14"/>
  <c r="AN242" i="14"/>
  <c r="AO242" i="14"/>
  <c r="AP242" i="14"/>
  <c r="AS242" i="14"/>
  <c r="AT242" i="14"/>
  <c r="AU242" i="14"/>
  <c r="AV242" i="14"/>
  <c r="BE242" i="14"/>
  <c r="BF242" i="14"/>
  <c r="BH242" i="14"/>
  <c r="BI242" i="14"/>
  <c r="BJ242" i="14"/>
  <c r="BK242" i="14"/>
  <c r="BM242" i="14"/>
  <c r="BP242" i="14"/>
  <c r="BZ242" i="14"/>
  <c r="CP242" i="14"/>
  <c r="CQ242" i="14"/>
  <c r="CR242" i="14"/>
  <c r="CS242" i="14"/>
  <c r="CU242" i="14"/>
  <c r="CV242" i="14"/>
  <c r="CW242" i="14"/>
  <c r="CX242" i="14"/>
  <c r="DD242" i="14"/>
  <c r="DE242" i="14"/>
  <c r="DF242" i="14"/>
  <c r="W243" i="14"/>
  <c r="AB243" i="14"/>
  <c r="AG243" i="14"/>
  <c r="AL243" i="14"/>
  <c r="AR243" i="14"/>
  <c r="AX243" i="14"/>
  <c r="AY243" i="14"/>
  <c r="AZ243" i="14"/>
  <c r="BA243" i="14"/>
  <c r="BB243" i="14"/>
  <c r="BG243" i="14"/>
  <c r="BL243" i="14"/>
  <c r="CC243" i="14"/>
  <c r="CD243" i="14"/>
  <c r="CE243" i="14"/>
  <c r="CF243" i="14"/>
  <c r="CH243" i="14"/>
  <c r="CI243" i="14"/>
  <c r="CJ243" i="14"/>
  <c r="CK243" i="14"/>
  <c r="CO243" i="14"/>
  <c r="CT243" i="14"/>
  <c r="CY243" i="14"/>
  <c r="W244" i="14"/>
  <c r="AB244" i="14"/>
  <c r="AG244" i="14"/>
  <c r="AL244" i="14"/>
  <c r="AR244" i="14"/>
  <c r="AX244" i="14"/>
  <c r="AY244" i="14"/>
  <c r="AZ244" i="14"/>
  <c r="BA244" i="14"/>
  <c r="BB244" i="14"/>
  <c r="BG244" i="14"/>
  <c r="BL244" i="14"/>
  <c r="CC244" i="14"/>
  <c r="CD244" i="14"/>
  <c r="CE244" i="14"/>
  <c r="CF244" i="14"/>
  <c r="CH244" i="14"/>
  <c r="CI244" i="14"/>
  <c r="CJ244" i="14"/>
  <c r="CK244" i="14"/>
  <c r="CO244" i="14"/>
  <c r="CT244" i="14"/>
  <c r="CY244" i="14"/>
  <c r="W245" i="14"/>
  <c r="AB245" i="14"/>
  <c r="AG245" i="14"/>
  <c r="AL245" i="14"/>
  <c r="AR245" i="14"/>
  <c r="AX245" i="14"/>
  <c r="AY245" i="14"/>
  <c r="AZ245" i="14"/>
  <c r="BA245" i="14"/>
  <c r="BD245" i="14"/>
  <c r="BB245" i="14" s="1"/>
  <c r="BG245" i="14"/>
  <c r="BL245" i="14"/>
  <c r="P245" i="14" s="1"/>
  <c r="CC245" i="14"/>
  <c r="CD245" i="14"/>
  <c r="CE245" i="14"/>
  <c r="CF245" i="14"/>
  <c r="CH245" i="14"/>
  <c r="CI245" i="14"/>
  <c r="CJ245" i="14"/>
  <c r="CK245" i="14"/>
  <c r="CO245" i="14"/>
  <c r="CT245" i="14"/>
  <c r="DJ245" i="14" s="1"/>
  <c r="CZ245" i="14"/>
  <c r="DA245" i="14"/>
  <c r="DB245" i="14"/>
  <c r="DC245" i="14"/>
  <c r="W246" i="14"/>
  <c r="AB246" i="14"/>
  <c r="AG246" i="14"/>
  <c r="AL246" i="14"/>
  <c r="AR246" i="14"/>
  <c r="AX246" i="14"/>
  <c r="AY246" i="14"/>
  <c r="AZ246" i="14"/>
  <c r="BA246" i="14"/>
  <c r="BD246" i="14"/>
  <c r="BB246" i="14" s="1"/>
  <c r="BG246" i="14"/>
  <c r="BL246" i="14"/>
  <c r="CC246" i="14"/>
  <c r="CD246" i="14"/>
  <c r="CE246" i="14"/>
  <c r="CF246" i="14"/>
  <c r="CH246" i="14"/>
  <c r="CI246" i="14"/>
  <c r="CJ246" i="14"/>
  <c r="CK246" i="14"/>
  <c r="CO246" i="14"/>
  <c r="CT246" i="14"/>
  <c r="DJ246" i="14" s="1"/>
  <c r="CZ246" i="14"/>
  <c r="DA246" i="14"/>
  <c r="DB246" i="14"/>
  <c r="DC246" i="14"/>
  <c r="W247" i="14"/>
  <c r="AB247" i="14"/>
  <c r="AG247" i="14"/>
  <c r="AL247" i="14"/>
  <c r="AR247" i="14"/>
  <c r="AX247" i="14"/>
  <c r="AY247" i="14"/>
  <c r="AZ247" i="14"/>
  <c r="BA247" i="14"/>
  <c r="BC247" i="14"/>
  <c r="BC242" i="14" s="1"/>
  <c r="BD247" i="14"/>
  <c r="BG247" i="14"/>
  <c r="BL247" i="14"/>
  <c r="CC247" i="14"/>
  <c r="CD247" i="14"/>
  <c r="CE247" i="14"/>
  <c r="CF247" i="14"/>
  <c r="CH247" i="14"/>
  <c r="CI247" i="14"/>
  <c r="CJ247" i="14"/>
  <c r="CK247" i="14"/>
  <c r="CO247" i="14"/>
  <c r="CT247" i="14"/>
  <c r="DJ247" i="14" s="1"/>
  <c r="CZ247" i="14"/>
  <c r="DA247" i="14"/>
  <c r="DB247" i="14"/>
  <c r="DC247" i="14"/>
  <c r="W248" i="14"/>
  <c r="AB248" i="14"/>
  <c r="AG248" i="14"/>
  <c r="AL248" i="14"/>
  <c r="AR248" i="14"/>
  <c r="AX248" i="14"/>
  <c r="AY248" i="14"/>
  <c r="AZ248" i="14"/>
  <c r="BA248" i="14"/>
  <c r="BB248" i="14"/>
  <c r="BG248" i="14"/>
  <c r="BL248" i="14"/>
  <c r="CC248" i="14"/>
  <c r="CD248" i="14"/>
  <c r="CE248" i="14"/>
  <c r="CF248" i="14"/>
  <c r="CH248" i="14"/>
  <c r="CI248" i="14"/>
  <c r="CJ248" i="14"/>
  <c r="CK248" i="14"/>
  <c r="CO248" i="14"/>
  <c r="CT248" i="14"/>
  <c r="DJ248" i="14" s="1"/>
  <c r="CZ248" i="14"/>
  <c r="DA248" i="14"/>
  <c r="DB248" i="14"/>
  <c r="DC248" i="14"/>
  <c r="W249" i="14"/>
  <c r="AB249" i="14"/>
  <c r="AG249" i="14"/>
  <c r="AL249" i="14"/>
  <c r="AR249" i="14"/>
  <c r="AX249" i="14"/>
  <c r="AY249" i="14"/>
  <c r="AZ249" i="14"/>
  <c r="BA249" i="14"/>
  <c r="BD249" i="14"/>
  <c r="BB249" i="14" s="1"/>
  <c r="BG249" i="14"/>
  <c r="BL249" i="14"/>
  <c r="DJ249" i="14"/>
  <c r="CC249" i="14"/>
  <c r="CD249" i="14"/>
  <c r="CE249" i="14"/>
  <c r="CF249" i="14"/>
  <c r="CH249" i="14"/>
  <c r="CI249" i="14"/>
  <c r="CJ249" i="14"/>
  <c r="CK249" i="14"/>
  <c r="CO249" i="14"/>
  <c r="CT249" i="14"/>
  <c r="CZ249" i="14"/>
  <c r="DA249" i="14"/>
  <c r="DB249" i="14"/>
  <c r="DC249" i="14"/>
  <c r="W250" i="14"/>
  <c r="AB250" i="14"/>
  <c r="AG250" i="14"/>
  <c r="AL250" i="14"/>
  <c r="AR250" i="14"/>
  <c r="AX250" i="14"/>
  <c r="AY250" i="14"/>
  <c r="AZ250" i="14"/>
  <c r="BA250" i="14"/>
  <c r="BB250" i="14"/>
  <c r="BG250" i="14"/>
  <c r="BL250" i="14"/>
  <c r="P250" i="14" s="1"/>
  <c r="CC250" i="14"/>
  <c r="CD250" i="14"/>
  <c r="CE250" i="14"/>
  <c r="CF250" i="14"/>
  <c r="CH250" i="14"/>
  <c r="CI250" i="14"/>
  <c r="CJ250" i="14"/>
  <c r="CK250" i="14"/>
  <c r="CO250" i="14"/>
  <c r="CT250" i="14"/>
  <c r="DJ250" i="14" s="1"/>
  <c r="CZ250" i="14"/>
  <c r="DA250" i="14"/>
  <c r="DB250" i="14"/>
  <c r="DC250" i="14"/>
  <c r="W251" i="14"/>
  <c r="AB251" i="14"/>
  <c r="AG251" i="14"/>
  <c r="AL251" i="14"/>
  <c r="AR251" i="14"/>
  <c r="AX251" i="14"/>
  <c r="AY251" i="14"/>
  <c r="AZ251" i="14"/>
  <c r="BA251" i="14"/>
  <c r="BB251" i="14"/>
  <c r="BG251" i="14"/>
  <c r="BL251" i="14"/>
  <c r="CC251" i="14"/>
  <c r="CD251" i="14"/>
  <c r="CE251" i="14"/>
  <c r="CF251" i="14"/>
  <c r="CH251" i="14"/>
  <c r="CI251" i="14"/>
  <c r="CJ251" i="14"/>
  <c r="CK251" i="14"/>
  <c r="CO251" i="14"/>
  <c r="CT251" i="14"/>
  <c r="DJ251" i="14" s="1"/>
  <c r="CZ251" i="14"/>
  <c r="DA251" i="14"/>
  <c r="DB251" i="14"/>
  <c r="DC251" i="14"/>
  <c r="W252" i="14"/>
  <c r="AB252" i="14"/>
  <c r="AG252" i="14"/>
  <c r="AL252" i="14"/>
  <c r="AR252" i="14"/>
  <c r="AX252" i="14"/>
  <c r="AY252" i="14"/>
  <c r="AZ252" i="14"/>
  <c r="BA252" i="14"/>
  <c r="BD252" i="14"/>
  <c r="BB252" i="14" s="1"/>
  <c r="BG252" i="14"/>
  <c r="BL252" i="14"/>
  <c r="P252" i="14" s="1"/>
  <c r="CC252" i="14"/>
  <c r="CD252" i="14"/>
  <c r="CE252" i="14"/>
  <c r="CF252" i="14"/>
  <c r="CH252" i="14"/>
  <c r="CI252" i="14"/>
  <c r="CJ252" i="14"/>
  <c r="CK252" i="14"/>
  <c r="CO252" i="14"/>
  <c r="CT252" i="14"/>
  <c r="CZ252" i="14"/>
  <c r="DA252" i="14"/>
  <c r="DB252" i="14"/>
  <c r="DC252" i="14"/>
  <c r="W253" i="14"/>
  <c r="AB253" i="14"/>
  <c r="AG253" i="14"/>
  <c r="AL253" i="14"/>
  <c r="AR253" i="14"/>
  <c r="AX253" i="14"/>
  <c r="AY253" i="14"/>
  <c r="AZ253" i="14"/>
  <c r="BA253" i="14"/>
  <c r="BB253" i="14"/>
  <c r="BG253" i="14"/>
  <c r="BL253" i="14"/>
  <c r="CC253" i="14"/>
  <c r="CD253" i="14"/>
  <c r="CE253" i="14"/>
  <c r="CF253" i="14"/>
  <c r="CH253" i="14"/>
  <c r="CI253" i="14"/>
  <c r="CJ253" i="14"/>
  <c r="CK253" i="14"/>
  <c r="CO253" i="14"/>
  <c r="CT253" i="14"/>
  <c r="DJ253" i="14" s="1"/>
  <c r="CZ253" i="14"/>
  <c r="DA253" i="14"/>
  <c r="DB253" i="14"/>
  <c r="DC253" i="14"/>
  <c r="W254" i="14"/>
  <c r="AB254" i="14"/>
  <c r="AG254" i="14"/>
  <c r="AL254" i="14"/>
  <c r="AR254" i="14"/>
  <c r="AX254" i="14"/>
  <c r="AY254" i="14"/>
  <c r="AZ254" i="14"/>
  <c r="BA254" i="14"/>
  <c r="BB254" i="14"/>
  <c r="BG254" i="14"/>
  <c r="BL254" i="14"/>
  <c r="CC254" i="14"/>
  <c r="CD254" i="14"/>
  <c r="CE254" i="14"/>
  <c r="CF254" i="14"/>
  <c r="CH254" i="14"/>
  <c r="CI254" i="14"/>
  <c r="CJ254" i="14"/>
  <c r="CK254" i="14"/>
  <c r="CO254" i="14"/>
  <c r="CT254" i="14"/>
  <c r="DJ254" i="14" s="1"/>
  <c r="CZ254" i="14"/>
  <c r="DA254" i="14"/>
  <c r="DB254" i="14"/>
  <c r="DC254" i="14"/>
  <c r="W255" i="14"/>
  <c r="AB255" i="14"/>
  <c r="AG255" i="14"/>
  <c r="AL255" i="14"/>
  <c r="AR255" i="14"/>
  <c r="AX255" i="14"/>
  <c r="AY255" i="14"/>
  <c r="AZ255" i="14"/>
  <c r="BA255" i="14"/>
  <c r="BD255" i="14"/>
  <c r="BB255" i="14" s="1"/>
  <c r="BG255" i="14"/>
  <c r="BN242" i="14"/>
  <c r="CC255" i="14"/>
  <c r="CE255" i="14"/>
  <c r="CF255" i="14"/>
  <c r="CH255" i="14"/>
  <c r="CK255" i="14"/>
  <c r="CO255" i="14"/>
  <c r="CT255" i="14"/>
  <c r="CZ255" i="14"/>
  <c r="DA255" i="14"/>
  <c r="DB255" i="14"/>
  <c r="DC255" i="14"/>
  <c r="W256" i="14"/>
  <c r="AB256" i="14"/>
  <c r="AG256" i="14"/>
  <c r="AL256" i="14"/>
  <c r="AR256" i="14"/>
  <c r="AX256" i="14"/>
  <c r="AY256" i="14"/>
  <c r="AZ256" i="14"/>
  <c r="BA256" i="14"/>
  <c r="BD256" i="14"/>
  <c r="BB256" i="14" s="1"/>
  <c r="BG256" i="14"/>
  <c r="BL256" i="14"/>
  <c r="CC256" i="14"/>
  <c r="CD256" i="14"/>
  <c r="CE256" i="14"/>
  <c r="CF256" i="14"/>
  <c r="CH256" i="14"/>
  <c r="CI256" i="14"/>
  <c r="CJ256" i="14"/>
  <c r="CK256" i="14"/>
  <c r="CO256" i="14"/>
  <c r="CT256" i="14"/>
  <c r="CZ256" i="14"/>
  <c r="DA256" i="14"/>
  <c r="DB256" i="14"/>
  <c r="DC256" i="14"/>
  <c r="W257" i="14"/>
  <c r="AB257" i="14"/>
  <c r="AG257" i="14"/>
  <c r="AL257" i="14"/>
  <c r="AR257" i="14"/>
  <c r="AX257" i="14"/>
  <c r="AY257" i="14"/>
  <c r="AZ257" i="14"/>
  <c r="BA257" i="14"/>
  <c r="BD257" i="14"/>
  <c r="BB257" i="14" s="1"/>
  <c r="BG257" i="14"/>
  <c r="BL257" i="14"/>
  <c r="CC257" i="14"/>
  <c r="CD257" i="14"/>
  <c r="CE257" i="14"/>
  <c r="CF257" i="14"/>
  <c r="CH257" i="14"/>
  <c r="CI257" i="14"/>
  <c r="CJ257" i="14"/>
  <c r="CK257" i="14"/>
  <c r="CO257" i="14"/>
  <c r="CT257" i="14"/>
  <c r="CZ257" i="14"/>
  <c r="DA257" i="14"/>
  <c r="DB257" i="14"/>
  <c r="DC257" i="14"/>
  <c r="AG259" i="14"/>
  <c r="AL259" i="14"/>
  <c r="AR259" i="14"/>
  <c r="AX259" i="14"/>
  <c r="AY259" i="14"/>
  <c r="AZ259" i="14"/>
  <c r="BA259" i="14"/>
  <c r="BB259" i="14"/>
  <c r="BG259" i="14"/>
  <c r="BL259" i="14"/>
  <c r="P259" i="14" s="1"/>
  <c r="CC259" i="14"/>
  <c r="CD259" i="14"/>
  <c r="CE259" i="14"/>
  <c r="CF259" i="14"/>
  <c r="CH259" i="14"/>
  <c r="CI259" i="14"/>
  <c r="CJ259" i="14"/>
  <c r="CK259" i="14"/>
  <c r="CO259" i="14"/>
  <c r="CT259" i="14"/>
  <c r="X261" i="14"/>
  <c r="Y261" i="14"/>
  <c r="Z261" i="14"/>
  <c r="AA261" i="14"/>
  <c r="AC261" i="14"/>
  <c r="AD261" i="14"/>
  <c r="AE261" i="14"/>
  <c r="AF261" i="14"/>
  <c r="AH261" i="14"/>
  <c r="AI261" i="14"/>
  <c r="AJ261" i="14"/>
  <c r="AK261" i="14"/>
  <c r="AM261" i="14"/>
  <c r="AN261" i="14"/>
  <c r="AO261" i="14"/>
  <c r="AP261" i="14"/>
  <c r="AS261" i="14"/>
  <c r="AT261" i="14"/>
  <c r="AU261" i="14"/>
  <c r="AV261" i="14"/>
  <c r="BC261" i="14"/>
  <c r="BD261" i="14"/>
  <c r="BE261" i="14"/>
  <c r="BF261" i="14"/>
  <c r="BH261" i="14"/>
  <c r="BI261" i="14"/>
  <c r="BJ261" i="14"/>
  <c r="BK261" i="14"/>
  <c r="BM261" i="14"/>
  <c r="BN261" i="14"/>
  <c r="BO261" i="14"/>
  <c r="BP261" i="14"/>
  <c r="BZ261" i="14"/>
  <c r="BV261" i="14" s="1"/>
  <c r="CM261" i="14"/>
  <c r="CN261" i="14"/>
  <c r="CP261" i="14"/>
  <c r="CQ261" i="14"/>
  <c r="CR261" i="14"/>
  <c r="CS261" i="14"/>
  <c r="CU261" i="14"/>
  <c r="CV261" i="14"/>
  <c r="CW261" i="14"/>
  <c r="CX261" i="14"/>
  <c r="DD261" i="14"/>
  <c r="DE261" i="14"/>
  <c r="DF261" i="14"/>
  <c r="AH263" i="14"/>
  <c r="AG263" i="14" s="1"/>
  <c r="AL263" i="14"/>
  <c r="AR263" i="14"/>
  <c r="BB263" i="14"/>
  <c r="BG263" i="14"/>
  <c r="BL263" i="14"/>
  <c r="P263" i="14" s="1"/>
  <c r="CB263" i="14"/>
  <c r="CA263" i="14" s="1"/>
  <c r="CG263" i="14"/>
  <c r="CO263" i="14"/>
  <c r="X265" i="14"/>
  <c r="AC266" i="14"/>
  <c r="AH266" i="14"/>
  <c r="AM266" i="14"/>
  <c r="BH266" i="14"/>
  <c r="CP266" i="14"/>
  <c r="CU266" i="14"/>
  <c r="AC267" i="14"/>
  <c r="AC293" i="14" s="1"/>
  <c r="AB293" i="14" s="1"/>
  <c r="AH267" i="14"/>
  <c r="AM267" i="14"/>
  <c r="AM293" i="14" s="1"/>
  <c r="AX267" i="14"/>
  <c r="BH267" i="14"/>
  <c r="BH293" i="14" s="1"/>
  <c r="BH307" i="14" s="1"/>
  <c r="CP267" i="14"/>
  <c r="CP293" i="14" s="1"/>
  <c r="CU267" i="14"/>
  <c r="CU293" i="14" s="1"/>
  <c r="X268" i="14"/>
  <c r="AC268" i="14"/>
  <c r="AH268" i="14"/>
  <c r="AM268" i="14"/>
  <c r="AS268" i="14"/>
  <c r="BH268" i="14"/>
  <c r="BM268" i="14"/>
  <c r="CP268" i="14"/>
  <c r="CU268" i="14"/>
  <c r="W269" i="14"/>
  <c r="AB269" i="14"/>
  <c r="AG269" i="14"/>
  <c r="AL269" i="14"/>
  <c r="AR269" i="14"/>
  <c r="AX269" i="14"/>
  <c r="AW269" i="14" s="1"/>
  <c r="BC269" i="14"/>
  <c r="BG269" i="14"/>
  <c r="BL269" i="14"/>
  <c r="CC269" i="14"/>
  <c r="CB269" i="14" s="1"/>
  <c r="CH269" i="14"/>
  <c r="CG269" i="14" s="1"/>
  <c r="CO269" i="14"/>
  <c r="CT269" i="14"/>
  <c r="W270" i="14"/>
  <c r="AB270" i="14"/>
  <c r="AG270" i="14"/>
  <c r="AL270" i="14"/>
  <c r="AR270" i="14"/>
  <c r="AX270" i="14"/>
  <c r="AW270" i="14" s="1"/>
  <c r="BC270" i="14"/>
  <c r="BB270" i="14" s="1"/>
  <c r="BG270" i="14"/>
  <c r="BL270" i="14"/>
  <c r="CC270" i="14"/>
  <c r="CB270" i="14" s="1"/>
  <c r="CH270" i="14"/>
  <c r="CG270" i="14" s="1"/>
  <c r="CO270" i="14"/>
  <c r="CT270" i="14"/>
  <c r="X271" i="14"/>
  <c r="AC271" i="14"/>
  <c r="AH271" i="14"/>
  <c r="AM271" i="14"/>
  <c r="AS271" i="14"/>
  <c r="BH271" i="14"/>
  <c r="BM271" i="14"/>
  <c r="CH271" i="14" s="1"/>
  <c r="CP271" i="14"/>
  <c r="CU271" i="14"/>
  <c r="W272" i="14"/>
  <c r="AB272" i="14"/>
  <c r="AG272" i="14"/>
  <c r="AL272" i="14"/>
  <c r="AR272" i="14"/>
  <c r="AX272" i="14"/>
  <c r="AW272" i="14" s="1"/>
  <c r="BB272" i="14"/>
  <c r="BG272" i="14"/>
  <c r="BL272" i="14"/>
  <c r="CC272" i="14"/>
  <c r="CB272" i="14" s="1"/>
  <c r="CH272" i="14"/>
  <c r="CG272" i="14" s="1"/>
  <c r="CO272" i="14"/>
  <c r="CT272" i="14"/>
  <c r="W273" i="14"/>
  <c r="AB273" i="14"/>
  <c r="AG273" i="14"/>
  <c r="AL273" i="14"/>
  <c r="AR273" i="14"/>
  <c r="AX273" i="14"/>
  <c r="AW273" i="14" s="1"/>
  <c r="BB273" i="14"/>
  <c r="BG273" i="14"/>
  <c r="BL273" i="14"/>
  <c r="CC273" i="14"/>
  <c r="CB273" i="14" s="1"/>
  <c r="CA273" i="14" s="1"/>
  <c r="CH273" i="14"/>
  <c r="CG273" i="14" s="1"/>
  <c r="CO273" i="14"/>
  <c r="CT273" i="14"/>
  <c r="X274" i="14"/>
  <c r="AC274" i="14"/>
  <c r="AH274" i="14"/>
  <c r="AM274" i="14"/>
  <c r="AS274" i="14"/>
  <c r="BH274" i="14"/>
  <c r="CP274" i="14"/>
  <c r="CU274" i="14"/>
  <c r="W275" i="14"/>
  <c r="AB275" i="14"/>
  <c r="AG275" i="14"/>
  <c r="AL275" i="14"/>
  <c r="AR275" i="14"/>
  <c r="AX275" i="14"/>
  <c r="AW275" i="14" s="1"/>
  <c r="BB275" i="14"/>
  <c r="BG275" i="14"/>
  <c r="BG274" i="14" s="1"/>
  <c r="CC275" i="14"/>
  <c r="CB275" i="14" s="1"/>
  <c r="CO275" i="14"/>
  <c r="CT275" i="14"/>
  <c r="W276" i="14"/>
  <c r="AB276" i="14"/>
  <c r="AG276" i="14"/>
  <c r="AL276" i="14"/>
  <c r="AR276" i="14"/>
  <c r="AX276" i="14"/>
  <c r="AW276" i="14" s="1"/>
  <c r="BB276" i="14"/>
  <c r="BG276" i="14"/>
  <c r="BL276" i="14"/>
  <c r="P276" i="14" s="1"/>
  <c r="CC276" i="14"/>
  <c r="CB276" i="14" s="1"/>
  <c r="CA276" i="14" s="1"/>
  <c r="CH276" i="14"/>
  <c r="CG276" i="14" s="1"/>
  <c r="CO276" i="14"/>
  <c r="CT276" i="14"/>
  <c r="X277" i="14"/>
  <c r="AC277" i="14"/>
  <c r="AH277" i="14"/>
  <c r="AM277" i="14"/>
  <c r="AS277" i="14"/>
  <c r="BH277" i="14"/>
  <c r="BM277" i="14"/>
  <c r="CP277" i="14"/>
  <c r="CU277" i="14"/>
  <c r="W278" i="14"/>
  <c r="AB278" i="14"/>
  <c r="AG278" i="14"/>
  <c r="AL278" i="14"/>
  <c r="AR278" i="14"/>
  <c r="AX278" i="14"/>
  <c r="BB278" i="14"/>
  <c r="BG278" i="14"/>
  <c r="BL278" i="14"/>
  <c r="CC278" i="14"/>
  <c r="CH278" i="14"/>
  <c r="CG278" i="14" s="1"/>
  <c r="CO278" i="14"/>
  <c r="CT278" i="14"/>
  <c r="W279" i="14"/>
  <c r="AB279" i="14"/>
  <c r="AG279" i="14"/>
  <c r="AL279" i="14"/>
  <c r="AR279" i="14"/>
  <c r="AX279" i="14"/>
  <c r="AW279" i="14" s="1"/>
  <c r="BB279" i="14"/>
  <c r="BG279" i="14"/>
  <c r="BL279" i="14"/>
  <c r="CC279" i="14"/>
  <c r="CB279" i="14" s="1"/>
  <c r="CA279" i="14" s="1"/>
  <c r="CH279" i="14"/>
  <c r="CG279" i="14" s="1"/>
  <c r="CO279" i="14"/>
  <c r="CT279" i="14"/>
  <c r="X280" i="14"/>
  <c r="AC280" i="14"/>
  <c r="AH280" i="14"/>
  <c r="AM280" i="14"/>
  <c r="AS280" i="14"/>
  <c r="BH280" i="14"/>
  <c r="CP280" i="14"/>
  <c r="CU280" i="14"/>
  <c r="W281" i="14"/>
  <c r="AB281" i="14"/>
  <c r="AG281" i="14"/>
  <c r="AL281" i="14"/>
  <c r="AR281" i="14"/>
  <c r="AX281" i="14"/>
  <c r="AW281" i="14" s="1"/>
  <c r="BC281" i="14"/>
  <c r="BB281" i="14" s="1"/>
  <c r="BG281" i="14"/>
  <c r="CO281" i="14"/>
  <c r="CT281" i="14"/>
  <c r="W282" i="14"/>
  <c r="AB282" i="14"/>
  <c r="AG282" i="14"/>
  <c r="AL282" i="14"/>
  <c r="AR282" i="14"/>
  <c r="AX282" i="14"/>
  <c r="AW282" i="14" s="1"/>
  <c r="BC282" i="14"/>
  <c r="BB282" i="14" s="1"/>
  <c r="BG282" i="14"/>
  <c r="BL282" i="14"/>
  <c r="P282" i="14" s="1"/>
  <c r="CH282" i="14"/>
  <c r="CG282" i="14" s="1"/>
  <c r="CO282" i="14"/>
  <c r="CT282" i="14"/>
  <c r="X283" i="14"/>
  <c r="AC283" i="14"/>
  <c r="AH283" i="14"/>
  <c r="AM283" i="14"/>
  <c r="AS283" i="14"/>
  <c r="BH283" i="14"/>
  <c r="BM283" i="14"/>
  <c r="CP283" i="14"/>
  <c r="CU283" i="14"/>
  <c r="W284" i="14"/>
  <c r="AB284" i="14"/>
  <c r="AG284" i="14"/>
  <c r="AL284" i="14"/>
  <c r="AR284" i="14"/>
  <c r="AX284" i="14"/>
  <c r="AW284" i="14" s="1"/>
  <c r="BB284" i="14"/>
  <c r="BG284" i="14"/>
  <c r="BL284" i="14"/>
  <c r="CC284" i="14"/>
  <c r="CB284" i="14" s="1"/>
  <c r="CA284" i="14" s="1"/>
  <c r="CH284" i="14"/>
  <c r="CG284" i="14" s="1"/>
  <c r="CO284" i="14"/>
  <c r="CT284" i="14"/>
  <c r="W285" i="14"/>
  <c r="AB285" i="14"/>
  <c r="AG285" i="14"/>
  <c r="AL285" i="14"/>
  <c r="AR285" i="14"/>
  <c r="AX285" i="14"/>
  <c r="AW285" i="14" s="1"/>
  <c r="BB285" i="14"/>
  <c r="BB283" i="14" s="1"/>
  <c r="BG285" i="14"/>
  <c r="BL285" i="14"/>
  <c r="CC285" i="14"/>
  <c r="CB285" i="14" s="1"/>
  <c r="CA285" i="14" s="1"/>
  <c r="CH285" i="14"/>
  <c r="CG285" i="14" s="1"/>
  <c r="CO285" i="14"/>
  <c r="CT285" i="14"/>
  <c r="X286" i="14"/>
  <c r="AC286" i="14"/>
  <c r="AH286" i="14"/>
  <c r="AM286" i="14"/>
  <c r="AS286" i="14"/>
  <c r="BH286" i="14"/>
  <c r="BM286" i="14"/>
  <c r="CC286" i="14"/>
  <c r="CP286" i="14"/>
  <c r="CU286" i="14"/>
  <c r="W287" i="14"/>
  <c r="AB287" i="14"/>
  <c r="AG287" i="14"/>
  <c r="AL287" i="14"/>
  <c r="AR287" i="14"/>
  <c r="AX287" i="14"/>
  <c r="BC287" i="14"/>
  <c r="BB287" i="14" s="1"/>
  <c r="BG287" i="14"/>
  <c r="BL287" i="14"/>
  <c r="CC287" i="14"/>
  <c r="CB287" i="14" s="1"/>
  <c r="CH287" i="14"/>
  <c r="CG287" i="14" s="1"/>
  <c r="CO287" i="14"/>
  <c r="CT287" i="14"/>
  <c r="W288" i="14"/>
  <c r="AB288" i="14"/>
  <c r="AG288" i="14"/>
  <c r="AL288" i="14"/>
  <c r="AR288" i="14"/>
  <c r="AX288" i="14"/>
  <c r="AW288" i="14" s="1"/>
  <c r="BB288" i="14"/>
  <c r="BG288" i="14"/>
  <c r="BL288" i="14"/>
  <c r="CC288" i="14"/>
  <c r="CB288" i="14" s="1"/>
  <c r="CA288" i="14" s="1"/>
  <c r="CH288" i="14"/>
  <c r="CG288" i="14" s="1"/>
  <c r="CO288" i="14"/>
  <c r="CT288" i="14"/>
  <c r="X289" i="14"/>
  <c r="AC289" i="14"/>
  <c r="AH289" i="14"/>
  <c r="AM289" i="14"/>
  <c r="AS289" i="14"/>
  <c r="BH289" i="14"/>
  <c r="CP289" i="14"/>
  <c r="CU289" i="14"/>
  <c r="W290" i="14"/>
  <c r="AB290" i="14"/>
  <c r="AG290" i="14"/>
  <c r="AL290" i="14"/>
  <c r="AR290" i="14"/>
  <c r="AX290" i="14"/>
  <c r="AW290" i="14" s="1"/>
  <c r="BC290" i="14"/>
  <c r="BB290" i="14" s="1"/>
  <c r="BG290" i="14"/>
  <c r="CO290" i="14"/>
  <c r="CT290" i="14"/>
  <c r="W291" i="14"/>
  <c r="AB291" i="14"/>
  <c r="AB289" i="14" s="1"/>
  <c r="AG291" i="14"/>
  <c r="AL291" i="14"/>
  <c r="AR291" i="14"/>
  <c r="AX291" i="14"/>
  <c r="BB291" i="14"/>
  <c r="BG291" i="14"/>
  <c r="BL291" i="14"/>
  <c r="CC291" i="14"/>
  <c r="CB291" i="14" s="1"/>
  <c r="CA291" i="14" s="1"/>
  <c r="CH291" i="14"/>
  <c r="CG291" i="14" s="1"/>
  <c r="CO291" i="14"/>
  <c r="CT291" i="14"/>
  <c r="X293" i="14"/>
  <c r="W293" i="14" s="1"/>
  <c r="BN293" i="14"/>
  <c r="BO293" i="14"/>
  <c r="BO307" i="14" s="1"/>
  <c r="BO317" i="14" s="1"/>
  <c r="BP293" i="14"/>
  <c r="BP307" i="14" s="1"/>
  <c r="BP317" i="14" s="1"/>
  <c r="BP331" i="14" s="1"/>
  <c r="BZ293" i="14"/>
  <c r="CD293" i="14"/>
  <c r="CE293" i="14"/>
  <c r="CE307" i="14" s="1"/>
  <c r="CE317" i="14" s="1"/>
  <c r="CF293" i="14"/>
  <c r="CF307" i="14" s="1"/>
  <c r="CF317" i="14" s="1"/>
  <c r="CI293" i="14"/>
  <c r="CJ293" i="14"/>
  <c r="CJ307" i="14" s="1"/>
  <c r="CJ317" i="14" s="1"/>
  <c r="CJ331" i="14" s="1"/>
  <c r="CK293" i="14"/>
  <c r="CK307" i="14" s="1"/>
  <c r="CK317" i="14" s="1"/>
  <c r="CZ293" i="14"/>
  <c r="CZ307" i="14" s="1"/>
  <c r="AX296" i="14"/>
  <c r="AZ296" i="14"/>
  <c r="BA296" i="14"/>
  <c r="CH296" i="14"/>
  <c r="W297" i="14"/>
  <c r="Y297" i="14"/>
  <c r="AB297" i="14"/>
  <c r="AD297" i="14"/>
  <c r="AD307" i="14" s="1"/>
  <c r="AD317" i="14" s="1"/>
  <c r="AG297" i="14"/>
  <c r="AI297" i="14"/>
  <c r="AI307" i="14" s="1"/>
  <c r="AI317" i="14" s="1"/>
  <c r="AI331" i="14" s="1"/>
  <c r="AL297" i="14"/>
  <c r="AN297" i="14"/>
  <c r="AR297" i="14"/>
  <c r="AT297" i="14"/>
  <c r="AX297" i="14"/>
  <c r="AZ297" i="14"/>
  <c r="AZ307" i="14" s="1"/>
  <c r="AZ317" i="14" s="1"/>
  <c r="AZ331" i="14" s="1"/>
  <c r="BA297" i="14"/>
  <c r="BA307" i="14" s="1"/>
  <c r="BA317" i="14" s="1"/>
  <c r="BB297" i="14"/>
  <c r="BD297" i="14"/>
  <c r="BG297" i="14"/>
  <c r="BI297" i="14"/>
  <c r="BL297" i="14"/>
  <c r="P297" i="14" s="1"/>
  <c r="BN297" i="14"/>
  <c r="CB297" i="14"/>
  <c r="CD297" i="14"/>
  <c r="CG297" i="14"/>
  <c r="CH297" i="14"/>
  <c r="CI297" i="14"/>
  <c r="CO297" i="14"/>
  <c r="CQ297" i="14"/>
  <c r="CT297" i="14"/>
  <c r="CV297" i="14"/>
  <c r="CY297" i="14"/>
  <c r="CY296" i="14" s="1"/>
  <c r="W298" i="14"/>
  <c r="Y298" i="14"/>
  <c r="AB298" i="14"/>
  <c r="AD298" i="14"/>
  <c r="AG298" i="14"/>
  <c r="AI298" i="14"/>
  <c r="AL298" i="14"/>
  <c r="AN298" i="14"/>
  <c r="AR298" i="14"/>
  <c r="AT298" i="14"/>
  <c r="AY298" i="14" s="1"/>
  <c r="AX298" i="14"/>
  <c r="AZ298" i="14"/>
  <c r="BA298" i="14"/>
  <c r="BB298" i="14"/>
  <c r="BD298" i="14"/>
  <c r="BG298" i="14"/>
  <c r="BG296" i="14" s="1"/>
  <c r="BI298" i="14"/>
  <c r="BL298" i="14"/>
  <c r="P298" i="14" s="1"/>
  <c r="BN298" i="14"/>
  <c r="CB298" i="14"/>
  <c r="CA298" i="14" s="1"/>
  <c r="CD298" i="14"/>
  <c r="CG298" i="14"/>
  <c r="CH298" i="14"/>
  <c r="CI298" i="14"/>
  <c r="CO298" i="14"/>
  <c r="CQ298" i="14"/>
  <c r="CT298" i="14"/>
  <c r="CV298" i="14"/>
  <c r="W299" i="14"/>
  <c r="Y299" i="14"/>
  <c r="AB299" i="14"/>
  <c r="AD299" i="14"/>
  <c r="AG299" i="14"/>
  <c r="AI299" i="14"/>
  <c r="AL299" i="14"/>
  <c r="AN299" i="14"/>
  <c r="AR299" i="14"/>
  <c r="AT299" i="14"/>
  <c r="AY299" i="14" s="1"/>
  <c r="AX299" i="14"/>
  <c r="AZ299" i="14"/>
  <c r="BA299" i="14"/>
  <c r="BB299" i="14"/>
  <c r="BD299" i="14"/>
  <c r="BG299" i="14"/>
  <c r="BI299" i="14"/>
  <c r="BL299" i="14"/>
  <c r="P299" i="14" s="1"/>
  <c r="BN299" i="14"/>
  <c r="CB299" i="14"/>
  <c r="CA299" i="14" s="1"/>
  <c r="CD299" i="14"/>
  <c r="CG299" i="14"/>
  <c r="CH299" i="14"/>
  <c r="CI299" i="14"/>
  <c r="CO299" i="14"/>
  <c r="CQ299" i="14"/>
  <c r="CT299" i="14"/>
  <c r="CV299" i="14"/>
  <c r="CY299" i="14"/>
  <c r="AX300" i="14"/>
  <c r="AY300" i="14"/>
  <c r="AZ300" i="14"/>
  <c r="BA300" i="14"/>
  <c r="CA300" i="14"/>
  <c r="CH300" i="14"/>
  <c r="AX301" i="14"/>
  <c r="AY301" i="14"/>
  <c r="AZ301" i="14"/>
  <c r="BA301" i="14"/>
  <c r="CA301" i="14"/>
  <c r="CH301" i="14"/>
  <c r="W302" i="14"/>
  <c r="Y302" i="14"/>
  <c r="AB302" i="14"/>
  <c r="AD302" i="14"/>
  <c r="AG302" i="14"/>
  <c r="AI302" i="14"/>
  <c r="AL302" i="14"/>
  <c r="AN302" i="14"/>
  <c r="AR302" i="14"/>
  <c r="AT302" i="14"/>
  <c r="AY302" i="14" s="1"/>
  <c r="AX302" i="14"/>
  <c r="AZ302" i="14"/>
  <c r="BA302" i="14"/>
  <c r="BB302" i="14"/>
  <c r="BD302" i="14"/>
  <c r="BG302" i="14"/>
  <c r="BI302" i="14"/>
  <c r="BL302" i="14"/>
  <c r="P302" i="14" s="1"/>
  <c r="BN302" i="14"/>
  <c r="CB302" i="14"/>
  <c r="CA302" i="14" s="1"/>
  <c r="CD302" i="14"/>
  <c r="CG302" i="14"/>
  <c r="CH302" i="14"/>
  <c r="CI302" i="14"/>
  <c r="CO302" i="14"/>
  <c r="CQ302" i="14"/>
  <c r="CT302" i="14"/>
  <c r="CV302" i="14"/>
  <c r="CY302" i="14"/>
  <c r="CY314" i="14" s="1"/>
  <c r="AX303" i="14"/>
  <c r="AY303" i="14"/>
  <c r="AZ303" i="14"/>
  <c r="BA303" i="14"/>
  <c r="CA303" i="14"/>
  <c r="CH303" i="14"/>
  <c r="AY304" i="14"/>
  <c r="CA304" i="14"/>
  <c r="CH304" i="14"/>
  <c r="CA305" i="14"/>
  <c r="CH305" i="14"/>
  <c r="AQ306" i="14"/>
  <c r="Z307" i="14"/>
  <c r="Z317" i="14" s="1"/>
  <c r="Z331" i="14" s="1"/>
  <c r="AA307" i="14"/>
  <c r="AA317" i="14" s="1"/>
  <c r="AA331" i="14" s="1"/>
  <c r="AE307" i="14"/>
  <c r="AE317" i="14" s="1"/>
  <c r="AE331" i="14" s="1"/>
  <c r="AF307" i="14"/>
  <c r="AF317" i="14" s="1"/>
  <c r="AJ307" i="14"/>
  <c r="AJ317" i="14" s="1"/>
  <c r="AJ331" i="14" s="1"/>
  <c r="AK307" i="14"/>
  <c r="AK317" i="14" s="1"/>
  <c r="AO307" i="14"/>
  <c r="AO317" i="14" s="1"/>
  <c r="AO331" i="14" s="1"/>
  <c r="AP307" i="14"/>
  <c r="AP317" i="14" s="1"/>
  <c r="AP331" i="14" s="1"/>
  <c r="AU307" i="14"/>
  <c r="AU317" i="14" s="1"/>
  <c r="AU331" i="14" s="1"/>
  <c r="AV307" i="14"/>
  <c r="AV317" i="14" s="1"/>
  <c r="AV331" i="14" s="1"/>
  <c r="BE307" i="14"/>
  <c r="BE317" i="14" s="1"/>
  <c r="BF307" i="14"/>
  <c r="BF317" i="14" s="1"/>
  <c r="BJ307" i="14"/>
  <c r="BJ317" i="14" s="1"/>
  <c r="BJ331" i="14" s="1"/>
  <c r="BK307" i="14"/>
  <c r="BK317" i="14" s="1"/>
  <c r="BK331" i="14" s="1"/>
  <c r="CR307" i="14"/>
  <c r="CS307" i="14"/>
  <c r="CW307" i="14"/>
  <c r="CX307" i="14"/>
  <c r="DA308" i="14"/>
  <c r="W310" i="14"/>
  <c r="AB310" i="14"/>
  <c r="AG310" i="14"/>
  <c r="AL310" i="14"/>
  <c r="AR310" i="14"/>
  <c r="AY310" i="14"/>
  <c r="BB310" i="14"/>
  <c r="BG310" i="14"/>
  <c r="BL310" i="14"/>
  <c r="P310" i="14" s="1"/>
  <c r="CD310" i="14"/>
  <c r="CH310" i="14"/>
  <c r="CI310" i="14"/>
  <c r="CO310" i="14"/>
  <c r="CT310" i="14"/>
  <c r="CY310" i="14"/>
  <c r="W311" i="14"/>
  <c r="AB311" i="14"/>
  <c r="AG311" i="14"/>
  <c r="AL311" i="14"/>
  <c r="AR311" i="14"/>
  <c r="AY311" i="14"/>
  <c r="AW311" i="14" s="1"/>
  <c r="BB311" i="14"/>
  <c r="BG311" i="14"/>
  <c r="BL311" i="14"/>
  <c r="P311" i="14" s="1"/>
  <c r="CD311" i="14"/>
  <c r="CB311" i="14" s="1"/>
  <c r="CA311" i="14" s="1"/>
  <c r="CH311" i="14"/>
  <c r="CI311" i="14"/>
  <c r="CO311" i="14"/>
  <c r="CT311" i="14"/>
  <c r="CY311" i="14"/>
  <c r="W312" i="14"/>
  <c r="AR312" i="14"/>
  <c r="AY312" i="14"/>
  <c r="AW312" i="14" s="1"/>
  <c r="BB312" i="14"/>
  <c r="BL312" i="14"/>
  <c r="P312" i="14" s="1"/>
  <c r="CD312" i="14"/>
  <c r="CB312" i="14" s="1"/>
  <c r="CA312" i="14" s="1"/>
  <c r="CH312" i="14"/>
  <c r="CI312" i="14"/>
  <c r="CD313" i="14"/>
  <c r="CB313" i="14" s="1"/>
  <c r="CA313" i="14" s="1"/>
  <c r="CH313" i="14"/>
  <c r="CI313" i="14"/>
  <c r="V314" i="14"/>
  <c r="X314" i="14"/>
  <c r="Y314" i="14"/>
  <c r="Z314" i="14"/>
  <c r="AA314" i="14"/>
  <c r="AD314" i="14"/>
  <c r="AB314" i="14" s="1"/>
  <c r="AI314" i="14"/>
  <c r="AG314" i="14" s="1"/>
  <c r="AN314" i="14"/>
  <c r="AL314" i="14" s="1"/>
  <c r="AS314" i="14"/>
  <c r="AT314" i="14"/>
  <c r="AU314" i="14"/>
  <c r="AV314" i="14"/>
  <c r="AX314" i="14"/>
  <c r="AZ314" i="14"/>
  <c r="BA314" i="14"/>
  <c r="BC314" i="14"/>
  <c r="BD314" i="14"/>
  <c r="BE314" i="14"/>
  <c r="BF314" i="14"/>
  <c r="BM314" i="14"/>
  <c r="BN314" i="14"/>
  <c r="BO314" i="14"/>
  <c r="BP314" i="14"/>
  <c r="BZ314" i="14"/>
  <c r="CC314" i="14"/>
  <c r="CE314" i="14"/>
  <c r="CF314" i="14"/>
  <c r="CJ314" i="14"/>
  <c r="CK314" i="14"/>
  <c r="CZ314" i="14"/>
  <c r="DA314" i="14"/>
  <c r="DB314" i="14"/>
  <c r="DC314" i="14"/>
  <c r="DD316" i="14"/>
  <c r="DE316" i="14"/>
  <c r="DF316" i="14"/>
  <c r="CP317" i="14"/>
  <c r="CQ317" i="14"/>
  <c r="CR317" i="14"/>
  <c r="CS317" i="14"/>
  <c r="CU317" i="14"/>
  <c r="CV317" i="14"/>
  <c r="CW317" i="14"/>
  <c r="CX317" i="14"/>
  <c r="CZ317" i="14"/>
  <c r="DA317" i="14"/>
  <c r="DB317" i="14"/>
  <c r="DC317" i="14"/>
  <c r="W327" i="14"/>
  <c r="W328" i="14" s="1"/>
  <c r="AB327" i="14"/>
  <c r="AB328" i="14" s="1"/>
  <c r="AG327" i="14"/>
  <c r="AG328" i="14" s="1"/>
  <c r="AL327" i="14"/>
  <c r="AL328" i="14" s="1"/>
  <c r="AR327" i="14"/>
  <c r="AY327" i="14"/>
  <c r="AW327" i="14" s="1"/>
  <c r="AW328" i="14" s="1"/>
  <c r="BB327" i="14"/>
  <c r="BB328" i="14" s="1"/>
  <c r="BG327" i="14"/>
  <c r="BG328" i="14" s="1"/>
  <c r="BL327" i="14"/>
  <c r="CD327" i="14"/>
  <c r="CB327" i="14" s="1"/>
  <c r="CH327" i="14"/>
  <c r="CI327" i="14"/>
  <c r="CI328" i="14" s="1"/>
  <c r="CO327" i="14"/>
  <c r="CT327" i="14"/>
  <c r="CY327" i="14"/>
  <c r="V328" i="14"/>
  <c r="X328" i="14"/>
  <c r="Y328" i="14"/>
  <c r="Z328" i="14"/>
  <c r="AA328" i="14"/>
  <c r="AC328" i="14"/>
  <c r="AD328" i="14"/>
  <c r="AE328" i="14"/>
  <c r="AF328" i="14"/>
  <c r="AH328" i="14"/>
  <c r="AI328" i="14"/>
  <c r="AJ328" i="14"/>
  <c r="AK328" i="14"/>
  <c r="AM328" i="14"/>
  <c r="AN328" i="14"/>
  <c r="AO328" i="14"/>
  <c r="AP328" i="14"/>
  <c r="AR328" i="14"/>
  <c r="AS328" i="14"/>
  <c r="AT328" i="14"/>
  <c r="AU328" i="14"/>
  <c r="AV328" i="14"/>
  <c r="AX328" i="14"/>
  <c r="AZ328" i="14"/>
  <c r="BA328" i="14"/>
  <c r="BC328" i="14"/>
  <c r="BD328" i="14"/>
  <c r="BE328" i="14"/>
  <c r="BF328" i="14"/>
  <c r="BH328" i="14"/>
  <c r="BI328" i="14"/>
  <c r="BJ328" i="14"/>
  <c r="BK328" i="14"/>
  <c r="BM328" i="14"/>
  <c r="BN328" i="14"/>
  <c r="BO328" i="14"/>
  <c r="BP328" i="14"/>
  <c r="BZ328" i="14"/>
  <c r="CC328" i="14"/>
  <c r="CE328" i="14"/>
  <c r="CF328" i="14"/>
  <c r="CJ328" i="14"/>
  <c r="CK328" i="14"/>
  <c r="CY328" i="14"/>
  <c r="CY330" i="14" s="1"/>
  <c r="CZ328" i="14"/>
  <c r="CZ330" i="14" s="1"/>
  <c r="DA328" i="14"/>
  <c r="DA330" i="14" s="1"/>
  <c r="DB328" i="14"/>
  <c r="DB330" i="14" s="1"/>
  <c r="DC328" i="14"/>
  <c r="DC330" i="14" s="1"/>
  <c r="CO330" i="14"/>
  <c r="CP330" i="14"/>
  <c r="CQ330" i="14"/>
  <c r="CR330" i="14"/>
  <c r="CS330" i="14"/>
  <c r="DD330" i="14"/>
  <c r="DE330" i="14"/>
  <c r="DF330" i="14"/>
  <c r="DI330" i="14"/>
  <c r="DJ330" i="14"/>
  <c r="CR331" i="14"/>
  <c r="CS331" i="14"/>
  <c r="DB331" i="14"/>
  <c r="DC331" i="14"/>
  <c r="CP332" i="14"/>
  <c r="CQ332" i="14"/>
  <c r="CU332" i="14"/>
  <c r="CV332" i="14"/>
  <c r="CW332" i="14"/>
  <c r="CX332" i="14"/>
  <c r="CZ332" i="14"/>
  <c r="DA332" i="14"/>
  <c r="BP347" i="14"/>
  <c r="U6" i="14"/>
  <c r="U8" i="14"/>
  <c r="U20" i="14"/>
  <c r="U39" i="14"/>
  <c r="U57" i="14"/>
  <c r="U79" i="14"/>
  <c r="U94" i="14"/>
  <c r="U114" i="14"/>
  <c r="U128" i="14"/>
  <c r="U137" i="14"/>
  <c r="U151" i="14"/>
  <c r="U159" i="14"/>
  <c r="U177" i="14"/>
  <c r="U195" i="14"/>
  <c r="U203" i="14"/>
  <c r="U220" i="14"/>
  <c r="U230" i="14"/>
  <c r="U242" i="14"/>
  <c r="U314" i="14"/>
  <c r="U328" i="14"/>
  <c r="AG274" i="14" l="1"/>
  <c r="BL328" i="14"/>
  <c r="P328" i="14" s="1"/>
  <c r="P327" i="14"/>
  <c r="W314" i="14"/>
  <c r="CG277" i="14"/>
  <c r="DI256" i="14"/>
  <c r="DI217" i="14"/>
  <c r="DI121" i="14"/>
  <c r="DI106" i="14"/>
  <c r="DI104" i="14"/>
  <c r="DI48" i="14"/>
  <c r="DI12" i="14"/>
  <c r="DI231" i="14"/>
  <c r="AZ230" i="14"/>
  <c r="DI187" i="14"/>
  <c r="DI163" i="14"/>
  <c r="DI144" i="14"/>
  <c r="DI115" i="14"/>
  <c r="BC94" i="14"/>
  <c r="BA20" i="14"/>
  <c r="CT261" i="14"/>
  <c r="BL314" i="14"/>
  <c r="P314" i="14" s="1"/>
  <c r="AR296" i="14"/>
  <c r="AG296" i="14"/>
  <c r="BG277" i="14"/>
  <c r="AG268" i="14"/>
  <c r="DI145" i="14"/>
  <c r="DI73" i="14"/>
  <c r="DI59" i="14"/>
  <c r="DI54" i="14"/>
  <c r="DI40" i="14"/>
  <c r="DI33" i="14"/>
  <c r="DI22" i="14"/>
  <c r="W267" i="14"/>
  <c r="DI252" i="14"/>
  <c r="DI164" i="14"/>
  <c r="CO286" i="14"/>
  <c r="W277" i="14"/>
  <c r="DI245" i="14"/>
  <c r="DI214" i="14"/>
  <c r="DI212" i="14"/>
  <c r="DI205" i="14"/>
  <c r="BA195" i="14"/>
  <c r="DI160" i="14"/>
  <c r="AW145" i="14"/>
  <c r="DI134" i="14"/>
  <c r="DI131" i="14"/>
  <c r="AZ128" i="14"/>
  <c r="DI122" i="14"/>
  <c r="AX114" i="14"/>
  <c r="DI105" i="14"/>
  <c r="DI92" i="14"/>
  <c r="AZ79" i="14"/>
  <c r="DI44" i="14"/>
  <c r="DI11" i="14"/>
  <c r="CT296" i="14"/>
  <c r="AT296" i="14"/>
  <c r="AY296" i="14" s="1"/>
  <c r="AI296" i="14"/>
  <c r="Y296" i="14"/>
  <c r="CT286" i="14"/>
  <c r="DI168" i="14"/>
  <c r="DI108" i="14"/>
  <c r="BZ307" i="14"/>
  <c r="BV293" i="14"/>
  <c r="BG293" i="14"/>
  <c r="AR277" i="14"/>
  <c r="CY332" i="14"/>
  <c r="AY328" i="14"/>
  <c r="AC307" i="14"/>
  <c r="AC317" i="14" s="1"/>
  <c r="AC331" i="14" s="1"/>
  <c r="AL280" i="14"/>
  <c r="AW280" i="14"/>
  <c r="AL271" i="14"/>
  <c r="CO268" i="14"/>
  <c r="AH265" i="14"/>
  <c r="AB261" i="14"/>
  <c r="DI253" i="14"/>
  <c r="DI246" i="14"/>
  <c r="BA242" i="14"/>
  <c r="BA230" i="14"/>
  <c r="DI202" i="14"/>
  <c r="DI200" i="14"/>
  <c r="AZ195" i="14"/>
  <c r="DI191" i="14"/>
  <c r="DI181" i="14"/>
  <c r="AZ177" i="14"/>
  <c r="CM163" i="14"/>
  <c r="CN163" i="14" s="1"/>
  <c r="BE159" i="14"/>
  <c r="DI140" i="14"/>
  <c r="DI135" i="14"/>
  <c r="CM119" i="14"/>
  <c r="DI98" i="14"/>
  <c r="DI96" i="14"/>
  <c r="DI71" i="14"/>
  <c r="DI68" i="14"/>
  <c r="BA57" i="14"/>
  <c r="DI53" i="14"/>
  <c r="DI34" i="14"/>
  <c r="DI23" i="14"/>
  <c r="DI19" i="14"/>
  <c r="DI165" i="14"/>
  <c r="DI51" i="14"/>
  <c r="DI15" i="14"/>
  <c r="AR266" i="14"/>
  <c r="DI149" i="14"/>
  <c r="DI234" i="14"/>
  <c r="DI233" i="14"/>
  <c r="CG327" i="14"/>
  <c r="CG328" i="14" s="1"/>
  <c r="CG271" i="14"/>
  <c r="W266" i="14"/>
  <c r="DJ204" i="14"/>
  <c r="DJ200" i="14"/>
  <c r="DJ181" i="14"/>
  <c r="DJ194" i="14"/>
  <c r="DJ155" i="14"/>
  <c r="DJ124" i="14"/>
  <c r="DJ107" i="14"/>
  <c r="DJ75" i="14"/>
  <c r="DJ63" i="14"/>
  <c r="DJ62" i="14"/>
  <c r="DJ71" i="14"/>
  <c r="DJ70" i="14"/>
  <c r="DJ67" i="14"/>
  <c r="DJ66" i="14"/>
  <c r="DJ37" i="14"/>
  <c r="DJ36" i="14"/>
  <c r="DJ35" i="14"/>
  <c r="DJ30" i="14"/>
  <c r="DJ29" i="14"/>
  <c r="DJ26" i="14"/>
  <c r="DJ13" i="14"/>
  <c r="DJ12" i="14"/>
  <c r="DI45" i="14"/>
  <c r="AW50" i="14"/>
  <c r="AZ20" i="14"/>
  <c r="DI10" i="14"/>
  <c r="AX8" i="14"/>
  <c r="BL267" i="14"/>
  <c r="P267" i="14" s="1"/>
  <c r="AR271" i="14"/>
  <c r="AR267" i="14"/>
  <c r="AZ242" i="14"/>
  <c r="DI210" i="14"/>
  <c r="AW206" i="14"/>
  <c r="DI197" i="14"/>
  <c r="AW199" i="14"/>
  <c r="AW198" i="14"/>
  <c r="AW191" i="14"/>
  <c r="AX261" i="14"/>
  <c r="DI170" i="14"/>
  <c r="AW175" i="14"/>
  <c r="AW174" i="14"/>
  <c r="DI129" i="14"/>
  <c r="AW127" i="14"/>
  <c r="AZ94" i="14"/>
  <c r="AR261" i="14"/>
  <c r="AW106" i="14"/>
  <c r="AW104" i="14"/>
  <c r="AZ57" i="14"/>
  <c r="AY57" i="14"/>
  <c r="CG312" i="14"/>
  <c r="AS293" i="14"/>
  <c r="AL289" i="14"/>
  <c r="CO277" i="14"/>
  <c r="DI244" i="14"/>
  <c r="DI241" i="14"/>
  <c r="DJ161" i="14"/>
  <c r="CI158" i="14"/>
  <c r="CG158" i="14" s="1"/>
  <c r="BL158" i="14"/>
  <c r="DI158" i="14" s="1"/>
  <c r="DJ133" i="14"/>
  <c r="BO57" i="14"/>
  <c r="BL76" i="14"/>
  <c r="DI76" i="14" s="1"/>
  <c r="CH328" i="14"/>
  <c r="Y307" i="14"/>
  <c r="Y317" i="14" s="1"/>
  <c r="Y331" i="14" s="1"/>
  <c r="AW303" i="14"/>
  <c r="BL296" i="14"/>
  <c r="P296" i="14" s="1"/>
  <c r="CV296" i="14"/>
  <c r="BB289" i="14"/>
  <c r="AX286" i="14"/>
  <c r="AB286" i="14"/>
  <c r="AB280" i="14"/>
  <c r="CT271" i="14"/>
  <c r="CC268" i="14"/>
  <c r="CC267" i="14"/>
  <c r="CP265" i="14"/>
  <c r="DJ257" i="14"/>
  <c r="DJ256" i="14"/>
  <c r="AW256" i="14"/>
  <c r="BL255" i="14"/>
  <c r="DI255" i="14" s="1"/>
  <c r="AW244" i="14"/>
  <c r="DI243" i="14"/>
  <c r="AW222" i="14"/>
  <c r="DJ214" i="14"/>
  <c r="DJ212" i="14"/>
  <c r="DJ211" i="14"/>
  <c r="DJ205" i="14"/>
  <c r="DJ121" i="14"/>
  <c r="CE120" i="14"/>
  <c r="DJ120" i="14"/>
  <c r="DI97" i="14"/>
  <c r="DJ88" i="14"/>
  <c r="CD15" i="14"/>
  <c r="CB15" i="14" s="1"/>
  <c r="CA15" i="14" s="1"/>
  <c r="AR314" i="14"/>
  <c r="AG283" i="14"/>
  <c r="BA159" i="14"/>
  <c r="CD307" i="14"/>
  <c r="AB277" i="14"/>
  <c r="CB274" i="14"/>
  <c r="CA274" i="14" s="1"/>
  <c r="DI201" i="14"/>
  <c r="AZ159" i="14"/>
  <c r="X307" i="14"/>
  <c r="X317" i="14" s="1"/>
  <c r="BN307" i="14"/>
  <c r="BN317" i="14" s="1"/>
  <c r="CC290" i="14"/>
  <c r="CB290" i="14" s="1"/>
  <c r="CA290" i="14" s="1"/>
  <c r="BL286" i="14"/>
  <c r="CT277" i="14"/>
  <c r="CT274" i="14"/>
  <c r="AR274" i="14"/>
  <c r="W274" i="14"/>
  <c r="BL271" i="14"/>
  <c r="CC271" i="14"/>
  <c r="BL268" i="14"/>
  <c r="AC265" i="14"/>
  <c r="AZ261" i="14"/>
  <c r="BA220" i="14"/>
  <c r="DJ216" i="14"/>
  <c r="AW186" i="14"/>
  <c r="AY158" i="14"/>
  <c r="AW158" i="14" s="1"/>
  <c r="AR158" i="14"/>
  <c r="DJ157" i="14"/>
  <c r="AY154" i="14"/>
  <c r="AR154" i="14"/>
  <c r="BA151" i="14"/>
  <c r="DI148" i="14"/>
  <c r="DJ147" i="14"/>
  <c r="DJ103" i="14"/>
  <c r="DJ102" i="14"/>
  <c r="AR42" i="14"/>
  <c r="AR39" i="14" s="1"/>
  <c r="AY42" i="14"/>
  <c r="AW42" i="14" s="1"/>
  <c r="DI21" i="14"/>
  <c r="AZ203" i="14"/>
  <c r="DJ196" i="14"/>
  <c r="DI196" i="14"/>
  <c r="DJ184" i="14"/>
  <c r="DJ178" i="14"/>
  <c r="BA177" i="14"/>
  <c r="DJ165" i="14"/>
  <c r="DJ164" i="14"/>
  <c r="AY151" i="14"/>
  <c r="DI138" i="14"/>
  <c r="AZ137" i="14"/>
  <c r="BG128" i="14"/>
  <c r="DI126" i="14"/>
  <c r="AW120" i="14"/>
  <c r="DJ115" i="14"/>
  <c r="DI113" i="14"/>
  <c r="AW98" i="14"/>
  <c r="DJ82" i="14"/>
  <c r="AW81" i="14"/>
  <c r="DI67" i="14"/>
  <c r="AY55" i="14"/>
  <c r="DI52" i="14"/>
  <c r="DI50" i="14"/>
  <c r="DJ41" i="14"/>
  <c r="DI41" i="14"/>
  <c r="AZ39" i="14"/>
  <c r="AX39" i="14"/>
  <c r="DJ32" i="14"/>
  <c r="DJ31" i="14"/>
  <c r="DI24" i="14"/>
  <c r="DJ23" i="14"/>
  <c r="AW22" i="14"/>
  <c r="CM21" i="14"/>
  <c r="CN21" i="14" s="1"/>
  <c r="AY20" i="14"/>
  <c r="DI18" i="14"/>
  <c r="DJ17" i="14"/>
  <c r="DJ16" i="14"/>
  <c r="AW14" i="14"/>
  <c r="AW13" i="14"/>
  <c r="AG8" i="14"/>
  <c r="AW254" i="14"/>
  <c r="AW239" i="14"/>
  <c r="DJ238" i="14"/>
  <c r="DJ237" i="14"/>
  <c r="DJ236" i="14"/>
  <c r="DJ235" i="14"/>
  <c r="DJ234" i="14"/>
  <c r="DI228" i="14"/>
  <c r="DI224" i="14"/>
  <c r="DI222" i="14"/>
  <c r="AZ220" i="14"/>
  <c r="DI219" i="14"/>
  <c r="DJ217" i="14"/>
  <c r="DI209" i="14"/>
  <c r="DI208" i="14"/>
  <c r="AW207" i="14"/>
  <c r="AY203" i="14"/>
  <c r="AY195" i="14"/>
  <c r="DI193" i="14"/>
  <c r="AW184" i="14"/>
  <c r="DI175" i="14"/>
  <c r="DJ174" i="14"/>
  <c r="AW173" i="14"/>
  <c r="DI172" i="14"/>
  <c r="DI171" i="14"/>
  <c r="DJ170" i="14"/>
  <c r="DJ169" i="14"/>
  <c r="DI169" i="14"/>
  <c r="AW169" i="14"/>
  <c r="DJ168" i="14"/>
  <c r="CM156" i="14"/>
  <c r="CN156" i="14" s="1"/>
  <c r="DJ153" i="14"/>
  <c r="DI153" i="14"/>
  <c r="AZ151" i="14"/>
  <c r="DJ148" i="14"/>
  <c r="DJ141" i="14"/>
  <c r="DJ140" i="14"/>
  <c r="BA261" i="14"/>
  <c r="DJ136" i="14"/>
  <c r="DI132" i="14"/>
  <c r="DI130" i="14"/>
  <c r="DI124" i="14"/>
  <c r="AW103" i="14"/>
  <c r="DJ101" i="14"/>
  <c r="DJ100" i="14"/>
  <c r="DJ97" i="14"/>
  <c r="DI78" i="14"/>
  <c r="DI70" i="14"/>
  <c r="AW68" i="14"/>
  <c r="BB54" i="14"/>
  <c r="AW47" i="14"/>
  <c r="DJ46" i="14"/>
  <c r="AW45" i="14"/>
  <c r="DJ38" i="14"/>
  <c r="AW32" i="14"/>
  <c r="CY31" i="14"/>
  <c r="AW15" i="14"/>
  <c r="BA8" i="14"/>
  <c r="DI62" i="14"/>
  <c r="DI58" i="14"/>
  <c r="DI38" i="14"/>
  <c r="DI27" i="14"/>
  <c r="AW19" i="14"/>
  <c r="DJ18" i="14"/>
  <c r="CC293" i="14"/>
  <c r="CH283" i="14"/>
  <c r="CC283" i="14"/>
  <c r="DJ162" i="14"/>
  <c r="DI239" i="14"/>
  <c r="DJ14" i="14"/>
  <c r="CB257" i="14"/>
  <c r="CA257" i="14" s="1"/>
  <c r="AW213" i="14"/>
  <c r="DJ84" i="14"/>
  <c r="DI227" i="14"/>
  <c r="CI296" i="14"/>
  <c r="CI307" i="14"/>
  <c r="CI317" i="14" s="1"/>
  <c r="CI331" i="14" s="1"/>
  <c r="AB268" i="14"/>
  <c r="AB230" i="14"/>
  <c r="AB296" i="14"/>
  <c r="BM274" i="14"/>
  <c r="CH274" i="14" s="1"/>
  <c r="CH275" i="14"/>
  <c r="CG275" i="14" s="1"/>
  <c r="CG274" i="14" s="1"/>
  <c r="CB268" i="14"/>
  <c r="CA268" i="14" s="1"/>
  <c r="AR268" i="14"/>
  <c r="CH268" i="14"/>
  <c r="CO261" i="14"/>
  <c r="CB252" i="14"/>
  <c r="CA252" i="14" s="1"/>
  <c r="CC239" i="14"/>
  <c r="CB239" i="14" s="1"/>
  <c r="CA239" i="14" s="1"/>
  <c r="AW238" i="14"/>
  <c r="AW237" i="14"/>
  <c r="AW236" i="14"/>
  <c r="AW235" i="14"/>
  <c r="CO332" i="14"/>
  <c r="DG330" i="14"/>
  <c r="BB314" i="14"/>
  <c r="BB296" i="14"/>
  <c r="AY297" i="14"/>
  <c r="AY307" i="14" s="1"/>
  <c r="AY317" i="14" s="1"/>
  <c r="AY331" i="14" s="1"/>
  <c r="AT307" i="14"/>
  <c r="AT317" i="14" s="1"/>
  <c r="AT331" i="14" s="1"/>
  <c r="AL286" i="14"/>
  <c r="CC274" i="14"/>
  <c r="W271" i="14"/>
  <c r="CO267" i="14"/>
  <c r="BB267" i="14"/>
  <c r="CP307" i="14"/>
  <c r="CO293" i="14"/>
  <c r="AX266" i="14"/>
  <c r="AW266" i="14" s="1"/>
  <c r="AS265" i="14"/>
  <c r="AX265" i="14" s="1"/>
  <c r="AW265" i="14" s="1"/>
  <c r="DI257" i="14"/>
  <c r="DI247" i="14"/>
  <c r="CG245" i="14"/>
  <c r="AB220" i="14"/>
  <c r="CB296" i="14"/>
  <c r="CA296" i="14" s="1"/>
  <c r="CA297" i="14"/>
  <c r="AW268" i="14"/>
  <c r="CV307" i="14"/>
  <c r="AL296" i="14"/>
  <c r="BG268" i="14"/>
  <c r="W268" i="14"/>
  <c r="BB261" i="14"/>
  <c r="CB253" i="14"/>
  <c r="CA253" i="14" s="1"/>
  <c r="AW300" i="14"/>
  <c r="AW299" i="14"/>
  <c r="CO296" i="14"/>
  <c r="CD296" i="14"/>
  <c r="BI296" i="14"/>
  <c r="BI307" i="14"/>
  <c r="BI317" i="14" s="1"/>
  <c r="BI331" i="14" s="1"/>
  <c r="AH293" i="14"/>
  <c r="AH307" i="14" s="1"/>
  <c r="AX289" i="14"/>
  <c r="BL283" i="14"/>
  <c r="AB283" i="14"/>
  <c r="AX283" i="14"/>
  <c r="BG280" i="14"/>
  <c r="AL293" i="14"/>
  <c r="AM307" i="14"/>
  <c r="AM317" i="14" s="1"/>
  <c r="CU265" i="14"/>
  <c r="AW247" i="14"/>
  <c r="W230" i="14"/>
  <c r="DJ206" i="14"/>
  <c r="CO203" i="14"/>
  <c r="BG195" i="14"/>
  <c r="AG195" i="14"/>
  <c r="AW193" i="14"/>
  <c r="AT128" i="14"/>
  <c r="CI123" i="14"/>
  <c r="CG123" i="14" s="1"/>
  <c r="BL123" i="14"/>
  <c r="DI123" i="14" s="1"/>
  <c r="CD64" i="14"/>
  <c r="CB64" i="14" s="1"/>
  <c r="CA64" i="14" s="1"/>
  <c r="DJ64" i="14"/>
  <c r="AW302" i="14"/>
  <c r="W296" i="14"/>
  <c r="BG289" i="14"/>
  <c r="CT289" i="14"/>
  <c r="CH290" i="14"/>
  <c r="CG290" i="14" s="1"/>
  <c r="CG289" i="14" s="1"/>
  <c r="BB286" i="14"/>
  <c r="AG286" i="14"/>
  <c r="AL283" i="14"/>
  <c r="CT283" i="14"/>
  <c r="BG283" i="14"/>
  <c r="AR283" i="14"/>
  <c r="W283" i="14"/>
  <c r="CO280" i="14"/>
  <c r="BB280" i="14"/>
  <c r="AL277" i="14"/>
  <c r="BB277" i="14"/>
  <c r="AG277" i="14"/>
  <c r="CH277" i="14"/>
  <c r="CO274" i="14"/>
  <c r="BB274" i="14"/>
  <c r="AX274" i="14"/>
  <c r="BG271" i="14"/>
  <c r="BB271" i="14"/>
  <c r="AG271" i="14"/>
  <c r="BC268" i="14"/>
  <c r="BH265" i="14"/>
  <c r="BL261" i="14"/>
  <c r="P261" i="14" s="1"/>
  <c r="AG261" i="14"/>
  <c r="DI250" i="14"/>
  <c r="DI249" i="14"/>
  <c r="AB242" i="14"/>
  <c r="DJ244" i="14"/>
  <c r="DJ241" i="14"/>
  <c r="AW241" i="14"/>
  <c r="DJ231" i="14"/>
  <c r="DI226" i="14"/>
  <c r="DI225" i="14"/>
  <c r="AW225" i="14"/>
  <c r="DJ224" i="14"/>
  <c r="DJ222" i="14"/>
  <c r="AL220" i="14"/>
  <c r="AW216" i="14"/>
  <c r="DI213" i="14"/>
  <c r="DJ209" i="14"/>
  <c r="DJ202" i="14"/>
  <c r="DI198" i="14"/>
  <c r="DJ197" i="14"/>
  <c r="DJ192" i="14"/>
  <c r="DI190" i="14"/>
  <c r="DI189" i="14"/>
  <c r="DJ188" i="14"/>
  <c r="DI188" i="14"/>
  <c r="DI186" i="14"/>
  <c r="BB184" i="14"/>
  <c r="DI179" i="14"/>
  <c r="AY171" i="14"/>
  <c r="AW171" i="14" s="1"/>
  <c r="AW164" i="14"/>
  <c r="CD158" i="14"/>
  <c r="CB158" i="14" s="1"/>
  <c r="CA158" i="14" s="1"/>
  <c r="DJ158" i="14"/>
  <c r="AY156" i="14"/>
  <c r="AW156" i="14" s="1"/>
  <c r="AW153" i="14"/>
  <c r="DI152" i="14"/>
  <c r="DI150" i="14"/>
  <c r="AW150" i="14"/>
  <c r="DI147" i="14"/>
  <c r="DJ144" i="14"/>
  <c r="AW141" i="14"/>
  <c r="AW140" i="14"/>
  <c r="AW139" i="14"/>
  <c r="CD138" i="14"/>
  <c r="CB138" i="14" s="1"/>
  <c r="BA137" i="14"/>
  <c r="DI136" i="14"/>
  <c r="AW136" i="14"/>
  <c r="AR136" i="14"/>
  <c r="AY132" i="14"/>
  <c r="AW132" i="14" s="1"/>
  <c r="AY131" i="14"/>
  <c r="AW131" i="14" s="1"/>
  <c r="DJ130" i="14"/>
  <c r="BB124" i="14"/>
  <c r="AY115" i="14"/>
  <c r="AY114" i="14" s="1"/>
  <c r="AR115" i="14"/>
  <c r="AU94" i="14"/>
  <c r="AR112" i="14"/>
  <c r="AZ112" i="14"/>
  <c r="AW112" i="14" s="1"/>
  <c r="BB84" i="14"/>
  <c r="CM84" i="14" s="1"/>
  <c r="BD79" i="14"/>
  <c r="AB79" i="14"/>
  <c r="CM62" i="14"/>
  <c r="CN62" i="14" s="1"/>
  <c r="CD19" i="14"/>
  <c r="CB19" i="14" s="1"/>
  <c r="CA19" i="14" s="1"/>
  <c r="AW234" i="14"/>
  <c r="AW227" i="14"/>
  <c r="AW226" i="14"/>
  <c r="AW224" i="14"/>
  <c r="W220" i="14"/>
  <c r="DJ213" i="14"/>
  <c r="DI211" i="14"/>
  <c r="DI206" i="14"/>
  <c r="CM198" i="14"/>
  <c r="CN198" i="14" s="1"/>
  <c r="AW201" i="14"/>
  <c r="CO195" i="14"/>
  <c r="AR195" i="14"/>
  <c r="AW194" i="14"/>
  <c r="DJ190" i="14"/>
  <c r="AW189" i="14"/>
  <c r="AW182" i="14"/>
  <c r="W177" i="14"/>
  <c r="DI178" i="14"/>
  <c r="AT159" i="14"/>
  <c r="DI167" i="14"/>
  <c r="DI156" i="14"/>
  <c r="BB155" i="14"/>
  <c r="CM158" i="14" s="1"/>
  <c r="CN158" i="14" s="1"/>
  <c r="BD151" i="14"/>
  <c r="CD154" i="14"/>
  <c r="DJ154" i="14"/>
  <c r="AW135" i="14"/>
  <c r="AR131" i="14"/>
  <c r="AR128" i="14" s="1"/>
  <c r="CD123" i="14"/>
  <c r="W94" i="14"/>
  <c r="CT332" i="14"/>
  <c r="CO317" i="14"/>
  <c r="AY314" i="14"/>
  <c r="CQ296" i="14"/>
  <c r="CG296" i="14"/>
  <c r="BN296" i="14"/>
  <c r="BD296" i="14"/>
  <c r="AN296" i="14"/>
  <c r="CO289" i="14"/>
  <c r="AR286" i="14"/>
  <c r="W286" i="14"/>
  <c r="CO283" i="14"/>
  <c r="CH267" i="14"/>
  <c r="AW274" i="14"/>
  <c r="AG267" i="14"/>
  <c r="CO271" i="14"/>
  <c r="AW271" i="14"/>
  <c r="AB271" i="14"/>
  <c r="AX268" i="14"/>
  <c r="CG259" i="14"/>
  <c r="AW259" i="14"/>
  <c r="AW257" i="14"/>
  <c r="DI254" i="14"/>
  <c r="AW253" i="14"/>
  <c r="DJ252" i="14"/>
  <c r="AW252" i="14"/>
  <c r="AW251" i="14"/>
  <c r="AW250" i="14"/>
  <c r="W242" i="14"/>
  <c r="AW245" i="14"/>
  <c r="AY230" i="14"/>
  <c r="AG230" i="14"/>
  <c r="CD229" i="14"/>
  <c r="CB229" i="14" s="1"/>
  <c r="CA229" i="14" s="1"/>
  <c r="DJ229" i="14"/>
  <c r="AW229" i="14"/>
  <c r="BD220" i="14"/>
  <c r="AG220" i="14"/>
  <c r="AW219" i="14"/>
  <c r="DI218" i="14"/>
  <c r="AW218" i="14"/>
  <c r="DI216" i="14"/>
  <c r="AW208" i="14"/>
  <c r="DJ183" i="14"/>
  <c r="DI174" i="14"/>
  <c r="DI173" i="14"/>
  <c r="DJ172" i="14"/>
  <c r="AW172" i="14"/>
  <c r="DJ171" i="14"/>
  <c r="AY168" i="14"/>
  <c r="AW168" i="14" s="1"/>
  <c r="DI162" i="14"/>
  <c r="DI161" i="14"/>
  <c r="DI157" i="14"/>
  <c r="CD156" i="14"/>
  <c r="CB156" i="14" s="1"/>
  <c r="CA156" i="14" s="1"/>
  <c r="DJ156" i="14"/>
  <c r="DI155" i="14"/>
  <c r="AW155" i="14"/>
  <c r="CI154" i="14"/>
  <c r="CG154" i="14" s="1"/>
  <c r="AW154" i="14"/>
  <c r="CO151" i="14"/>
  <c r="AW147" i="14"/>
  <c r="DI141" i="14"/>
  <c r="AG137" i="14"/>
  <c r="DJ135" i="14"/>
  <c r="AY134" i="14"/>
  <c r="AW134" i="14" s="1"/>
  <c r="DJ127" i="14"/>
  <c r="CD108" i="14"/>
  <c r="CD94" i="14" s="1"/>
  <c r="X94" i="14"/>
  <c r="CD90" i="14"/>
  <c r="CB90" i="14" s="1"/>
  <c r="CA90" i="14" s="1"/>
  <c r="CO20" i="14"/>
  <c r="DA261" i="14"/>
  <c r="CD120" i="14"/>
  <c r="AW119" i="14"/>
  <c r="DI118" i="14"/>
  <c r="AW118" i="14"/>
  <c r="DI117" i="14"/>
  <c r="DI116" i="14"/>
  <c r="AW116" i="14"/>
  <c r="AG114" i="14"/>
  <c r="DJ113" i="14"/>
  <c r="AW111" i="14"/>
  <c r="AW110" i="14"/>
  <c r="DJ106" i="14"/>
  <c r="DJ105" i="14"/>
  <c r="AW105" i="14"/>
  <c r="DJ104" i="14"/>
  <c r="AB94" i="14"/>
  <c r="DJ96" i="14"/>
  <c r="DI65" i="14"/>
  <c r="DI32" i="14"/>
  <c r="DI26" i="14"/>
  <c r="AW18" i="14"/>
  <c r="AW17" i="14"/>
  <c r="DJ15" i="14"/>
  <c r="BN8" i="14"/>
  <c r="BL6" i="14"/>
  <c r="DI6" i="14"/>
  <c r="BA128" i="14"/>
  <c r="AW126" i="14"/>
  <c r="DI125" i="14"/>
  <c r="AW125" i="14"/>
  <c r="AW123" i="14"/>
  <c r="AW113" i="14"/>
  <c r="DJ109" i="14"/>
  <c r="DI99" i="14"/>
  <c r="DJ98" i="14"/>
  <c r="BA94" i="14"/>
  <c r="DJ92" i="14"/>
  <c r="DJ91" i="14"/>
  <c r="DI91" i="14"/>
  <c r="DI85" i="14"/>
  <c r="AW85" i="14"/>
  <c r="BE79" i="14"/>
  <c r="DI81" i="14"/>
  <c r="AW78" i="14"/>
  <c r="DI69" i="14"/>
  <c r="AW64" i="14"/>
  <c r="AW55" i="14"/>
  <c r="AW54" i="14"/>
  <c r="AE258" i="14"/>
  <c r="AE260" i="14" s="1"/>
  <c r="AE264" i="14" s="1"/>
  <c r="AE292" i="14" s="1"/>
  <c r="AE306" i="14" s="1"/>
  <c r="CG33" i="14"/>
  <c r="DJ27" i="14"/>
  <c r="CN26" i="14"/>
  <c r="AW26" i="14"/>
  <c r="DI14" i="14"/>
  <c r="DI13" i="14"/>
  <c r="BZ258" i="14"/>
  <c r="BZ260" i="14" s="1"/>
  <c r="BZ262" i="14" s="1"/>
  <c r="AV258" i="14"/>
  <c r="AV260" i="14" s="1"/>
  <c r="CD157" i="14"/>
  <c r="CB157" i="14" s="1"/>
  <c r="CA157" i="14" s="1"/>
  <c r="W151" i="14"/>
  <c r="CG150" i="14"/>
  <c r="DJ150" i="14"/>
  <c r="DJ149" i="14"/>
  <c r="AW149" i="14"/>
  <c r="CB148" i="14"/>
  <c r="CA148" i="14" s="1"/>
  <c r="DI142" i="14"/>
  <c r="DJ139" i="14"/>
  <c r="DI139" i="14"/>
  <c r="AX137" i="14"/>
  <c r="AL128" i="14"/>
  <c r="AW133" i="14"/>
  <c r="CM131" i="14"/>
  <c r="CN131" i="14" s="1"/>
  <c r="AW130" i="14"/>
  <c r="AW124" i="14"/>
  <c r="DJ122" i="14"/>
  <c r="AW122" i="14"/>
  <c r="DI119" i="14"/>
  <c r="DJ118" i="14"/>
  <c r="DJ117" i="14"/>
  <c r="AW117" i="14"/>
  <c r="DJ116" i="14"/>
  <c r="DI111" i="14"/>
  <c r="DI110" i="14"/>
  <c r="DI109" i="14"/>
  <c r="DI102" i="14"/>
  <c r="AW102" i="14"/>
  <c r="BG79" i="14"/>
  <c r="DI86" i="14"/>
  <c r="CO79" i="14"/>
  <c r="AY79" i="14"/>
  <c r="DI74" i="14"/>
  <c r="AW74" i="14"/>
  <c r="DI66" i="14"/>
  <c r="CI65" i="14"/>
  <c r="CG65" i="14" s="1"/>
  <c r="DJ65" i="14"/>
  <c r="AY65" i="14"/>
  <c r="AW65" i="14" s="1"/>
  <c r="AR65" i="14"/>
  <c r="AW63" i="14"/>
  <c r="CG62" i="14"/>
  <c r="DI61" i="14"/>
  <c r="DI60" i="14"/>
  <c r="DI47" i="14"/>
  <c r="CE43" i="14"/>
  <c r="CE39" i="14" s="1"/>
  <c r="DI35" i="14"/>
  <c r="AW35" i="14"/>
  <c r="CY30" i="14"/>
  <c r="DI30" i="14"/>
  <c r="DJ25" i="14"/>
  <c r="AW16" i="14"/>
  <c r="CE11" i="14"/>
  <c r="CE8" i="14" s="1"/>
  <c r="AW100" i="14"/>
  <c r="DJ99" i="14"/>
  <c r="AW99" i="14"/>
  <c r="AW96" i="14"/>
  <c r="DJ93" i="14"/>
  <c r="AW92" i="14"/>
  <c r="BB90" i="14"/>
  <c r="DI89" i="14"/>
  <c r="DJ87" i="14"/>
  <c r="AW87" i="14"/>
  <c r="AW86" i="14"/>
  <c r="DI84" i="14"/>
  <c r="AW84" i="14"/>
  <c r="DJ83" i="14"/>
  <c r="DI83" i="14"/>
  <c r="AX82" i="14"/>
  <c r="AW82" i="14" s="1"/>
  <c r="DJ81" i="14"/>
  <c r="DJ80" i="14"/>
  <c r="BA79" i="14"/>
  <c r="DJ78" i="14"/>
  <c r="DJ77" i="14"/>
  <c r="AW77" i="14"/>
  <c r="DJ73" i="14"/>
  <c r="DJ72" i="14"/>
  <c r="DI72" i="14"/>
  <c r="AW70" i="14"/>
  <c r="DJ59" i="14"/>
  <c r="AW59" i="14"/>
  <c r="DJ54" i="14"/>
  <c r="AW52" i="14"/>
  <c r="AW51" i="14"/>
  <c r="DJ48" i="14"/>
  <c r="AW48" i="14"/>
  <c r="BG39" i="14"/>
  <c r="DI46" i="14"/>
  <c r="DJ45" i="14"/>
  <c r="DJ43" i="14"/>
  <c r="DJ42" i="14"/>
  <c r="BA39" i="14"/>
  <c r="DI37" i="14"/>
  <c r="DI29" i="14"/>
  <c r="DJ28" i="14"/>
  <c r="AW28" i="14"/>
  <c r="AW25" i="14"/>
  <c r="DJ22" i="14"/>
  <c r="AB8" i="14"/>
  <c r="DI88" i="14"/>
  <c r="AW88" i="14"/>
  <c r="DI87" i="14"/>
  <c r="DJ86" i="14"/>
  <c r="DJ85" i="14"/>
  <c r="DI77" i="14"/>
  <c r="DI75" i="14"/>
  <c r="AW75" i="14"/>
  <c r="DJ74" i="14"/>
  <c r="DJ69" i="14"/>
  <c r="W57" i="14"/>
  <c r="DJ61" i="14"/>
  <c r="AW61" i="14"/>
  <c r="DJ60" i="14"/>
  <c r="AW60" i="14"/>
  <c r="AX57" i="14"/>
  <c r="DJ56" i="14"/>
  <c r="AW56" i="14"/>
  <c r="DI55" i="14"/>
  <c r="AW46" i="14"/>
  <c r="DJ44" i="14"/>
  <c r="AW44" i="14"/>
  <c r="AW43" i="14"/>
  <c r="DI36" i="14"/>
  <c r="DI31" i="14"/>
  <c r="AW29" i="14"/>
  <c r="DI28" i="14"/>
  <c r="DJ24" i="14"/>
  <c r="AW24" i="14"/>
  <c r="AW21" i="14"/>
  <c r="DJ19" i="14"/>
  <c r="DI17" i="14"/>
  <c r="DI16" i="14"/>
  <c r="CM12" i="14"/>
  <c r="CN12" i="14" s="1"/>
  <c r="AW12" i="14"/>
  <c r="AZ8" i="14"/>
  <c r="AL8" i="14"/>
  <c r="BJ258" i="14"/>
  <c r="BJ260" i="14" s="1"/>
  <c r="BJ264" i="14" s="1"/>
  <c r="BJ292" i="14" s="1"/>
  <c r="CG194" i="14"/>
  <c r="CY190" i="14"/>
  <c r="CY189" i="14"/>
  <c r="CB189" i="14"/>
  <c r="CA189" i="14" s="1"/>
  <c r="CB188" i="14"/>
  <c r="CA188" i="14" s="1"/>
  <c r="Z258" i="14"/>
  <c r="Z260" i="14" s="1"/>
  <c r="Z262" i="14" s="1"/>
  <c r="CK261" i="14"/>
  <c r="AK258" i="14"/>
  <c r="AK260" i="14" s="1"/>
  <c r="AK294" i="14" s="1"/>
  <c r="AK308" i="14" s="1"/>
  <c r="AK318" i="14" s="1"/>
  <c r="AK332" i="14" s="1"/>
  <c r="AP258" i="14"/>
  <c r="AP260" i="14" s="1"/>
  <c r="AP262" i="14" s="1"/>
  <c r="CE151" i="14"/>
  <c r="CC261" i="14"/>
  <c r="CJ195" i="14"/>
  <c r="CT293" i="14"/>
  <c r="CU307" i="14"/>
  <c r="CI314" i="14"/>
  <c r="CG286" i="14"/>
  <c r="CG311" i="14"/>
  <c r="CG208" i="14"/>
  <c r="CB206" i="14"/>
  <c r="CA206" i="14" s="1"/>
  <c r="CY205" i="14"/>
  <c r="CY38" i="14"/>
  <c r="CY34" i="14"/>
  <c r="CG283" i="14"/>
  <c r="CZ242" i="14"/>
  <c r="CZ261" i="14"/>
  <c r="CJ261" i="14"/>
  <c r="DE258" i="14"/>
  <c r="DE260" i="14" s="1"/>
  <c r="DE262" i="14" s="1"/>
  <c r="CY218" i="14"/>
  <c r="CB217" i="14"/>
  <c r="CA217" i="14" s="1"/>
  <c r="CY214" i="14"/>
  <c r="CG212" i="14"/>
  <c r="CB173" i="14"/>
  <c r="CA173" i="14" s="1"/>
  <c r="CG171" i="14"/>
  <c r="CB169" i="14"/>
  <c r="CA169" i="14" s="1"/>
  <c r="CG164" i="14"/>
  <c r="CF159" i="14"/>
  <c r="AD258" i="14"/>
  <c r="AD260" i="14" s="1"/>
  <c r="AD264" i="14" s="1"/>
  <c r="AD292" i="14" s="1"/>
  <c r="Y258" i="14"/>
  <c r="Y260" i="14" s="1"/>
  <c r="Y294" i="14" s="1"/>
  <c r="Y308" i="14" s="1"/>
  <c r="CB124" i="14"/>
  <c r="CA124" i="14" s="1"/>
  <c r="CY52" i="14"/>
  <c r="CY28" i="14"/>
  <c r="CB23" i="14"/>
  <c r="CA23" i="14" s="1"/>
  <c r="CB22" i="14"/>
  <c r="CA22" i="14" s="1"/>
  <c r="BK258" i="14"/>
  <c r="BK260" i="14" s="1"/>
  <c r="AO258" i="14"/>
  <c r="AO260" i="14" s="1"/>
  <c r="AO294" i="14" s="1"/>
  <c r="AO308" i="14" s="1"/>
  <c r="AO318" i="14" s="1"/>
  <c r="AO332" i="14" s="1"/>
  <c r="CY19" i="14"/>
  <c r="CB17" i="14"/>
  <c r="CA17" i="14" s="1"/>
  <c r="CB16" i="14"/>
  <c r="CA16" i="14" s="1"/>
  <c r="CY14" i="14"/>
  <c r="CB12" i="14"/>
  <c r="CA12" i="14" s="1"/>
  <c r="CS258" i="14"/>
  <c r="CS260" i="14" s="1"/>
  <c r="CS264" i="14" s="1"/>
  <c r="CS292" i="14" s="1"/>
  <c r="CK151" i="14"/>
  <c r="CY157" i="14"/>
  <c r="CY156" i="14"/>
  <c r="CG155" i="14"/>
  <c r="CY154" i="14"/>
  <c r="DC151" i="14"/>
  <c r="CY123" i="14"/>
  <c r="CY121" i="14"/>
  <c r="CY120" i="14"/>
  <c r="CY119" i="14"/>
  <c r="CY117" i="14"/>
  <c r="CY116" i="14"/>
  <c r="CD261" i="14"/>
  <c r="CY111" i="14"/>
  <c r="CY110" i="14"/>
  <c r="CY106" i="14"/>
  <c r="CG105" i="14"/>
  <c r="CG104" i="14"/>
  <c r="CY102" i="14"/>
  <c r="CB99" i="14"/>
  <c r="CA99" i="14" s="1"/>
  <c r="CG96" i="14"/>
  <c r="CY91" i="14"/>
  <c r="CG91" i="14"/>
  <c r="CB88" i="14"/>
  <c r="CA88" i="14" s="1"/>
  <c r="CB87" i="14"/>
  <c r="CA87" i="14" s="1"/>
  <c r="CB86" i="14"/>
  <c r="CA86" i="14" s="1"/>
  <c r="CY82" i="14"/>
  <c r="CB81" i="14"/>
  <c r="CA81" i="14" s="1"/>
  <c r="CG75" i="14"/>
  <c r="CY71" i="14"/>
  <c r="CY67" i="14"/>
  <c r="CY65" i="14"/>
  <c r="CY50" i="14"/>
  <c r="CG46" i="14"/>
  <c r="CG44" i="14"/>
  <c r="CY41" i="14"/>
  <c r="CB36" i="14"/>
  <c r="CA36" i="14" s="1"/>
  <c r="CT317" i="14"/>
  <c r="BP258" i="14"/>
  <c r="BP260" i="14" s="1"/>
  <c r="BP264" i="14" s="1"/>
  <c r="BP292" i="14" s="1"/>
  <c r="BP306" i="14" s="1"/>
  <c r="CG241" i="14"/>
  <c r="CF230" i="14"/>
  <c r="CG229" i="14"/>
  <c r="CB227" i="14"/>
  <c r="CA227" i="14" s="1"/>
  <c r="CB226" i="14"/>
  <c r="CA226" i="14" s="1"/>
  <c r="CG225" i="14"/>
  <c r="CG224" i="14"/>
  <c r="CG221" i="14"/>
  <c r="DG221" i="14" s="1"/>
  <c r="CG202" i="14"/>
  <c r="CG199" i="14"/>
  <c r="CF195" i="14"/>
  <c r="CG176" i="14"/>
  <c r="CY174" i="14"/>
  <c r="CY147" i="14"/>
  <c r="CB146" i="14"/>
  <c r="CA146" i="14" s="1"/>
  <c r="CB145" i="14"/>
  <c r="CA145" i="14" s="1"/>
  <c r="CG144" i="14"/>
  <c r="CB139" i="14"/>
  <c r="CA139" i="14" s="1"/>
  <c r="CB136" i="14"/>
  <c r="CA136" i="14" s="1"/>
  <c r="CG135" i="14"/>
  <c r="DG135" i="14" s="1"/>
  <c r="CY134" i="14"/>
  <c r="CG132" i="14"/>
  <c r="CG130" i="14"/>
  <c r="CG125" i="14"/>
  <c r="CY61" i="14"/>
  <c r="AH258" i="14"/>
  <c r="AH260" i="14" s="1"/>
  <c r="AH294" i="14" s="1"/>
  <c r="AH308" i="14" s="1"/>
  <c r="CY55" i="14"/>
  <c r="CG53" i="14"/>
  <c r="DG53" i="14" s="1"/>
  <c r="CG257" i="14"/>
  <c r="CY254" i="14"/>
  <c r="CG253" i="14"/>
  <c r="CG252" i="14"/>
  <c r="CB251" i="14"/>
  <c r="CA251" i="14" s="1"/>
  <c r="CG250" i="14"/>
  <c r="CG249" i="14"/>
  <c r="CY246" i="14"/>
  <c r="CB232" i="14"/>
  <c r="CA232" i="14" s="1"/>
  <c r="CG226" i="14"/>
  <c r="CY225" i="14"/>
  <c r="CB224" i="14"/>
  <c r="CA224" i="14" s="1"/>
  <c r="DA220" i="14"/>
  <c r="CK220" i="14"/>
  <c r="CY215" i="14"/>
  <c r="CY212" i="14"/>
  <c r="CY211" i="14"/>
  <c r="CG210" i="14"/>
  <c r="CB210" i="14"/>
  <c r="CA210" i="14" s="1"/>
  <c r="CG209" i="14"/>
  <c r="CW258" i="14"/>
  <c r="CW260" i="14" s="1"/>
  <c r="CW264" i="14" s="1"/>
  <c r="CW292" i="14" s="1"/>
  <c r="CB202" i="14"/>
  <c r="CA202" i="14" s="1"/>
  <c r="CY200" i="14"/>
  <c r="DB195" i="14"/>
  <c r="DC195" i="14"/>
  <c r="CY175" i="14"/>
  <c r="CG170" i="14"/>
  <c r="CY169" i="14"/>
  <c r="CY168" i="14"/>
  <c r="CY166" i="14"/>
  <c r="CY164" i="14"/>
  <c r="CY162" i="14"/>
  <c r="CY161" i="14"/>
  <c r="CG156" i="14"/>
  <c r="CY153" i="14"/>
  <c r="CC242" i="14"/>
  <c r="CQ258" i="14"/>
  <c r="CQ260" i="14" s="1"/>
  <c r="CQ264" i="14" s="1"/>
  <c r="CQ292" i="14" s="1"/>
  <c r="CF203" i="14"/>
  <c r="CF177" i="14"/>
  <c r="CF261" i="14"/>
  <c r="CY257" i="14"/>
  <c r="CY253" i="14"/>
  <c r="CY252" i="14"/>
  <c r="CG251" i="14"/>
  <c r="CG246" i="14"/>
  <c r="CY210" i="14"/>
  <c r="CY206" i="14"/>
  <c r="CG181" i="14"/>
  <c r="CG179" i="14"/>
  <c r="CY178" i="14"/>
  <c r="CE20" i="14"/>
  <c r="CK230" i="14"/>
  <c r="CK203" i="14"/>
  <c r="CX258" i="14"/>
  <c r="CX260" i="14" s="1"/>
  <c r="CX262" i="14" s="1"/>
  <c r="CG254" i="14"/>
  <c r="DG254" i="14" s="1"/>
  <c r="CF242" i="14"/>
  <c r="CB246" i="14"/>
  <c r="CA246" i="14" s="1"/>
  <c r="CJ230" i="14"/>
  <c r="DA230" i="14"/>
  <c r="DC230" i="14"/>
  <c r="CY226" i="14"/>
  <c r="CB222" i="14"/>
  <c r="CA222" i="14" s="1"/>
  <c r="CY217" i="14"/>
  <c r="CB213" i="14"/>
  <c r="CA213" i="14" s="1"/>
  <c r="CB209" i="14"/>
  <c r="CA209" i="14" s="1"/>
  <c r="CB205" i="14"/>
  <c r="CA205" i="14" s="1"/>
  <c r="CB191" i="14"/>
  <c r="CA191" i="14" s="1"/>
  <c r="CY188" i="14"/>
  <c r="DD258" i="14"/>
  <c r="DD260" i="14" s="1"/>
  <c r="DC20" i="14"/>
  <c r="CY251" i="14"/>
  <c r="CY240" i="14"/>
  <c r="CG238" i="14"/>
  <c r="CG237" i="14"/>
  <c r="CG236" i="14"/>
  <c r="CG235" i="14"/>
  <c r="CG234" i="14"/>
  <c r="CY229" i="14"/>
  <c r="CB225" i="14"/>
  <c r="CA225" i="14" s="1"/>
  <c r="CY224" i="14"/>
  <c r="CG214" i="14"/>
  <c r="CG211" i="14"/>
  <c r="CY207" i="14"/>
  <c r="DB203" i="14"/>
  <c r="CB204" i="14"/>
  <c r="CA204" i="14" s="1"/>
  <c r="BF258" i="14"/>
  <c r="BF260" i="14" s="1"/>
  <c r="CV258" i="14"/>
  <c r="CV260" i="14" s="1"/>
  <c r="CJ151" i="14"/>
  <c r="DB114" i="14"/>
  <c r="CG34" i="14"/>
  <c r="CG149" i="14"/>
  <c r="CY148" i="14"/>
  <c r="CB147" i="14"/>
  <c r="CA147" i="14" s="1"/>
  <c r="CY143" i="14"/>
  <c r="CY142" i="14"/>
  <c r="CG141" i="14"/>
  <c r="CY139" i="14"/>
  <c r="CY136" i="14"/>
  <c r="CF128" i="14"/>
  <c r="CE128" i="14"/>
  <c r="CG127" i="14"/>
  <c r="CB126" i="14"/>
  <c r="CA126" i="14" s="1"/>
  <c r="CG122" i="14"/>
  <c r="CG118" i="14"/>
  <c r="CB117" i="14"/>
  <c r="CA117" i="14" s="1"/>
  <c r="CB116" i="14"/>
  <c r="CA116" i="14" s="1"/>
  <c r="CY112" i="14"/>
  <c r="CB111" i="14"/>
  <c r="CA111" i="14" s="1"/>
  <c r="CB110" i="14"/>
  <c r="CA110" i="14" s="1"/>
  <c r="CY109" i="14"/>
  <c r="CY108" i="14"/>
  <c r="CB106" i="14"/>
  <c r="CA106" i="14" s="1"/>
  <c r="CY103" i="14"/>
  <c r="CB103" i="14"/>
  <c r="CA103" i="14" s="1"/>
  <c r="CB102" i="14"/>
  <c r="CA102" i="14" s="1"/>
  <c r="CY101" i="14"/>
  <c r="CY99" i="14"/>
  <c r="DA94" i="14"/>
  <c r="CG98" i="14"/>
  <c r="CB97" i="14"/>
  <c r="CA97" i="14" s="1"/>
  <c r="CY96" i="14"/>
  <c r="CY93" i="14"/>
  <c r="CY92" i="14"/>
  <c r="CB91" i="14"/>
  <c r="CA91" i="14" s="1"/>
  <c r="CY89" i="14"/>
  <c r="CY87" i="14"/>
  <c r="CY86" i="14"/>
  <c r="CY85" i="14"/>
  <c r="CY83" i="14"/>
  <c r="CY81" i="14"/>
  <c r="CG78" i="14"/>
  <c r="CG74" i="14"/>
  <c r="CG68" i="14"/>
  <c r="CB67" i="14"/>
  <c r="CA67" i="14" s="1"/>
  <c r="CY64" i="14"/>
  <c r="CY63" i="14"/>
  <c r="CY62" i="14"/>
  <c r="CB61" i="14"/>
  <c r="CA61" i="14" s="1"/>
  <c r="DB57" i="14"/>
  <c r="CG59" i="14"/>
  <c r="DG59" i="14" s="1"/>
  <c r="CY54" i="14"/>
  <c r="CB52" i="14"/>
  <c r="CA52" i="14" s="1"/>
  <c r="CB50" i="14"/>
  <c r="CA50" i="14" s="1"/>
  <c r="CB42" i="14"/>
  <c r="CA42" i="14" s="1"/>
  <c r="CB41" i="14"/>
  <c r="CA41" i="14" s="1"/>
  <c r="CY40" i="14"/>
  <c r="CB38" i="14"/>
  <c r="CA38" i="14" s="1"/>
  <c r="CY36" i="14"/>
  <c r="CB31" i="14"/>
  <c r="CA31" i="14" s="1"/>
  <c r="CB30" i="14"/>
  <c r="CA30" i="14" s="1"/>
  <c r="CG29" i="14"/>
  <c r="CB28" i="14"/>
  <c r="CA28" i="14" s="1"/>
  <c r="CY26" i="14"/>
  <c r="CB26" i="14"/>
  <c r="CA26" i="14" s="1"/>
  <c r="CY23" i="14"/>
  <c r="CY22" i="14"/>
  <c r="CY17" i="14"/>
  <c r="CY16" i="14"/>
  <c r="CY15" i="14"/>
  <c r="CB14" i="14"/>
  <c r="CA14" i="14" s="1"/>
  <c r="CG13" i="14"/>
  <c r="CY11" i="14"/>
  <c r="CY187" i="14"/>
  <c r="CY183" i="14"/>
  <c r="CB181" i="14"/>
  <c r="CA181" i="14" s="1"/>
  <c r="CY173" i="14"/>
  <c r="CY172" i="14"/>
  <c r="CY171" i="14"/>
  <c r="CG168" i="14"/>
  <c r="CB165" i="14"/>
  <c r="CA165" i="14" s="1"/>
  <c r="CG163" i="14"/>
  <c r="CG162" i="14"/>
  <c r="DG162" i="14" s="1"/>
  <c r="CG161" i="14"/>
  <c r="CY158" i="14"/>
  <c r="CY155" i="14"/>
  <c r="CB155" i="14"/>
  <c r="CA155" i="14" s="1"/>
  <c r="CB153" i="14"/>
  <c r="CA153" i="14" s="1"/>
  <c r="CC151" i="14"/>
  <c r="CB150" i="14"/>
  <c r="CA150" i="14" s="1"/>
  <c r="CY149" i="14"/>
  <c r="CG147" i="14"/>
  <c r="CY146" i="14"/>
  <c r="CY144" i="14"/>
  <c r="CB142" i="14"/>
  <c r="CA142" i="14" s="1"/>
  <c r="CY141" i="14"/>
  <c r="CG134" i="14"/>
  <c r="CB133" i="14"/>
  <c r="CA133" i="14" s="1"/>
  <c r="CB132" i="14"/>
  <c r="CA132" i="14" s="1"/>
  <c r="CJ128" i="14"/>
  <c r="CB130" i="14"/>
  <c r="CA130" i="14" s="1"/>
  <c r="CY127" i="14"/>
  <c r="CG126" i="14"/>
  <c r="CB125" i="14"/>
  <c r="CA125" i="14" s="1"/>
  <c r="CY122" i="14"/>
  <c r="CB121" i="14"/>
  <c r="CA121" i="14" s="1"/>
  <c r="CG117" i="14"/>
  <c r="CG116" i="14"/>
  <c r="CG115" i="14"/>
  <c r="CB112" i="14"/>
  <c r="CA112" i="14" s="1"/>
  <c r="CG111" i="14"/>
  <c r="CG106" i="14"/>
  <c r="CB105" i="14"/>
  <c r="CA105" i="14" s="1"/>
  <c r="CB104" i="14"/>
  <c r="CA104" i="14" s="1"/>
  <c r="CY98" i="14"/>
  <c r="CG97" i="14"/>
  <c r="CY95" i="14"/>
  <c r="CB93" i="14"/>
  <c r="CA93" i="14" s="1"/>
  <c r="CY88" i="14"/>
  <c r="CG88" i="14"/>
  <c r="CB84" i="14"/>
  <c r="CA84" i="14" s="1"/>
  <c r="CK79" i="14"/>
  <c r="CG81" i="14"/>
  <c r="CY78" i="14"/>
  <c r="CY76" i="14"/>
  <c r="CB75" i="14"/>
  <c r="CA75" i="14" s="1"/>
  <c r="CY74" i="14"/>
  <c r="CG71" i="14"/>
  <c r="CB70" i="14"/>
  <c r="CA70" i="14" s="1"/>
  <c r="CB69" i="14"/>
  <c r="CA69" i="14" s="1"/>
  <c r="CB62" i="14"/>
  <c r="CA62" i="14" s="1"/>
  <c r="CG61" i="14"/>
  <c r="CB55" i="14"/>
  <c r="CA55" i="14" s="1"/>
  <c r="CG50" i="14"/>
  <c r="CG48" i="14"/>
  <c r="CY47" i="14"/>
  <c r="CB46" i="14"/>
  <c r="CA46" i="14" s="1"/>
  <c r="CY44" i="14"/>
  <c r="CY42" i="14"/>
  <c r="CB37" i="14"/>
  <c r="CA37" i="14" s="1"/>
  <c r="CY35" i="14"/>
  <c r="CB33" i="14"/>
  <c r="CA33" i="14" s="1"/>
  <c r="CG31" i="14"/>
  <c r="CY29" i="14"/>
  <c r="CG28" i="14"/>
  <c r="CB27" i="14"/>
  <c r="CA27" i="14" s="1"/>
  <c r="CG26" i="14"/>
  <c r="CB24" i="14"/>
  <c r="CA24" i="14" s="1"/>
  <c r="CY18" i="14"/>
  <c r="CY13" i="14"/>
  <c r="CY12" i="14"/>
  <c r="CF8" i="14"/>
  <c r="AC258" i="14"/>
  <c r="AC260" i="14" s="1"/>
  <c r="AC294" i="14" s="1"/>
  <c r="CK195" i="14"/>
  <c r="CB199" i="14"/>
  <c r="CA199" i="14" s="1"/>
  <c r="CB198" i="14"/>
  <c r="CA198" i="14" s="1"/>
  <c r="CY192" i="14"/>
  <c r="CG191" i="14"/>
  <c r="CB185" i="14"/>
  <c r="CA185" i="14" s="1"/>
  <c r="CY182" i="14"/>
  <c r="AM258" i="14"/>
  <c r="AM260" i="14" s="1"/>
  <c r="AM262" i="14" s="1"/>
  <c r="CB176" i="14"/>
  <c r="CA176" i="14" s="1"/>
  <c r="CB174" i="14"/>
  <c r="CA174" i="14" s="1"/>
  <c r="CB171" i="14"/>
  <c r="CA171" i="14" s="1"/>
  <c r="CG167" i="14"/>
  <c r="CB164" i="14"/>
  <c r="CA164" i="14" s="1"/>
  <c r="CB162" i="14"/>
  <c r="CA162" i="14" s="1"/>
  <c r="CB161" i="14"/>
  <c r="CA161" i="14" s="1"/>
  <c r="CG157" i="14"/>
  <c r="DA151" i="14"/>
  <c r="DC137" i="14"/>
  <c r="CB149" i="14"/>
  <c r="CA149" i="14" s="1"/>
  <c r="CG148" i="14"/>
  <c r="CG146" i="14"/>
  <c r="DG146" i="14" s="1"/>
  <c r="CG145" i="14"/>
  <c r="CG142" i="14"/>
  <c r="CB140" i="14"/>
  <c r="CA140" i="14" s="1"/>
  <c r="CG139" i="14"/>
  <c r="CG136" i="14"/>
  <c r="CY135" i="14"/>
  <c r="CY131" i="14"/>
  <c r="CY130" i="14"/>
  <c r="CY125" i="14"/>
  <c r="CY124" i="14"/>
  <c r="CB122" i="14"/>
  <c r="CA122" i="14" s="1"/>
  <c r="CG121" i="14"/>
  <c r="CH114" i="14"/>
  <c r="CB118" i="14"/>
  <c r="CA118" i="14" s="1"/>
  <c r="CY113" i="14"/>
  <c r="CG107" i="14"/>
  <c r="CB107" i="14"/>
  <c r="CA107" i="14" s="1"/>
  <c r="CY105" i="14"/>
  <c r="CY104" i="14"/>
  <c r="CG99" i="14"/>
  <c r="DG99" i="14" s="1"/>
  <c r="CB98" i="14"/>
  <c r="CA98" i="14" s="1"/>
  <c r="CY90" i="14"/>
  <c r="CG87" i="14"/>
  <c r="CG83" i="14"/>
  <c r="DG83" i="14" s="1"/>
  <c r="CY77" i="14"/>
  <c r="CY75" i="14"/>
  <c r="CB74" i="14"/>
  <c r="CA74" i="14" s="1"/>
  <c r="CG73" i="14"/>
  <c r="CB72" i="14"/>
  <c r="CA72" i="14" s="1"/>
  <c r="CY69" i="14"/>
  <c r="CB65" i="14"/>
  <c r="CA65" i="14" s="1"/>
  <c r="DC57" i="14"/>
  <c r="CB59" i="14"/>
  <c r="CA59" i="14" s="1"/>
  <c r="CY56" i="14"/>
  <c r="CY53" i="14"/>
  <c r="CY51" i="14"/>
  <c r="CY49" i="14"/>
  <c r="CY46" i="14"/>
  <c r="CY37" i="14"/>
  <c r="CB35" i="14"/>
  <c r="CA35" i="14" s="1"/>
  <c r="CY33" i="14"/>
  <c r="CY32" i="14"/>
  <c r="CB29" i="14"/>
  <c r="CA29" i="14" s="1"/>
  <c r="CY24" i="14"/>
  <c r="CG23" i="14"/>
  <c r="CG19" i="14"/>
  <c r="CG18" i="14"/>
  <c r="CG17" i="14"/>
  <c r="CG16" i="14"/>
  <c r="CB13" i="14"/>
  <c r="CA13" i="14" s="1"/>
  <c r="CG12" i="14"/>
  <c r="CG11" i="14"/>
  <c r="CY10" i="14"/>
  <c r="CB101" i="14"/>
  <c r="CA101" i="14" s="1"/>
  <c r="CG217" i="14"/>
  <c r="CB212" i="14"/>
  <c r="CA212" i="14" s="1"/>
  <c r="CB193" i="14"/>
  <c r="CA193" i="14" s="1"/>
  <c r="DJ110" i="14"/>
  <c r="CG110" i="14"/>
  <c r="CG193" i="14"/>
  <c r="DJ193" i="14"/>
  <c r="CB218" i="14"/>
  <c r="CA218" i="14" s="1"/>
  <c r="DJ218" i="14"/>
  <c r="CB228" i="14"/>
  <c r="CA228" i="14" s="1"/>
  <c r="CB240" i="14"/>
  <c r="CA240" i="14" s="1"/>
  <c r="CG231" i="14"/>
  <c r="CB168" i="14"/>
  <c r="CA168" i="14" s="1"/>
  <c r="CB182" i="14"/>
  <c r="CA182" i="14" s="1"/>
  <c r="DJ182" i="14"/>
  <c r="CG109" i="14"/>
  <c r="DJ112" i="14"/>
  <c r="CG256" i="14"/>
  <c r="CG15" i="14"/>
  <c r="DG15" i="14" s="1"/>
  <c r="CG24" i="14"/>
  <c r="CB56" i="14"/>
  <c r="CA56" i="14" s="1"/>
  <c r="CB100" i="14"/>
  <c r="CA100" i="14" s="1"/>
  <c r="CG89" i="14"/>
  <c r="DG89" i="14" s="1"/>
  <c r="CB89" i="14"/>
  <c r="CA89" i="14" s="1"/>
  <c r="CB77" i="14"/>
  <c r="CA77" i="14" s="1"/>
  <c r="CG77" i="14"/>
  <c r="CB192" i="14"/>
  <c r="CA192" i="14" s="1"/>
  <c r="CB109" i="14"/>
  <c r="CA109" i="14" s="1"/>
  <c r="AW185" i="14"/>
  <c r="CB113" i="14"/>
  <c r="CA113" i="14" s="1"/>
  <c r="CE137" i="14"/>
  <c r="CB143" i="14"/>
  <c r="CA143" i="14" s="1"/>
  <c r="CB127" i="14"/>
  <c r="CA127" i="14" s="1"/>
  <c r="CG100" i="14"/>
  <c r="DJ173" i="14"/>
  <c r="DJ47" i="14"/>
  <c r="DJ11" i="14"/>
  <c r="CB163" i="14"/>
  <c r="CA163" i="14" s="1"/>
  <c r="DJ6" i="14"/>
  <c r="AW49" i="14"/>
  <c r="V258" i="14"/>
  <c r="V330" i="14" s="1"/>
  <c r="CB172" i="14"/>
  <c r="CA172" i="14" s="1"/>
  <c r="CG172" i="14"/>
  <c r="CG189" i="14"/>
  <c r="CG86" i="14"/>
  <c r="CG185" i="14"/>
  <c r="CG143" i="14"/>
  <c r="CB223" i="14"/>
  <c r="CA223" i="14" s="1"/>
  <c r="CG85" i="14"/>
  <c r="CB85" i="14"/>
  <c r="CA85" i="14" s="1"/>
  <c r="CG84" i="14"/>
  <c r="CB248" i="14"/>
  <c r="CA248" i="14" s="1"/>
  <c r="CG248" i="14"/>
  <c r="AK331" i="14"/>
  <c r="AF331" i="14"/>
  <c r="BN331" i="14"/>
  <c r="CB271" i="14"/>
  <c r="CA271" i="14" s="1"/>
  <c r="CA272" i="14"/>
  <c r="CB286" i="14"/>
  <c r="CA286" i="14" s="1"/>
  <c r="BA331" i="14"/>
  <c r="AD331" i="14"/>
  <c r="AW283" i="14"/>
  <c r="CG268" i="14"/>
  <c r="CB328" i="14"/>
  <c r="CA327" i="14"/>
  <c r="CA328" i="14" s="1"/>
  <c r="BF331" i="14"/>
  <c r="AD296" i="14"/>
  <c r="AX277" i="14"/>
  <c r="AW278" i="14"/>
  <c r="AW277" i="14" s="1"/>
  <c r="AL274" i="14"/>
  <c r="AW267" i="14"/>
  <c r="AX293" i="14"/>
  <c r="AV264" i="14"/>
  <c r="AV292" i="14" s="1"/>
  <c r="CK242" i="14"/>
  <c r="CI207" i="14"/>
  <c r="CG207" i="14" s="1"/>
  <c r="DG207" i="14" s="1"/>
  <c r="BN203" i="14"/>
  <c r="BL207" i="14"/>
  <c r="AB203" i="14"/>
  <c r="CT203" i="14"/>
  <c r="CY196" i="14"/>
  <c r="CE195" i="14"/>
  <c r="CB196" i="14"/>
  <c r="BD177" i="14"/>
  <c r="BB183" i="14"/>
  <c r="U258" i="14"/>
  <c r="U330" i="14" s="1"/>
  <c r="CD328" i="14"/>
  <c r="CG310" i="14"/>
  <c r="CH314" i="14"/>
  <c r="BH317" i="14"/>
  <c r="AN307" i="14"/>
  <c r="AN317" i="14" s="1"/>
  <c r="AW301" i="14"/>
  <c r="AW296" i="14"/>
  <c r="AW291" i="14"/>
  <c r="AW289" i="14" s="1"/>
  <c r="CA287" i="14"/>
  <c r="BG286" i="14"/>
  <c r="CC282" i="14"/>
  <c r="CB282" i="14" s="1"/>
  <c r="CA282" i="14" s="1"/>
  <c r="CT280" i="14"/>
  <c r="BL275" i="14"/>
  <c r="AB274" i="14"/>
  <c r="BC267" i="14"/>
  <c r="BC293" i="14" s="1"/>
  <c r="BB269" i="14"/>
  <c r="AL268" i="14"/>
  <c r="BG266" i="14"/>
  <c r="AM265" i="14"/>
  <c r="AB266" i="14"/>
  <c r="CB256" i="14"/>
  <c r="CA256" i="14" s="1"/>
  <c r="CZ230" i="14"/>
  <c r="DI221" i="14"/>
  <c r="DC261" i="14"/>
  <c r="CP258" i="14"/>
  <c r="CP260" i="14" s="1"/>
  <c r="AY188" i="14"/>
  <c r="AW188" i="14" s="1"/>
  <c r="AR188" i="14"/>
  <c r="DA177" i="14"/>
  <c r="CT177" i="14"/>
  <c r="DJ179" i="14"/>
  <c r="CJ159" i="14"/>
  <c r="DB159" i="14"/>
  <c r="CY160" i="14"/>
  <c r="CH159" i="14"/>
  <c r="CR258" i="14"/>
  <c r="CR260" i="14" s="1"/>
  <c r="CD314" i="14"/>
  <c r="W289" i="14"/>
  <c r="AG280" i="14"/>
  <c r="AX280" i="14"/>
  <c r="CG267" i="14"/>
  <c r="AL267" i="14"/>
  <c r="CT266" i="14"/>
  <c r="CT268" i="14"/>
  <c r="AG266" i="14"/>
  <c r="CO266" i="14"/>
  <c r="DI251" i="14"/>
  <c r="AR242" i="14"/>
  <c r="CN204" i="14"/>
  <c r="CK331" i="14"/>
  <c r="CB310" i="14"/>
  <c r="AW310" i="14"/>
  <c r="CQ307" i="14"/>
  <c r="AR289" i="14"/>
  <c r="CB283" i="14"/>
  <c r="CA283" i="14" s="1"/>
  <c r="BM280" i="14"/>
  <c r="CH280" i="14" s="1"/>
  <c r="BL281" i="14"/>
  <c r="AX271" i="14"/>
  <c r="AL266" i="14"/>
  <c r="AW243" i="14"/>
  <c r="AX242" i="14"/>
  <c r="CT230" i="14"/>
  <c r="CC220" i="14"/>
  <c r="CB221" i="14"/>
  <c r="CD216" i="14"/>
  <c r="CB216" i="14" s="1"/>
  <c r="CA216" i="14" s="1"/>
  <c r="CD187" i="14"/>
  <c r="CB187" i="14" s="1"/>
  <c r="CA187" i="14" s="1"/>
  <c r="DB177" i="14"/>
  <c r="CY179" i="14"/>
  <c r="DB261" i="14"/>
  <c r="CF331" i="14"/>
  <c r="BE331" i="14"/>
  <c r="CY317" i="14"/>
  <c r="CG313" i="14"/>
  <c r="BM293" i="14"/>
  <c r="CH281" i="14"/>
  <c r="CG281" i="14" s="1"/>
  <c r="CG280" i="14" s="1"/>
  <c r="CC280" i="14"/>
  <c r="CA275" i="14"/>
  <c r="CT267" i="14"/>
  <c r="CA269" i="14"/>
  <c r="W261" i="14"/>
  <c r="CY256" i="14"/>
  <c r="DA242" i="14"/>
  <c r="CE242" i="14"/>
  <c r="DB230" i="14"/>
  <c r="CY231" i="14"/>
  <c r="CF220" i="14"/>
  <c r="CB214" i="14"/>
  <c r="CA214" i="14" s="1"/>
  <c r="CT195" i="14"/>
  <c r="DJ199" i="14"/>
  <c r="AA258" i="14"/>
  <c r="AA260" i="14" s="1"/>
  <c r="CE331" i="14"/>
  <c r="BO331" i="14"/>
  <c r="BD307" i="14"/>
  <c r="BD317" i="14" s="1"/>
  <c r="AW298" i="14"/>
  <c r="BM289" i="14"/>
  <c r="CH289" i="14" s="1"/>
  <c r="BL290" i="14"/>
  <c r="AG289" i="14"/>
  <c r="AW287" i="14"/>
  <c r="AW286" i="14" s="1"/>
  <c r="CH286" i="14"/>
  <c r="CC281" i="14"/>
  <c r="CB281" i="14" s="1"/>
  <c r="AR280" i="14"/>
  <c r="W280" i="14"/>
  <c r="CC277" i="14"/>
  <c r="CB278" i="14"/>
  <c r="BL277" i="14"/>
  <c r="CA270" i="14"/>
  <c r="BG267" i="14"/>
  <c r="AB267" i="14"/>
  <c r="BC266" i="14"/>
  <c r="CD255" i="14"/>
  <c r="CB255" i="14" s="1"/>
  <c r="CA255" i="14" s="1"/>
  <c r="CI255" i="14"/>
  <c r="DJ255" i="14"/>
  <c r="AW255" i="14"/>
  <c r="CB254" i="14"/>
  <c r="CA254" i="14" s="1"/>
  <c r="DI248" i="14"/>
  <c r="CO242" i="14"/>
  <c r="BN230" i="14"/>
  <c r="CI240" i="14"/>
  <c r="CI230" i="14" s="1"/>
  <c r="BL240" i="14"/>
  <c r="DI232" i="14"/>
  <c r="CO230" i="14"/>
  <c r="CG232" i="14"/>
  <c r="CH261" i="14"/>
  <c r="CM231" i="14"/>
  <c r="BB231" i="14"/>
  <c r="BB230" i="14" s="1"/>
  <c r="BD230" i="14"/>
  <c r="CZ220" i="14"/>
  <c r="W203" i="14"/>
  <c r="AX203" i="14"/>
  <c r="AB177" i="14"/>
  <c r="AM294" i="14"/>
  <c r="AI258" i="14"/>
  <c r="AI260" i="14" s="1"/>
  <c r="BH258" i="14"/>
  <c r="BH260" i="14" s="1"/>
  <c r="AL261" i="14"/>
  <c r="CB259" i="14"/>
  <c r="CA259" i="14" s="1"/>
  <c r="AW249" i="14"/>
  <c r="CG247" i="14"/>
  <c r="CB247" i="14"/>
  <c r="CA247" i="14" s="1"/>
  <c r="DB242" i="14"/>
  <c r="BG242" i="14"/>
  <c r="AY242" i="14"/>
  <c r="AG242" i="14"/>
  <c r="CY241" i="14"/>
  <c r="CY239" i="14"/>
  <c r="CY238" i="14"/>
  <c r="CY237" i="14"/>
  <c r="CY236" i="14"/>
  <c r="CY235" i="14"/>
  <c r="CY234" i="14"/>
  <c r="CY233" i="14"/>
  <c r="CM240" i="14"/>
  <c r="AW233" i="14"/>
  <c r="CB231" i="14"/>
  <c r="AL230" i="14"/>
  <c r="BL229" i="14"/>
  <c r="DI229" i="14" s="1"/>
  <c r="CY228" i="14"/>
  <c r="AR228" i="14"/>
  <c r="AY228" i="14"/>
  <c r="AW228" i="14" s="1"/>
  <c r="BN220" i="14"/>
  <c r="BL223" i="14"/>
  <c r="DI223" i="14" s="1"/>
  <c r="CI223" i="14"/>
  <c r="CG223" i="14" s="1"/>
  <c r="CO220" i="14"/>
  <c r="CY219" i="14"/>
  <c r="DJ219" i="14"/>
  <c r="CI219" i="14"/>
  <c r="CG219" i="14" s="1"/>
  <c r="CD219" i="14"/>
  <c r="CB219" i="14" s="1"/>
  <c r="CA219" i="14" s="1"/>
  <c r="AW217" i="14"/>
  <c r="CG216" i="14"/>
  <c r="DJ215" i="14"/>
  <c r="CJ215" i="14"/>
  <c r="CG215" i="14" s="1"/>
  <c r="CE215" i="14"/>
  <c r="CB215" i="14" s="1"/>
  <c r="CA215" i="14" s="1"/>
  <c r="AW209" i="14"/>
  <c r="CC203" i="14"/>
  <c r="CG206" i="14"/>
  <c r="DI204" i="14"/>
  <c r="CZ203" i="14"/>
  <c r="BG203" i="14"/>
  <c r="AG203" i="14"/>
  <c r="AJ258" i="14"/>
  <c r="AJ260" i="14" s="1"/>
  <c r="AW202" i="14"/>
  <c r="CG201" i="14"/>
  <c r="CG200" i="14"/>
  <c r="CB200" i="14"/>
  <c r="CA200" i="14" s="1"/>
  <c r="CC195" i="14"/>
  <c r="DA195" i="14"/>
  <c r="BL195" i="14"/>
  <c r="P195" i="14" s="1"/>
  <c r="AL195" i="14"/>
  <c r="CG188" i="14"/>
  <c r="AT177" i="14"/>
  <c r="AR187" i="14"/>
  <c r="AY187" i="14"/>
  <c r="AW187" i="14" s="1"/>
  <c r="CY185" i="14"/>
  <c r="CB184" i="14"/>
  <c r="CA184" i="14" s="1"/>
  <c r="CB183" i="14"/>
  <c r="CA183" i="14" s="1"/>
  <c r="BL182" i="14"/>
  <c r="P182" i="14" s="1"/>
  <c r="AW181" i="14"/>
  <c r="DI180" i="14"/>
  <c r="CO177" i="14"/>
  <c r="CG180" i="14"/>
  <c r="CJ177" i="14"/>
  <c r="CB179" i="14"/>
  <c r="CA179" i="14" s="1"/>
  <c r="CE261" i="14"/>
  <c r="DC177" i="14"/>
  <c r="CH177" i="14"/>
  <c r="CG178" i="14"/>
  <c r="CK177" i="14"/>
  <c r="BM258" i="14"/>
  <c r="BM335" i="14" s="1"/>
  <c r="CG174" i="14"/>
  <c r="CY170" i="14"/>
  <c r="AW170" i="14"/>
  <c r="DA159" i="14"/>
  <c r="DC159" i="14"/>
  <c r="CT159" i="14"/>
  <c r="CI159" i="14"/>
  <c r="AS258" i="14"/>
  <c r="DC128" i="14"/>
  <c r="CY132" i="14"/>
  <c r="CY118" i="14"/>
  <c r="CZ114" i="14"/>
  <c r="BG261" i="14"/>
  <c r="CY255" i="14"/>
  <c r="CB250" i="14"/>
  <c r="CA250" i="14" s="1"/>
  <c r="CT242" i="14"/>
  <c r="CG233" i="14"/>
  <c r="CB233" i="14"/>
  <c r="CA233" i="14" s="1"/>
  <c r="CJ220" i="14"/>
  <c r="AR212" i="14"/>
  <c r="AR203" i="14" s="1"/>
  <c r="AY212" i="14"/>
  <c r="AW212" i="14" s="1"/>
  <c r="BD203" i="14"/>
  <c r="CY208" i="14"/>
  <c r="AW200" i="14"/>
  <c r="CZ195" i="14"/>
  <c r="CY197" i="14"/>
  <c r="AW197" i="14"/>
  <c r="BB195" i="14"/>
  <c r="CY193" i="14"/>
  <c r="AU177" i="14"/>
  <c r="AR193" i="14"/>
  <c r="CY184" i="14"/>
  <c r="AW183" i="14"/>
  <c r="AW180" i="14"/>
  <c r="CC177" i="14"/>
  <c r="CY176" i="14"/>
  <c r="CG173" i="14"/>
  <c r="CY167" i="14"/>
  <c r="AW166" i="14"/>
  <c r="AR159" i="14"/>
  <c r="W159" i="14"/>
  <c r="CG152" i="14"/>
  <c r="AL151" i="14"/>
  <c r="CY150" i="14"/>
  <c r="CH137" i="14"/>
  <c r="BD114" i="14"/>
  <c r="BB115" i="14"/>
  <c r="CF94" i="14"/>
  <c r="AX94" i="14"/>
  <c r="CB249" i="14"/>
  <c r="CA249" i="14" s="1"/>
  <c r="CY247" i="14"/>
  <c r="DJ239" i="14"/>
  <c r="CH239" i="14"/>
  <c r="CG239" i="14" s="1"/>
  <c r="BG230" i="14"/>
  <c r="AW231" i="14"/>
  <c r="AX230" i="14"/>
  <c r="CG227" i="14"/>
  <c r="CY223" i="14"/>
  <c r="AX220" i="14"/>
  <c r="CG213" i="14"/>
  <c r="BO242" i="14"/>
  <c r="CJ255" i="14"/>
  <c r="CJ242" i="14" s="1"/>
  <c r="CY250" i="14"/>
  <c r="CY249" i="14"/>
  <c r="CY248" i="14"/>
  <c r="AW248" i="14"/>
  <c r="AW246" i="14"/>
  <c r="DC242" i="14"/>
  <c r="CY245" i="14"/>
  <c r="CB245" i="14"/>
  <c r="CA245" i="14" s="1"/>
  <c r="CG244" i="14"/>
  <c r="DG244" i="14" s="1"/>
  <c r="CB244" i="14"/>
  <c r="CA244" i="14" s="1"/>
  <c r="DJ243" i="14"/>
  <c r="CG243" i="14"/>
  <c r="CH242" i="14"/>
  <c r="CB243" i="14"/>
  <c r="AL242" i="14"/>
  <c r="BD242" i="14"/>
  <c r="CB241" i="14"/>
  <c r="CA241" i="14" s="1"/>
  <c r="CB238" i="14"/>
  <c r="CA238" i="14" s="1"/>
  <c r="CB237" i="14"/>
  <c r="CA237" i="14" s="1"/>
  <c r="CB236" i="14"/>
  <c r="CA236" i="14" s="1"/>
  <c r="CB235" i="14"/>
  <c r="CA235" i="14" s="1"/>
  <c r="CB234" i="14"/>
  <c r="CA234" i="14" s="1"/>
  <c r="CY232" i="14"/>
  <c r="CE230" i="14"/>
  <c r="AW232" i="14"/>
  <c r="CD230" i="14"/>
  <c r="CG228" i="14"/>
  <c r="CY227" i="14"/>
  <c r="CE220" i="14"/>
  <c r="DC220" i="14"/>
  <c r="CG222" i="14"/>
  <c r="DG222" i="14" s="1"/>
  <c r="BG220" i="14"/>
  <c r="CT220" i="14"/>
  <c r="DJ221" i="14"/>
  <c r="CG218" i="14"/>
  <c r="CY213" i="14"/>
  <c r="BB210" i="14"/>
  <c r="BB203" i="14" s="1"/>
  <c r="AW210" i="14"/>
  <c r="CD207" i="14"/>
  <c r="CH203" i="14"/>
  <c r="DA203" i="14"/>
  <c r="AL203" i="14"/>
  <c r="CY202" i="14"/>
  <c r="DI199" i="14"/>
  <c r="AB195" i="14"/>
  <c r="CY198" i="14"/>
  <c r="CG198" i="14"/>
  <c r="CB197" i="14"/>
  <c r="CA197" i="14" s="1"/>
  <c r="W195" i="14"/>
  <c r="CD195" i="14"/>
  <c r="AW192" i="14"/>
  <c r="CG190" i="14"/>
  <c r="CG186" i="14"/>
  <c r="CM184" i="14"/>
  <c r="CN184" i="14" s="1"/>
  <c r="CY181" i="14"/>
  <c r="AW179" i="14"/>
  <c r="AY261" i="14"/>
  <c r="AW261" i="14" s="1"/>
  <c r="DF177" i="14"/>
  <c r="DF258" i="14" s="1"/>
  <c r="DF260" i="14" s="1"/>
  <c r="CZ177" i="14"/>
  <c r="CB178" i="14"/>
  <c r="AL177" i="14"/>
  <c r="AF258" i="14"/>
  <c r="AF260" i="14" s="1"/>
  <c r="BB165" i="14"/>
  <c r="BB159" i="14" s="1"/>
  <c r="BD159" i="14"/>
  <c r="CO159" i="14"/>
  <c r="CE159" i="14"/>
  <c r="DJ160" i="14"/>
  <c r="CM160" i="14"/>
  <c r="AX159" i="14"/>
  <c r="AW160" i="14"/>
  <c r="AB151" i="14"/>
  <c r="CF151" i="14"/>
  <c r="CI261" i="14"/>
  <c r="AN258" i="14"/>
  <c r="AN260" i="14" s="1"/>
  <c r="CZ137" i="14"/>
  <c r="CY140" i="14"/>
  <c r="CM140" i="14"/>
  <c r="CZ128" i="14"/>
  <c r="CB134" i="14"/>
  <c r="CA134" i="14" s="1"/>
  <c r="W128" i="14"/>
  <c r="CM129" i="14"/>
  <c r="AX128" i="14"/>
  <c r="AW129" i="14"/>
  <c r="CG95" i="14"/>
  <c r="CE94" i="14"/>
  <c r="BI258" i="14"/>
  <c r="BI260" i="14" s="1"/>
  <c r="AR91" i="14"/>
  <c r="AR79" i="14" s="1"/>
  <c r="AY91" i="14"/>
  <c r="AW91" i="14" s="1"/>
  <c r="DI80" i="14"/>
  <c r="CN80" i="14"/>
  <c r="CU258" i="14"/>
  <c r="CU260" i="14" s="1"/>
  <c r="BB247" i="14"/>
  <c r="CM245" i="14" s="1"/>
  <c r="AY240" i="14"/>
  <c r="AW240" i="14" s="1"/>
  <c r="AR240" i="14"/>
  <c r="AR230" i="14" s="1"/>
  <c r="DB220" i="14"/>
  <c r="BB223" i="14"/>
  <c r="BB220" i="14" s="1"/>
  <c r="CM228" i="14" s="1"/>
  <c r="AW223" i="14"/>
  <c r="CH220" i="14"/>
  <c r="AT220" i="14"/>
  <c r="AR221" i="14"/>
  <c r="AY221" i="14"/>
  <c r="AY220" i="14" s="1"/>
  <c r="CY216" i="14"/>
  <c r="BO203" i="14"/>
  <c r="BL215" i="14"/>
  <c r="DI215" i="14" s="1"/>
  <c r="AW214" i="14"/>
  <c r="CB211" i="14"/>
  <c r="CA211" i="14" s="1"/>
  <c r="CB208" i="14"/>
  <c r="CA208" i="14" s="1"/>
  <c r="CG205" i="14"/>
  <c r="DC203" i="14"/>
  <c r="CY204" i="14"/>
  <c r="CG204" i="14"/>
  <c r="CY201" i="14"/>
  <c r="CY199" i="14"/>
  <c r="CG196" i="14"/>
  <c r="CY194" i="14"/>
  <c r="BL192" i="14"/>
  <c r="CI192" i="14"/>
  <c r="CG192" i="14" s="1"/>
  <c r="DG192" i="14" s="1"/>
  <c r="CB190" i="14"/>
  <c r="CA190" i="14" s="1"/>
  <c r="CI187" i="14"/>
  <c r="CG187" i="14" s="1"/>
  <c r="CY186" i="14"/>
  <c r="DI184" i="14"/>
  <c r="CG182" i="14"/>
  <c r="CY180" i="14"/>
  <c r="CE177" i="14"/>
  <c r="AX177" i="14"/>
  <c r="AW178" i="14"/>
  <c r="CG175" i="14"/>
  <c r="DG175" i="14" s="1"/>
  <c r="CB170" i="14"/>
  <c r="CA170" i="14" s="1"/>
  <c r="CB167" i="14"/>
  <c r="CA167" i="14" s="1"/>
  <c r="CG166" i="14"/>
  <c r="CY165" i="14"/>
  <c r="AW165" i="14"/>
  <c r="AW163" i="14"/>
  <c r="AW162" i="14"/>
  <c r="AW161" i="14"/>
  <c r="AY159" i="14"/>
  <c r="AG159" i="14"/>
  <c r="BL159" i="14"/>
  <c r="P159" i="14" s="1"/>
  <c r="CZ151" i="14"/>
  <c r="CY152" i="14"/>
  <c r="CM152" i="14"/>
  <c r="AX151" i="14"/>
  <c r="AW152" i="14"/>
  <c r="BG137" i="14"/>
  <c r="AL137" i="14"/>
  <c r="DB128" i="14"/>
  <c r="CY129" i="14"/>
  <c r="AG128" i="14"/>
  <c r="BG114" i="14"/>
  <c r="AW215" i="14"/>
  <c r="AW211" i="14"/>
  <c r="CY209" i="14"/>
  <c r="CM209" i="14"/>
  <c r="CN209" i="14" s="1"/>
  <c r="AW204" i="14"/>
  <c r="AW203" i="14" s="1"/>
  <c r="CB201" i="14"/>
  <c r="CA201" i="14" s="1"/>
  <c r="CG197" i="14"/>
  <c r="CI195" i="14"/>
  <c r="AW196" i="14"/>
  <c r="CH195" i="14"/>
  <c r="AX195" i="14"/>
  <c r="CB194" i="14"/>
  <c r="CA194" i="14" s="1"/>
  <c r="CY191" i="14"/>
  <c r="AW190" i="14"/>
  <c r="DJ187" i="14"/>
  <c r="CB186" i="14"/>
  <c r="CA186" i="14" s="1"/>
  <c r="CG184" i="14"/>
  <c r="BL183" i="14"/>
  <c r="DI183" i="14" s="1"/>
  <c r="CI183" i="14"/>
  <c r="CG183" i="14" s="1"/>
  <c r="CB180" i="14"/>
  <c r="CA180" i="14" s="1"/>
  <c r="BN177" i="14"/>
  <c r="BG177" i="14"/>
  <c r="AY177" i="14"/>
  <c r="AG177" i="14"/>
  <c r="AW176" i="14"/>
  <c r="CB175" i="14"/>
  <c r="CA175" i="14" s="1"/>
  <c r="CG169" i="14"/>
  <c r="AW167" i="14"/>
  <c r="CB166" i="14"/>
  <c r="CA166" i="14" s="1"/>
  <c r="CG165" i="14"/>
  <c r="AB159" i="14"/>
  <c r="CY163" i="14"/>
  <c r="CK159" i="14"/>
  <c r="CG160" i="14"/>
  <c r="CC159" i="14"/>
  <c r="BG159" i="14"/>
  <c r="AL159" i="14"/>
  <c r="CZ159" i="14"/>
  <c r="AY157" i="14"/>
  <c r="AW157" i="14" s="1"/>
  <c r="AR157" i="14"/>
  <c r="BG151" i="14"/>
  <c r="AG151" i="14"/>
  <c r="DJ146" i="14"/>
  <c r="CF137" i="14"/>
  <c r="CB141" i="14"/>
  <c r="CA141" i="14" s="1"/>
  <c r="CJ137" i="14"/>
  <c r="BB135" i="14"/>
  <c r="BB128" i="14" s="1"/>
  <c r="CM132" i="14" s="1"/>
  <c r="CN132" i="14" s="1"/>
  <c r="BD128" i="14"/>
  <c r="CT128" i="14"/>
  <c r="DJ129" i="14"/>
  <c r="AR121" i="14"/>
  <c r="AY121" i="14"/>
  <c r="AW121" i="14" s="1"/>
  <c r="CE119" i="14"/>
  <c r="DJ119" i="14"/>
  <c r="W114" i="14"/>
  <c r="CO94" i="14"/>
  <c r="CE79" i="14"/>
  <c r="W79" i="14"/>
  <c r="BN151" i="14"/>
  <c r="BL154" i="14"/>
  <c r="AT151" i="14"/>
  <c r="DA137" i="14"/>
  <c r="CO137" i="14"/>
  <c r="DB137" i="14"/>
  <c r="CT137" i="14"/>
  <c r="CI131" i="14"/>
  <c r="CG131" i="14" s="1"/>
  <c r="DG131" i="14" s="1"/>
  <c r="DJ131" i="14"/>
  <c r="CK128" i="14"/>
  <c r="CG129" i="14"/>
  <c r="CC128" i="14"/>
  <c r="CB129" i="14"/>
  <c r="BL128" i="14"/>
  <c r="BN114" i="14"/>
  <c r="CN119" i="14"/>
  <c r="CF114" i="14"/>
  <c r="AL114" i="14"/>
  <c r="CY97" i="14"/>
  <c r="CZ94" i="14"/>
  <c r="CB95" i="14"/>
  <c r="BG94" i="14"/>
  <c r="AG94" i="14"/>
  <c r="CC94" i="14"/>
  <c r="BD94" i="14"/>
  <c r="CI93" i="14"/>
  <c r="CG93" i="14" s="1"/>
  <c r="BL93" i="14"/>
  <c r="CZ57" i="14"/>
  <c r="CG153" i="14"/>
  <c r="CH151" i="14"/>
  <c r="X137" i="14"/>
  <c r="W149" i="14"/>
  <c r="W137" i="14" s="1"/>
  <c r="CY145" i="14"/>
  <c r="AW144" i="14"/>
  <c r="AW143" i="14"/>
  <c r="AW142" i="14"/>
  <c r="CG140" i="14"/>
  <c r="DJ138" i="14"/>
  <c r="CC137" i="14"/>
  <c r="BB137" i="14"/>
  <c r="CM146" i="14" s="1"/>
  <c r="CN146" i="14" s="1"/>
  <c r="AB137" i="14"/>
  <c r="CB135" i="14"/>
  <c r="CA135" i="14" s="1"/>
  <c r="CO128" i="14"/>
  <c r="CG133" i="14"/>
  <c r="CB131" i="14"/>
  <c r="CA131" i="14" s="1"/>
  <c r="AB128" i="14"/>
  <c r="CY126" i="14"/>
  <c r="CG124" i="14"/>
  <c r="DG124" i="14" s="1"/>
  <c r="CT114" i="14"/>
  <c r="CJ119" i="14"/>
  <c r="CG119" i="14" s="1"/>
  <c r="CB115" i="14"/>
  <c r="AT114" i="14"/>
  <c r="AB114" i="14"/>
  <c r="CG113" i="14"/>
  <c r="BO94" i="14"/>
  <c r="BL112" i="14"/>
  <c r="DI112" i="14" s="1"/>
  <c r="CJ112" i="14"/>
  <c r="CG112" i="14" s="1"/>
  <c r="DJ111" i="14"/>
  <c r="DI100" i="14"/>
  <c r="CT94" i="14"/>
  <c r="DJ95" i="14"/>
  <c r="CK94" i="14"/>
  <c r="DA79" i="14"/>
  <c r="CH79" i="14"/>
  <c r="CG80" i="14"/>
  <c r="CB63" i="14"/>
  <c r="CA63" i="14" s="1"/>
  <c r="BD57" i="14"/>
  <c r="CD51" i="14"/>
  <c r="CB51" i="14" s="1"/>
  <c r="CA51" i="14" s="1"/>
  <c r="CB9" i="14"/>
  <c r="DB151" i="14"/>
  <c r="CT151" i="14"/>
  <c r="CB152" i="14"/>
  <c r="AW148" i="14"/>
  <c r="AR146" i="14"/>
  <c r="AY146" i="14"/>
  <c r="AW146" i="14" s="1"/>
  <c r="CB144" i="14"/>
  <c r="CA144" i="14" s="1"/>
  <c r="CY138" i="14"/>
  <c r="CK137" i="14"/>
  <c r="CI138" i="14"/>
  <c r="CI137" i="14" s="1"/>
  <c r="BN137" i="14"/>
  <c r="AT137" i="14"/>
  <c r="AR138" i="14"/>
  <c r="AY138" i="14"/>
  <c r="BL137" i="14"/>
  <c r="BD137" i="14"/>
  <c r="DA128" i="14"/>
  <c r="CY133" i="14"/>
  <c r="CH128" i="14"/>
  <c r="CD128" i="14"/>
  <c r="AY128" i="14"/>
  <c r="BL120" i="14"/>
  <c r="CJ120" i="14"/>
  <c r="CG120" i="14" s="1"/>
  <c r="DC114" i="14"/>
  <c r="CY115" i="14"/>
  <c r="AZ114" i="14"/>
  <c r="BO114" i="14"/>
  <c r="DI103" i="14"/>
  <c r="AR101" i="14"/>
  <c r="AX101" i="14"/>
  <c r="AW101" i="14" s="1"/>
  <c r="AL94" i="14"/>
  <c r="BN79" i="14"/>
  <c r="CI90" i="14"/>
  <c r="CG90" i="14" s="1"/>
  <c r="BL90" i="14"/>
  <c r="DI90" i="14" s="1"/>
  <c r="CF79" i="14"/>
  <c r="CB83" i="14"/>
  <c r="CA83" i="14" s="1"/>
  <c r="AL57" i="14"/>
  <c r="CY60" i="14"/>
  <c r="CG60" i="14"/>
  <c r="CY27" i="14"/>
  <c r="CZ20" i="14"/>
  <c r="W20" i="14"/>
  <c r="CK114" i="14"/>
  <c r="CC114" i="14"/>
  <c r="CI108" i="14"/>
  <c r="CI94" i="14" s="1"/>
  <c r="CY107" i="14"/>
  <c r="AW107" i="14"/>
  <c r="CG103" i="14"/>
  <c r="CG102" i="14"/>
  <c r="CY100" i="14"/>
  <c r="DC94" i="14"/>
  <c r="AW97" i="14"/>
  <c r="DB94" i="14"/>
  <c r="CM95" i="14"/>
  <c r="CG92" i="14"/>
  <c r="CB92" i="14"/>
  <c r="CA92" i="14" s="1"/>
  <c r="AW90" i="14"/>
  <c r="CY84" i="14"/>
  <c r="AW83" i="14"/>
  <c r="BB82" i="14"/>
  <c r="CY80" i="14"/>
  <c r="CZ79" i="14"/>
  <c r="AX79" i="14"/>
  <c r="AG79" i="14"/>
  <c r="DC79" i="14"/>
  <c r="CG72" i="14"/>
  <c r="CG63" i="14"/>
  <c r="BG57" i="14"/>
  <c r="AW62" i="14"/>
  <c r="BB57" i="14"/>
  <c r="AG57" i="14"/>
  <c r="AR11" i="14"/>
  <c r="AR8" i="14" s="1"/>
  <c r="AT8" i="14"/>
  <c r="EQ8" i="14" s="1"/>
  <c r="EP8" i="14" s="1"/>
  <c r="AY11" i="14"/>
  <c r="AW11" i="14" s="1"/>
  <c r="DJ10" i="14"/>
  <c r="AW10" i="14"/>
  <c r="DA114" i="14"/>
  <c r="CO114" i="14"/>
  <c r="BA114" i="14"/>
  <c r="AR109" i="14"/>
  <c r="AX109" i="14"/>
  <c r="AW109" i="14" s="1"/>
  <c r="BL101" i="14"/>
  <c r="P101" i="14" s="1"/>
  <c r="CH101" i="14"/>
  <c r="CG101" i="14" s="1"/>
  <c r="CB96" i="14"/>
  <c r="CA96" i="14" s="1"/>
  <c r="AT94" i="14"/>
  <c r="AW89" i="14"/>
  <c r="CJ82" i="14"/>
  <c r="CG82" i="14" s="1"/>
  <c r="BO79" i="14"/>
  <c r="BL82" i="14"/>
  <c r="AW80" i="14"/>
  <c r="CD78" i="14"/>
  <c r="CB78" i="14" s="1"/>
  <c r="CA78" i="14" s="1"/>
  <c r="DJ58" i="14"/>
  <c r="AW58" i="14"/>
  <c r="AW57" i="14" s="1"/>
  <c r="AB57" i="14"/>
  <c r="CT20" i="14"/>
  <c r="DJ21" i="14"/>
  <c r="CG21" i="14"/>
  <c r="CJ20" i="14"/>
  <c r="DJ108" i="14"/>
  <c r="AY108" i="14"/>
  <c r="AW108" i="14" s="1"/>
  <c r="BB101" i="14"/>
  <c r="CM100" i="14" s="1"/>
  <c r="CN100" i="14" s="1"/>
  <c r="AY95" i="14"/>
  <c r="AY94" i="14" s="1"/>
  <c r="AR95" i="14"/>
  <c r="AY93" i="14"/>
  <c r="AW93" i="14" s="1"/>
  <c r="DJ90" i="14"/>
  <c r="AT79" i="14"/>
  <c r="CB82" i="14"/>
  <c r="CA82" i="14" s="1"/>
  <c r="DB79" i="14"/>
  <c r="CT79" i="14"/>
  <c r="AL79" i="14"/>
  <c r="AR78" i="14"/>
  <c r="CJ76" i="14"/>
  <c r="CJ57" i="14" s="1"/>
  <c r="CE76" i="14"/>
  <c r="CB76" i="14" s="1"/>
  <c r="CA76" i="14" s="1"/>
  <c r="DJ76" i="14"/>
  <c r="AR76" i="14"/>
  <c r="AZ76" i="14"/>
  <c r="AW76" i="14" s="1"/>
  <c r="CY73" i="14"/>
  <c r="AW72" i="14"/>
  <c r="CB71" i="14"/>
  <c r="CA71" i="14" s="1"/>
  <c r="CG69" i="14"/>
  <c r="DG69" i="14" s="1"/>
  <c r="CY68" i="14"/>
  <c r="AW67" i="14"/>
  <c r="CG66" i="14"/>
  <c r="DI63" i="14"/>
  <c r="AT57" i="14"/>
  <c r="CF57" i="14"/>
  <c r="CB60" i="14"/>
  <c r="CA60" i="14" s="1"/>
  <c r="CO57" i="14"/>
  <c r="CH57" i="14"/>
  <c r="CG58" i="14"/>
  <c r="DC39" i="14"/>
  <c r="DJ40" i="14"/>
  <c r="AW40" i="14"/>
  <c r="AB39" i="14"/>
  <c r="CK20" i="14"/>
  <c r="CF20" i="14"/>
  <c r="CB21" i="14"/>
  <c r="BG20" i="14"/>
  <c r="CB80" i="14"/>
  <c r="CC79" i="14"/>
  <c r="CB73" i="14"/>
  <c r="CA73" i="14" s="1"/>
  <c r="CY72" i="14"/>
  <c r="AW71" i="14"/>
  <c r="CG70" i="14"/>
  <c r="CB66" i="14"/>
  <c r="CA66" i="14" s="1"/>
  <c r="BN57" i="14"/>
  <c r="BL64" i="14"/>
  <c r="CI64" i="14"/>
  <c r="CG64" i="14" s="1"/>
  <c r="DA57" i="14"/>
  <c r="CT57" i="14"/>
  <c r="AU57" i="14"/>
  <c r="CD54" i="14"/>
  <c r="CB54" i="14" s="1"/>
  <c r="CA54" i="14" s="1"/>
  <c r="CI54" i="14"/>
  <c r="CG54" i="14" s="1"/>
  <c r="CB48" i="14"/>
  <c r="CA48" i="14" s="1"/>
  <c r="CM44" i="14"/>
  <c r="CN44" i="14" s="1"/>
  <c r="AL39" i="14"/>
  <c r="AW73" i="14"/>
  <c r="CY70" i="14"/>
  <c r="AW69" i="14"/>
  <c r="CB68" i="14"/>
  <c r="CA68" i="14" s="1"/>
  <c r="CG67" i="14"/>
  <c r="CY66" i="14"/>
  <c r="AW66" i="14"/>
  <c r="CK57" i="14"/>
  <c r="CC57" i="14"/>
  <c r="CB58" i="14"/>
  <c r="BL56" i="14"/>
  <c r="DI56" i="14" s="1"/>
  <c r="CI56" i="14"/>
  <c r="CG56" i="14" s="1"/>
  <c r="CG55" i="14"/>
  <c r="CD53" i="14"/>
  <c r="CB53" i="14" s="1"/>
  <c r="CA53" i="14" s="1"/>
  <c r="DJ53" i="14"/>
  <c r="CG52" i="14"/>
  <c r="CI49" i="14"/>
  <c r="CG49" i="14" s="1"/>
  <c r="BL49" i="14"/>
  <c r="DI49" i="14" s="1"/>
  <c r="CB44" i="14"/>
  <c r="CA44" i="14" s="1"/>
  <c r="BL43" i="14"/>
  <c r="DI43" i="14" s="1"/>
  <c r="CZ39" i="14"/>
  <c r="AW41" i="14"/>
  <c r="AY39" i="14"/>
  <c r="AG39" i="14"/>
  <c r="CF39" i="14"/>
  <c r="BC39" i="14"/>
  <c r="BC258" i="14" s="1"/>
  <c r="BC260" i="14" s="1"/>
  <c r="CD34" i="14"/>
  <c r="CB34" i="14" s="1"/>
  <c r="CA34" i="14" s="1"/>
  <c r="DJ34" i="14"/>
  <c r="AW33" i="14"/>
  <c r="BL20" i="14"/>
  <c r="P20" i="14" s="1"/>
  <c r="CJ6" i="14"/>
  <c r="AW53" i="14"/>
  <c r="DJ49" i="14"/>
  <c r="CD49" i="14"/>
  <c r="CB49" i="14" s="1"/>
  <c r="CA49" i="14" s="1"/>
  <c r="CB47" i="14"/>
  <c r="CA47" i="14" s="1"/>
  <c r="CG45" i="14"/>
  <c r="CY43" i="14"/>
  <c r="CD43" i="14"/>
  <c r="BD39" i="14"/>
  <c r="CN40" i="14"/>
  <c r="CH39" i="14"/>
  <c r="CG40" i="14"/>
  <c r="AW38" i="14"/>
  <c r="AW37" i="14"/>
  <c r="AW36" i="14"/>
  <c r="CB32" i="14"/>
  <c r="CA32" i="14" s="1"/>
  <c r="BD20" i="14"/>
  <c r="BB23" i="14"/>
  <c r="BB20" i="14" s="1"/>
  <c r="CM27" i="14" s="1"/>
  <c r="BD8" i="14"/>
  <c r="BB14" i="14"/>
  <c r="CM11" i="14" s="1"/>
  <c r="DB8" i="14"/>
  <c r="CO8" i="14"/>
  <c r="DJ51" i="14"/>
  <c r="CI51" i="14"/>
  <c r="CG51" i="14" s="1"/>
  <c r="CY48" i="14"/>
  <c r="CG47" i="14"/>
  <c r="CB45" i="14"/>
  <c r="CA45" i="14" s="1"/>
  <c r="CJ43" i="14"/>
  <c r="CG43" i="14" s="1"/>
  <c r="DA39" i="14"/>
  <c r="CO39" i="14"/>
  <c r="BN39" i="14"/>
  <c r="BL42" i="14"/>
  <c r="CI42" i="14"/>
  <c r="AT39" i="14"/>
  <c r="CG41" i="14"/>
  <c r="CK39" i="14"/>
  <c r="CC39" i="14"/>
  <c r="CB40" i="14"/>
  <c r="CG38" i="14"/>
  <c r="CG37" i="14"/>
  <c r="CG36" i="14"/>
  <c r="CG35" i="14"/>
  <c r="AR34" i="14"/>
  <c r="AY34" i="14"/>
  <c r="AW34" i="14" s="1"/>
  <c r="CG32" i="14"/>
  <c r="AR31" i="14"/>
  <c r="AY31" i="14"/>
  <c r="AW31" i="14" s="1"/>
  <c r="CG27" i="14"/>
  <c r="CY25" i="14"/>
  <c r="AW23" i="14"/>
  <c r="DB20" i="14"/>
  <c r="CD11" i="14"/>
  <c r="CH8" i="14"/>
  <c r="CG10" i="14"/>
  <c r="DA8" i="14"/>
  <c r="W8" i="14"/>
  <c r="BE39" i="14"/>
  <c r="CY45" i="14"/>
  <c r="CM43" i="14"/>
  <c r="CN43" i="14" s="1"/>
  <c r="W39" i="14"/>
  <c r="DB39" i="14"/>
  <c r="CT39" i="14"/>
  <c r="BB39" i="14"/>
  <c r="CD25" i="14"/>
  <c r="CB25" i="14" s="1"/>
  <c r="CA25" i="14" s="1"/>
  <c r="BN20" i="14"/>
  <c r="CI25" i="14"/>
  <c r="CG25" i="14" s="1"/>
  <c r="AB20" i="14"/>
  <c r="CC20" i="14"/>
  <c r="CK8" i="14"/>
  <c r="BB8" i="14"/>
  <c r="CZ8" i="14"/>
  <c r="CY9" i="14"/>
  <c r="BL8" i="14"/>
  <c r="DI9" i="14"/>
  <c r="CY6" i="14"/>
  <c r="DA6" i="14"/>
  <c r="AW30" i="14"/>
  <c r="AW27" i="14"/>
  <c r="CG22" i="14"/>
  <c r="CY21" i="14"/>
  <c r="CH20" i="14"/>
  <c r="AX20" i="14"/>
  <c r="AL20" i="14"/>
  <c r="CB18" i="14"/>
  <c r="CA18" i="14" s="1"/>
  <c r="CG14" i="14"/>
  <c r="DG14" i="14" s="1"/>
  <c r="CB10" i="14"/>
  <c r="CA10" i="14" s="1"/>
  <c r="CJ8" i="14"/>
  <c r="BG8" i="14"/>
  <c r="AY8" i="14"/>
  <c r="AW9" i="14"/>
  <c r="CC8" i="14"/>
  <c r="AY6" i="14"/>
  <c r="AW6" i="14"/>
  <c r="CG30" i="14"/>
  <c r="DG30" i="14" s="1"/>
  <c r="AT20" i="14"/>
  <c r="AG20" i="14"/>
  <c r="DA20" i="14"/>
  <c r="DC8" i="14"/>
  <c r="CI8" i="14"/>
  <c r="CG9" i="14"/>
  <c r="CT8" i="14"/>
  <c r="BD6" i="14"/>
  <c r="AK262" i="14" l="1"/>
  <c r="AE294" i="14"/>
  <c r="AE308" i="14" s="1"/>
  <c r="AE318" i="14" s="1"/>
  <c r="AE316" i="14" s="1"/>
  <c r="AE330" i="14" s="1"/>
  <c r="Y318" i="14"/>
  <c r="Y316" i="14" s="1"/>
  <c r="Y330" i="14" s="1"/>
  <c r="CO307" i="14"/>
  <c r="DI93" i="14"/>
  <c r="P93" i="14"/>
  <c r="BL280" i="14"/>
  <c r="P280" i="14" s="1"/>
  <c r="P281" i="14"/>
  <c r="AR114" i="14"/>
  <c r="DI192" i="14"/>
  <c r="P192" i="14"/>
  <c r="BL274" i="14"/>
  <c r="P274" i="14" s="1"/>
  <c r="P275" i="14"/>
  <c r="CB11" i="14"/>
  <c r="CA11" i="14" s="1"/>
  <c r="AB307" i="14"/>
  <c r="AG293" i="14"/>
  <c r="AW297" i="14"/>
  <c r="DG105" i="14"/>
  <c r="AW128" i="14"/>
  <c r="DG22" i="14"/>
  <c r="BB177" i="14"/>
  <c r="BZ264" i="14"/>
  <c r="CM82" i="14"/>
  <c r="CN82" i="14" s="1"/>
  <c r="CN79" i="14" s="1"/>
  <c r="DG130" i="14"/>
  <c r="DG92" i="14"/>
  <c r="BZ317" i="14"/>
  <c r="BV307" i="14"/>
  <c r="BB151" i="14"/>
  <c r="CM164" i="14"/>
  <c r="CN164" i="14" s="1"/>
  <c r="DG190" i="14"/>
  <c r="DG110" i="14"/>
  <c r="DG28" i="14"/>
  <c r="DG37" i="14"/>
  <c r="DG239" i="14"/>
  <c r="AW314" i="14"/>
  <c r="AB317" i="14"/>
  <c r="AB331" i="14" s="1"/>
  <c r="CB289" i="14"/>
  <c r="CA289" i="14" s="1"/>
  <c r="DG172" i="14"/>
  <c r="CD79" i="14"/>
  <c r="DG214" i="14"/>
  <c r="DG246" i="14"/>
  <c r="W317" i="14"/>
  <c r="W331" i="14" s="1"/>
  <c r="DI207" i="14"/>
  <c r="DI203" i="14" s="1"/>
  <c r="DI101" i="14"/>
  <c r="DI94" i="14" s="1"/>
  <c r="CB43" i="14"/>
  <c r="CA43" i="14" s="1"/>
  <c r="BM260" i="14"/>
  <c r="BM264" i="14" s="1"/>
  <c r="DG171" i="14"/>
  <c r="DG68" i="14"/>
  <c r="CB266" i="14"/>
  <c r="DG199" i="14"/>
  <c r="DI159" i="14"/>
  <c r="AW20" i="14"/>
  <c r="CD220" i="14"/>
  <c r="DG150" i="14"/>
  <c r="CD114" i="14"/>
  <c r="CB120" i="14"/>
  <c r="CA120" i="14" s="1"/>
  <c r="CB123" i="14"/>
  <c r="CA123" i="14" s="1"/>
  <c r="CB108" i="14"/>
  <c r="CA108" i="14" s="1"/>
  <c r="DI20" i="14"/>
  <c r="DG29" i="14"/>
  <c r="BL289" i="14"/>
  <c r="BL266" i="14"/>
  <c r="X331" i="14"/>
  <c r="W307" i="14"/>
  <c r="BL242" i="14"/>
  <c r="P242" i="14" s="1"/>
  <c r="DG224" i="14"/>
  <c r="DI195" i="14"/>
  <c r="DI128" i="14"/>
  <c r="DG125" i="14"/>
  <c r="AW79" i="14"/>
  <c r="AO316" i="14"/>
  <c r="AO330" i="14" s="1"/>
  <c r="AC264" i="14"/>
  <c r="AC292" i="14" s="1"/>
  <c r="Y262" i="14"/>
  <c r="AD262" i="14"/>
  <c r="Z264" i="14"/>
  <c r="Z292" i="14" s="1"/>
  <c r="Z306" i="14" s="1"/>
  <c r="Z294" i="14"/>
  <c r="Z308" i="14" s="1"/>
  <c r="Z318" i="14" s="1"/>
  <c r="Z332" i="14" s="1"/>
  <c r="BP294" i="14"/>
  <c r="BP308" i="14" s="1"/>
  <c r="BP318" i="14" s="1"/>
  <c r="BP316" i="14" s="1"/>
  <c r="BP330" i="14" s="1"/>
  <c r="CM39" i="14"/>
  <c r="CL39" i="14" s="1"/>
  <c r="AW151" i="14"/>
  <c r="DG166" i="14"/>
  <c r="AE262" i="14"/>
  <c r="AG265" i="14"/>
  <c r="CQ262" i="14"/>
  <c r="CD151" i="14"/>
  <c r="DG48" i="14"/>
  <c r="CE6" i="14"/>
  <c r="BB79" i="14"/>
  <c r="DG100" i="14"/>
  <c r="CI114" i="14"/>
  <c r="DG120" i="14"/>
  <c r="CI128" i="14"/>
  <c r="CE114" i="14"/>
  <c r="DG181" i="14"/>
  <c r="DG202" i="14"/>
  <c r="CM210" i="14"/>
  <c r="CN210" i="14" s="1"/>
  <c r="CN203" i="14" s="1"/>
  <c r="AR265" i="14"/>
  <c r="AW242" i="14"/>
  <c r="AK316" i="14"/>
  <c r="AK330" i="14" s="1"/>
  <c r="DG217" i="14"/>
  <c r="DG12" i="14"/>
  <c r="DG144" i="14"/>
  <c r="DG155" i="14"/>
  <c r="DG96" i="14"/>
  <c r="DG139" i="14"/>
  <c r="DG229" i="14"/>
  <c r="DG210" i="14"/>
  <c r="DJ195" i="14"/>
  <c r="AS307" i="14"/>
  <c r="AR293" i="14"/>
  <c r="BE258" i="14"/>
  <c r="BE260" i="14" s="1"/>
  <c r="BE264" i="14" s="1"/>
  <c r="BE292" i="14" s="1"/>
  <c r="DG47" i="14"/>
  <c r="DG11" i="14"/>
  <c r="DG31" i="14"/>
  <c r="DG88" i="14"/>
  <c r="AR151" i="14"/>
  <c r="DJ151" i="14"/>
  <c r="DG206" i="14"/>
  <c r="DG236" i="14"/>
  <c r="DG142" i="14"/>
  <c r="DG226" i="14"/>
  <c r="CS262" i="14"/>
  <c r="DG65" i="14"/>
  <c r="DI137" i="14"/>
  <c r="DI261" i="14"/>
  <c r="DG154" i="14"/>
  <c r="CT307" i="14"/>
  <c r="CB293" i="14"/>
  <c r="CA293" i="14" s="1"/>
  <c r="CC307" i="14"/>
  <c r="CB307" i="14" s="1"/>
  <c r="CA307" i="14" s="1"/>
  <c r="DG250" i="14"/>
  <c r="AR137" i="14"/>
  <c r="DG62" i="14"/>
  <c r="CD137" i="14"/>
  <c r="AZ258" i="14"/>
  <c r="AZ260" i="14" s="1"/>
  <c r="AZ294" i="14" s="1"/>
  <c r="AZ308" i="14" s="1"/>
  <c r="AZ318" i="14" s="1"/>
  <c r="DG208" i="14"/>
  <c r="DG55" i="14"/>
  <c r="DJ79" i="14"/>
  <c r="DG194" i="14"/>
  <c r="AW230" i="14"/>
  <c r="W265" i="14"/>
  <c r="AP264" i="14"/>
  <c r="AP292" i="14" s="1"/>
  <c r="AP306" i="14" s="1"/>
  <c r="BK264" i="14"/>
  <c r="BK292" i="14" s="1"/>
  <c r="BK294" i="14" s="1"/>
  <c r="BK308" i="14" s="1"/>
  <c r="BK318" i="14" s="1"/>
  <c r="DI8" i="14"/>
  <c r="AR20" i="14"/>
  <c r="DG38" i="14"/>
  <c r="DG52" i="14"/>
  <c r="CM63" i="14"/>
  <c r="CN63" i="14" s="1"/>
  <c r="X258" i="14"/>
  <c r="X260" i="14" s="1"/>
  <c r="W260" i="14" s="1"/>
  <c r="AW115" i="14"/>
  <c r="AW114" i="14" s="1"/>
  <c r="CI203" i="14"/>
  <c r="AR220" i="14"/>
  <c r="DG218" i="14"/>
  <c r="CI151" i="14"/>
  <c r="DG176" i="14"/>
  <c r="CM199" i="14"/>
  <c r="CN199" i="14" s="1"/>
  <c r="CN195" i="14" s="1"/>
  <c r="DG233" i="14"/>
  <c r="DG200" i="14"/>
  <c r="CO265" i="14"/>
  <c r="DE264" i="14"/>
  <c r="DG75" i="14"/>
  <c r="AP294" i="14"/>
  <c r="AP308" i="14" s="1"/>
  <c r="AP318" i="14" s="1"/>
  <c r="DG134" i="14"/>
  <c r="CB154" i="14"/>
  <c r="CA154" i="14" s="1"/>
  <c r="DG91" i="14"/>
  <c r="DG156" i="14"/>
  <c r="DJ114" i="14"/>
  <c r="DJ159" i="14"/>
  <c r="DJ230" i="14"/>
  <c r="AR57" i="14"/>
  <c r="AR94" i="14"/>
  <c r="CG108" i="14"/>
  <c r="DG108" i="14" s="1"/>
  <c r="BA258" i="14"/>
  <c r="BA260" i="14" s="1"/>
  <c r="DJ137" i="14"/>
  <c r="DJ220" i="14"/>
  <c r="DJ242" i="14"/>
  <c r="CM185" i="14"/>
  <c r="CM177" i="14" s="1"/>
  <c r="CL177" i="14" s="1"/>
  <c r="DG174" i="14"/>
  <c r="CC230" i="14"/>
  <c r="CC258" i="14" s="1"/>
  <c r="CC260" i="14" s="1"/>
  <c r="CN240" i="14"/>
  <c r="BC265" i="14"/>
  <c r="DG231" i="14"/>
  <c r="AK264" i="14"/>
  <c r="AK292" i="14" s="1"/>
  <c r="AK306" i="14" s="1"/>
  <c r="BG307" i="14"/>
  <c r="BG317" i="14" s="1"/>
  <c r="BG331" i="14" s="1"/>
  <c r="DG33" i="14"/>
  <c r="DG50" i="14"/>
  <c r="DG257" i="14"/>
  <c r="DG104" i="14"/>
  <c r="AG307" i="14"/>
  <c r="AH317" i="14"/>
  <c r="DG145" i="14"/>
  <c r="BF264" i="14"/>
  <c r="BF292" i="14" s="1"/>
  <c r="BF306" i="14" s="1"/>
  <c r="DG43" i="14"/>
  <c r="DG51" i="14"/>
  <c r="DG64" i="14"/>
  <c r="DG101" i="14"/>
  <c r="DG102" i="14"/>
  <c r="DG163" i="14"/>
  <c r="DG187" i="14"/>
  <c r="DG118" i="14"/>
  <c r="DG179" i="14"/>
  <c r="AO264" i="14"/>
  <c r="AO292" i="14" s="1"/>
  <c r="AO306" i="14" s="1"/>
  <c r="DG86" i="14"/>
  <c r="DG46" i="14"/>
  <c r="DG148" i="14"/>
  <c r="DG191" i="14"/>
  <c r="DG71" i="14"/>
  <c r="DG78" i="14"/>
  <c r="DG141" i="14"/>
  <c r="DG122" i="14"/>
  <c r="AD294" i="14"/>
  <c r="AD308" i="14" s="1"/>
  <c r="AD318" i="14" s="1"/>
  <c r="DG107" i="14"/>
  <c r="DG153" i="14"/>
  <c r="BP262" i="14"/>
  <c r="DG35" i="14"/>
  <c r="DG113" i="14"/>
  <c r="DG119" i="14"/>
  <c r="DG169" i="14"/>
  <c r="DG183" i="14"/>
  <c r="CB261" i="14"/>
  <c r="CA261" i="14" s="1"/>
  <c r="CX264" i="14"/>
  <c r="CX292" i="14" s="1"/>
  <c r="CX294" i="14" s="1"/>
  <c r="CX308" i="14" s="1"/>
  <c r="AO262" i="14"/>
  <c r="DG189" i="14"/>
  <c r="DG23" i="14"/>
  <c r="DG157" i="14"/>
  <c r="DG44" i="14"/>
  <c r="DG111" i="14"/>
  <c r="DG117" i="14"/>
  <c r="DG13" i="14"/>
  <c r="DG34" i="14"/>
  <c r="DG132" i="14"/>
  <c r="DG116" i="14"/>
  <c r="DG164" i="14"/>
  <c r="CS316" i="14"/>
  <c r="CS306" i="14"/>
  <c r="AG258" i="14"/>
  <c r="AL258" i="14"/>
  <c r="CY8" i="14"/>
  <c r="CY39" i="14"/>
  <c r="DG41" i="14"/>
  <c r="DG126" i="14"/>
  <c r="DG241" i="14"/>
  <c r="CW262" i="14"/>
  <c r="AC262" i="14"/>
  <c r="DG143" i="14"/>
  <c r="DG77" i="14"/>
  <c r="DG17" i="14"/>
  <c r="DG74" i="14"/>
  <c r="DG212" i="14"/>
  <c r="DG27" i="14"/>
  <c r="DG84" i="14"/>
  <c r="DG103" i="14"/>
  <c r="DG209" i="14"/>
  <c r="DG167" i="14"/>
  <c r="CJ203" i="14"/>
  <c r="DG109" i="14"/>
  <c r="DG61" i="14"/>
  <c r="DG251" i="14"/>
  <c r="DG170" i="14"/>
  <c r="DG225" i="14"/>
  <c r="AH264" i="14"/>
  <c r="AH292" i="14" s="1"/>
  <c r="AH306" i="14" s="1"/>
  <c r="AB258" i="14"/>
  <c r="DG10" i="14"/>
  <c r="DG205" i="14"/>
  <c r="DG121" i="14"/>
  <c r="DG49" i="14"/>
  <c r="DG67" i="14"/>
  <c r="DG54" i="14"/>
  <c r="DG82" i="14"/>
  <c r="DG93" i="14"/>
  <c r="DG182" i="14"/>
  <c r="AL260" i="14"/>
  <c r="DG193" i="14"/>
  <c r="DG234" i="14"/>
  <c r="DG238" i="14"/>
  <c r="AM264" i="14"/>
  <c r="AM292" i="14" s="1"/>
  <c r="CG255" i="14"/>
  <c r="CG242" i="14" s="1"/>
  <c r="Y264" i="14"/>
  <c r="Y292" i="14" s="1"/>
  <c r="Y306" i="14" s="1"/>
  <c r="AH262" i="14"/>
  <c r="AD306" i="14"/>
  <c r="DG85" i="14"/>
  <c r="DG19" i="14"/>
  <c r="DG123" i="14"/>
  <c r="DG26" i="14"/>
  <c r="DG106" i="14"/>
  <c r="DG147" i="14"/>
  <c r="DG98" i="14"/>
  <c r="DG149" i="14"/>
  <c r="DG211" i="14"/>
  <c r="CW294" i="14"/>
  <c r="CW308" i="14" s="1"/>
  <c r="CW306" i="14"/>
  <c r="CW318" i="14" s="1"/>
  <c r="CZ258" i="14"/>
  <c r="CZ260" i="14" s="1"/>
  <c r="CZ262" i="14" s="1"/>
  <c r="DG25" i="14"/>
  <c r="DG32" i="14"/>
  <c r="DG36" i="14"/>
  <c r="DG56" i="14"/>
  <c r="CF258" i="14"/>
  <c r="CF260" i="14" s="1"/>
  <c r="CF262" i="14" s="1"/>
  <c r="DG73" i="14"/>
  <c r="DG63" i="14"/>
  <c r="DG90" i="14"/>
  <c r="CB119" i="14"/>
  <c r="CA119" i="14" s="1"/>
  <c r="CG76" i="14"/>
  <c r="DG76" i="14" s="1"/>
  <c r="DG112" i="14"/>
  <c r="DG140" i="14"/>
  <c r="DG97" i="14"/>
  <c r="DG165" i="14"/>
  <c r="DG197" i="14"/>
  <c r="CD177" i="14"/>
  <c r="CY220" i="14"/>
  <c r="CI242" i="14"/>
  <c r="DG219" i="14"/>
  <c r="DG223" i="14"/>
  <c r="DG237" i="14"/>
  <c r="CS294" i="14"/>
  <c r="CS308" i="14" s="1"/>
  <c r="DG24" i="14"/>
  <c r="DG16" i="14"/>
  <c r="DG81" i="14"/>
  <c r="DG161" i="14"/>
  <c r="DG168" i="14"/>
  <c r="DG136" i="14"/>
  <c r="DD262" i="14"/>
  <c r="DD264" i="14"/>
  <c r="DG252" i="14"/>
  <c r="CY203" i="14"/>
  <c r="CY242" i="14"/>
  <c r="DG216" i="14"/>
  <c r="DG184" i="14"/>
  <c r="DG127" i="14"/>
  <c r="DG253" i="14"/>
  <c r="CY20" i="14"/>
  <c r="CY151" i="14"/>
  <c r="DG198" i="14"/>
  <c r="DG249" i="14"/>
  <c r="DG213" i="14"/>
  <c r="DG173" i="14"/>
  <c r="DG180" i="14"/>
  <c r="DG188" i="14"/>
  <c r="DG215" i="14"/>
  <c r="DG235" i="14"/>
  <c r="DG247" i="14"/>
  <c r="CM195" i="14"/>
  <c r="CL195" i="14" s="1"/>
  <c r="CY261" i="14"/>
  <c r="DG18" i="14"/>
  <c r="DG87" i="14"/>
  <c r="CV262" i="14"/>
  <c r="CV264" i="14"/>
  <c r="CV292" i="14" s="1"/>
  <c r="DG158" i="14"/>
  <c r="CH230" i="14"/>
  <c r="DJ177" i="14"/>
  <c r="CG240" i="14"/>
  <c r="DG240" i="14" s="1"/>
  <c r="DJ94" i="14"/>
  <c r="DG256" i="14"/>
  <c r="CE203" i="14"/>
  <c r="CD57" i="14"/>
  <c r="CD8" i="14"/>
  <c r="CH94" i="14"/>
  <c r="CG266" i="14"/>
  <c r="CG265" i="14" s="1"/>
  <c r="DJ39" i="14"/>
  <c r="CI39" i="14"/>
  <c r="DG185" i="14"/>
  <c r="DI242" i="14"/>
  <c r="DI220" i="14"/>
  <c r="DG248" i="14"/>
  <c r="CN228" i="14"/>
  <c r="CN220" i="14" s="1"/>
  <c r="CM220" i="14"/>
  <c r="CL220" i="14" s="1"/>
  <c r="CN245" i="14"/>
  <c r="CN27" i="14"/>
  <c r="CN20" i="14" s="1"/>
  <c r="CM20" i="14"/>
  <c r="CL20" i="14" s="1"/>
  <c r="BB6" i="14"/>
  <c r="DG45" i="14"/>
  <c r="DI64" i="14"/>
  <c r="DI57" i="14" s="1"/>
  <c r="BL57" i="14"/>
  <c r="P57" i="14" s="1"/>
  <c r="CB6" i="14"/>
  <c r="CA6" i="14"/>
  <c r="AT258" i="14"/>
  <c r="AT260" i="14" s="1"/>
  <c r="CD39" i="14"/>
  <c r="CA138" i="14"/>
  <c r="CA137" i="14" s="1"/>
  <c r="CB137" i="14"/>
  <c r="DG160" i="14"/>
  <c r="CG159" i="14"/>
  <c r="CY94" i="14"/>
  <c r="CN129" i="14"/>
  <c r="CN128" i="14" s="1"/>
  <c r="CM128" i="14"/>
  <c r="CL128" i="14" s="1"/>
  <c r="CM57" i="14"/>
  <c r="CL57" i="14" s="1"/>
  <c r="CG138" i="14"/>
  <c r="AI294" i="14"/>
  <c r="AI262" i="14"/>
  <c r="AI264" i="14"/>
  <c r="DG232" i="14"/>
  <c r="DI240" i="14"/>
  <c r="DI230" i="14" s="1"/>
  <c r="BL230" i="14"/>
  <c r="P230" i="14" s="1"/>
  <c r="BM265" i="14"/>
  <c r="CH266" i="14"/>
  <c r="AR177" i="14"/>
  <c r="BJ306" i="14"/>
  <c r="BJ294" i="14"/>
  <c r="BJ308" i="14" s="1"/>
  <c r="BJ318" i="14" s="1"/>
  <c r="AN331" i="14"/>
  <c r="AH318" i="14"/>
  <c r="CY114" i="14"/>
  <c r="CB8" i="14"/>
  <c r="CA9" i="14"/>
  <c r="CA8" i="14" s="1"/>
  <c r="CG79" i="14"/>
  <c r="DG80" i="14"/>
  <c r="BL94" i="14"/>
  <c r="P94" i="14" s="1"/>
  <c r="DJ128" i="14"/>
  <c r="AW159" i="14"/>
  <c r="DF264" i="14"/>
  <c r="DF262" i="14"/>
  <c r="CA243" i="14"/>
  <c r="CA242" i="14" s="1"/>
  <c r="CB242" i="14"/>
  <c r="CI220" i="14"/>
  <c r="CD242" i="14"/>
  <c r="BL177" i="14"/>
  <c r="P177" i="14" s="1"/>
  <c r="DI182" i="14"/>
  <c r="DI177" i="14" s="1"/>
  <c r="BG260" i="14"/>
  <c r="BH294" i="14"/>
  <c r="BH264" i="14"/>
  <c r="BL203" i="14"/>
  <c r="P203" i="14" s="1"/>
  <c r="CY177" i="14"/>
  <c r="CA310" i="14"/>
  <c r="CA314" i="14" s="1"/>
  <c r="CB314" i="14"/>
  <c r="CR262" i="14"/>
  <c r="CR264" i="14"/>
  <c r="CR292" i="14" s="1"/>
  <c r="BL220" i="14"/>
  <c r="AB265" i="14"/>
  <c r="BB266" i="14"/>
  <c r="BB265" i="14" s="1"/>
  <c r="BB268" i="14"/>
  <c r="BH331" i="14"/>
  <c r="CG314" i="14"/>
  <c r="CY195" i="14"/>
  <c r="AV294" i="14"/>
  <c r="AV308" i="14" s="1"/>
  <c r="AV318" i="14" s="1"/>
  <c r="AV306" i="14"/>
  <c r="CQ294" i="14"/>
  <c r="CQ308" i="14" s="1"/>
  <c r="CQ306" i="14"/>
  <c r="CQ318" i="14" s="1"/>
  <c r="CQ331" i="14" s="1"/>
  <c r="CQ316" i="14"/>
  <c r="AC308" i="14"/>
  <c r="CB267" i="14"/>
  <c r="CT258" i="14"/>
  <c r="DC258" i="14"/>
  <c r="DC260" i="14" s="1"/>
  <c r="BN258" i="14"/>
  <c r="W258" i="14"/>
  <c r="CI20" i="14"/>
  <c r="CM8" i="14"/>
  <c r="CL8" i="14" s="1"/>
  <c r="CN11" i="14"/>
  <c r="CN8" i="14" s="1"/>
  <c r="CN39" i="14"/>
  <c r="CB79" i="14"/>
  <c r="CA80" i="14"/>
  <c r="CA79" i="14" s="1"/>
  <c r="DJ20" i="14"/>
  <c r="DJ57" i="14"/>
  <c r="DI82" i="14"/>
  <c r="DI79" i="14" s="1"/>
  <c r="BL79" i="14"/>
  <c r="P79" i="14" s="1"/>
  <c r="DJ8" i="14"/>
  <c r="DJ261" i="14"/>
  <c r="CI57" i="14"/>
  <c r="DG72" i="14"/>
  <c r="CM79" i="14"/>
  <c r="CL79" i="14" s="1"/>
  <c r="CN95" i="14"/>
  <c r="CY137" i="14"/>
  <c r="CA152" i="14"/>
  <c r="CA151" i="14" s="1"/>
  <c r="CE57" i="14"/>
  <c r="DG133" i="14"/>
  <c r="CA95" i="14"/>
  <c r="CG128" i="14"/>
  <c r="DG129" i="14"/>
  <c r="CY128" i="14"/>
  <c r="CM151" i="14"/>
  <c r="CL151" i="14" s="1"/>
  <c r="CN152" i="14"/>
  <c r="CN151" i="14" s="1"/>
  <c r="AW177" i="14"/>
  <c r="CT260" i="14"/>
  <c r="CU264" i="14"/>
  <c r="CU294" i="14"/>
  <c r="CU262" i="14"/>
  <c r="CJ94" i="14"/>
  <c r="CM137" i="14"/>
  <c r="CL137" i="14" s="1"/>
  <c r="CN140" i="14"/>
  <c r="CN137" i="14" s="1"/>
  <c r="AF264" i="14"/>
  <c r="AF292" i="14" s="1"/>
  <c r="AF306" i="14" s="1"/>
  <c r="AF262" i="14"/>
  <c r="AF294" i="14"/>
  <c r="AF308" i="14" s="1"/>
  <c r="AF318" i="14" s="1"/>
  <c r="DG186" i="14"/>
  <c r="CD203" i="14"/>
  <c r="CB207" i="14"/>
  <c r="DG228" i="14"/>
  <c r="DG178" i="14"/>
  <c r="CG177" i="14"/>
  <c r="AA294" i="14"/>
  <c r="AA308" i="14" s="1"/>
  <c r="AA318" i="14" s="1"/>
  <c r="AA262" i="14"/>
  <c r="AA264" i="14"/>
  <c r="AA292" i="14" s="1"/>
  <c r="AA306" i="14" s="1"/>
  <c r="AL265" i="14"/>
  <c r="AM331" i="14"/>
  <c r="AL317" i="14"/>
  <c r="AL331" i="14" s="1"/>
  <c r="DG245" i="14"/>
  <c r="AG260" i="14"/>
  <c r="BC307" i="14"/>
  <c r="BB293" i="14"/>
  <c r="AW293" i="14"/>
  <c r="AX307" i="14"/>
  <c r="CA58" i="14"/>
  <c r="CA57" i="14" s="1"/>
  <c r="CB57" i="14"/>
  <c r="DG70" i="14"/>
  <c r="CY57" i="14"/>
  <c r="CG114" i="14"/>
  <c r="AY137" i="14"/>
  <c r="AY258" i="14" s="1"/>
  <c r="AY260" i="14" s="1"/>
  <c r="AW138" i="14"/>
  <c r="AW137" i="14" s="1"/>
  <c r="CJ79" i="14"/>
  <c r="CA129" i="14"/>
  <c r="CA128" i="14" s="1"/>
  <c r="CB128" i="14"/>
  <c r="DG196" i="14"/>
  <c r="CG195" i="14"/>
  <c r="BI264" i="14"/>
  <c r="BI292" i="14" s="1"/>
  <c r="CJ114" i="14"/>
  <c r="AW95" i="14"/>
  <c r="AW94" i="14" s="1"/>
  <c r="BD258" i="14"/>
  <c r="BD260" i="14" s="1"/>
  <c r="BG258" i="14"/>
  <c r="AX258" i="14"/>
  <c r="AX260" i="14" s="1"/>
  <c r="DI42" i="14"/>
  <c r="DI39" i="14" s="1"/>
  <c r="BL39" i="14"/>
  <c r="P39" i="14" s="1"/>
  <c r="DB258" i="14"/>
  <c r="DB260" i="14" s="1"/>
  <c r="BC294" i="14"/>
  <c r="BC264" i="14"/>
  <c r="DG21" i="14"/>
  <c r="CG20" i="14"/>
  <c r="CY79" i="14"/>
  <c r="DI120" i="14"/>
  <c r="DI114" i="14" s="1"/>
  <c r="BL114" i="14"/>
  <c r="P114" i="14" s="1"/>
  <c r="CA115" i="14"/>
  <c r="AN264" i="14"/>
  <c r="AN292" i="14" s="1"/>
  <c r="AN306" i="14" s="1"/>
  <c r="AN262" i="14"/>
  <c r="AN294" i="14"/>
  <c r="AN308" i="14" s="1"/>
  <c r="AN318" i="14" s="1"/>
  <c r="AN332" i="14" s="1"/>
  <c r="CB177" i="14"/>
  <c r="CA178" i="14"/>
  <c r="CA177" i="14" s="1"/>
  <c r="CI79" i="14"/>
  <c r="CM115" i="14"/>
  <c r="BB114" i="14"/>
  <c r="AJ262" i="14"/>
  <c r="AJ264" i="14"/>
  <c r="AJ292" i="14" s="1"/>
  <c r="AJ306" i="14" s="1"/>
  <c r="AJ294" i="14"/>
  <c r="AJ308" i="14" s="1"/>
  <c r="AJ318" i="14" s="1"/>
  <c r="CA231" i="14"/>
  <c r="CA230" i="14" s="1"/>
  <c r="CB230" i="14"/>
  <c r="CM230" i="14"/>
  <c r="CL230" i="14" s="1"/>
  <c r="CN231" i="14"/>
  <c r="BB242" i="14"/>
  <c r="CM246" i="14" s="1"/>
  <c r="CN246" i="14" s="1"/>
  <c r="DG9" i="14"/>
  <c r="CG8" i="14"/>
  <c r="AW8" i="14"/>
  <c r="CD20" i="14"/>
  <c r="DA258" i="14"/>
  <c r="DA260" i="14" s="1"/>
  <c r="CK258" i="14"/>
  <c r="CK260" i="14" s="1"/>
  <c r="CA40" i="14"/>
  <c r="CA39" i="14" s="1"/>
  <c r="CO258" i="14"/>
  <c r="DG40" i="14"/>
  <c r="DG6" i="14"/>
  <c r="CG6" i="14"/>
  <c r="CJ39" i="14"/>
  <c r="AU258" i="14"/>
  <c r="CA21" i="14"/>
  <c r="CA20" i="14" s="1"/>
  <c r="CB20" i="14"/>
  <c r="AW39" i="14"/>
  <c r="DG58" i="14"/>
  <c r="DG66" i="14"/>
  <c r="BO258" i="14"/>
  <c r="CG42" i="14"/>
  <c r="DG42" i="14" s="1"/>
  <c r="BB94" i="14"/>
  <c r="CM103" i="14" s="1"/>
  <c r="CN103" i="14" s="1"/>
  <c r="DG60" i="14"/>
  <c r="DI154" i="14"/>
  <c r="DI151" i="14" s="1"/>
  <c r="BL151" i="14"/>
  <c r="AW195" i="14"/>
  <c r="DG115" i="14"/>
  <c r="DG204" i="14"/>
  <c r="CG203" i="14"/>
  <c r="DJ207" i="14"/>
  <c r="DJ203" i="14" s="1"/>
  <c r="DG95" i="14"/>
  <c r="CN160" i="14"/>
  <c r="CM159" i="14"/>
  <c r="CL159" i="14" s="1"/>
  <c r="CI177" i="14"/>
  <c r="DG243" i="14"/>
  <c r="AW221" i="14"/>
  <c r="AW220" i="14" s="1"/>
  <c r="DG227" i="14"/>
  <c r="CN57" i="14"/>
  <c r="DG152" i="14"/>
  <c r="CG151" i="14"/>
  <c r="AS260" i="14"/>
  <c r="DG201" i="14"/>
  <c r="AM308" i="14"/>
  <c r="CG261" i="14"/>
  <c r="AE332" i="14"/>
  <c r="CA267" i="14"/>
  <c r="CA278" i="14"/>
  <c r="CB277" i="14"/>
  <c r="CA277" i="14" s="1"/>
  <c r="CB280" i="14"/>
  <c r="CA280" i="14" s="1"/>
  <c r="CA281" i="14"/>
  <c r="BD331" i="14"/>
  <c r="CY230" i="14"/>
  <c r="DJ265" i="14"/>
  <c r="BL293" i="14"/>
  <c r="P293" i="14" s="1"/>
  <c r="BM307" i="14"/>
  <c r="CH293" i="14"/>
  <c r="CG293" i="14" s="1"/>
  <c r="CA221" i="14"/>
  <c r="CA220" i="14" s="1"/>
  <c r="CB220" i="14"/>
  <c r="CC265" i="14"/>
  <c r="CC266" i="14"/>
  <c r="AL307" i="14"/>
  <c r="CT265" i="14"/>
  <c r="CY159" i="14"/>
  <c r="CO260" i="14"/>
  <c r="CP264" i="14"/>
  <c r="CP262" i="14"/>
  <c r="CP294" i="14"/>
  <c r="CG220" i="14"/>
  <c r="BG265" i="14"/>
  <c r="CB195" i="14"/>
  <c r="CA196" i="14"/>
  <c r="CA195" i="14" s="1"/>
  <c r="CC289" i="14"/>
  <c r="AB260" i="14"/>
  <c r="BP320" i="14"/>
  <c r="ED94" i="14"/>
  <c r="Y332" i="14" l="1"/>
  <c r="BN335" i="14"/>
  <c r="AU260" i="14"/>
  <c r="AU323" i="14" s="1"/>
  <c r="BO335" i="14"/>
  <c r="BL265" i="14"/>
  <c r="P266" i="14"/>
  <c r="CC317" i="14"/>
  <c r="CC331" i="14" s="1"/>
  <c r="CA266" i="14"/>
  <c r="CN159" i="14"/>
  <c r="CB39" i="14"/>
  <c r="CM121" i="14"/>
  <c r="CN121" i="14" s="1"/>
  <c r="BM294" i="14"/>
  <c r="BM308" i="14" s="1"/>
  <c r="CX306" i="14"/>
  <c r="CX318" i="14" s="1"/>
  <c r="CX331" i="14" s="1"/>
  <c r="CX330" i="14" s="1"/>
  <c r="X336" i="14"/>
  <c r="CM203" i="14"/>
  <c r="CL203" i="14" s="1"/>
  <c r="BV317" i="14"/>
  <c r="BV331" i="14" s="1"/>
  <c r="BZ331" i="14"/>
  <c r="BZ292" i="14"/>
  <c r="BO260" i="14"/>
  <c r="BO264" i="14" s="1"/>
  <c r="BO292" i="14" s="1"/>
  <c r="BO306" i="14" s="1"/>
  <c r="Z336" i="14"/>
  <c r="BN260" i="14"/>
  <c r="BN264" i="14" s="1"/>
  <c r="BN292" i="14" s="1"/>
  <c r="BN294" i="14" s="1"/>
  <c r="BN308" i="14" s="1"/>
  <c r="BN318" i="14" s="1"/>
  <c r="Y336" i="14"/>
  <c r="CB265" i="14"/>
  <c r="CA265" i="14" s="1"/>
  <c r="CB151" i="14"/>
  <c r="CB94" i="14"/>
  <c r="CA94" i="14"/>
  <c r="CG94" i="14"/>
  <c r="X294" i="14"/>
  <c r="W294" i="14" s="1"/>
  <c r="BA294" i="14"/>
  <c r="BA308" i="14" s="1"/>
  <c r="BA318" i="14" s="1"/>
  <c r="BA332" i="14" s="1"/>
  <c r="BA264" i="14"/>
  <c r="BA292" i="14" s="1"/>
  <c r="BA306" i="14" s="1"/>
  <c r="AV325" i="14" s="1"/>
  <c r="X264" i="14"/>
  <c r="X292" i="14" s="1"/>
  <c r="X262" i="14"/>
  <c r="W262" i="14" s="1"/>
  <c r="BP332" i="14"/>
  <c r="CZ294" i="14"/>
  <c r="CY294" i="14" s="1"/>
  <c r="Z316" i="14"/>
  <c r="Z330" i="14" s="1"/>
  <c r="AZ264" i="14"/>
  <c r="AZ292" i="14" s="1"/>
  <c r="AZ306" i="14" s="1"/>
  <c r="AU325" i="14" s="1"/>
  <c r="CZ264" i="14"/>
  <c r="CZ292" i="14" s="1"/>
  <c r="BB260" i="14"/>
  <c r="CT262" i="14"/>
  <c r="AS317" i="14"/>
  <c r="AR307" i="14"/>
  <c r="CA114" i="14"/>
  <c r="CN230" i="14"/>
  <c r="DG220" i="14"/>
  <c r="DG94" i="14"/>
  <c r="BF294" i="14"/>
  <c r="BF308" i="14" s="1"/>
  <c r="BF318" i="14" s="1"/>
  <c r="BF316" i="14" s="1"/>
  <c r="BF330" i="14" s="1"/>
  <c r="BK306" i="14"/>
  <c r="BF320" i="14" s="1"/>
  <c r="DG255" i="14"/>
  <c r="CN185" i="14"/>
  <c r="CN177" i="14" s="1"/>
  <c r="AP332" i="14"/>
  <c r="AP316" i="14"/>
  <c r="AP330" i="14" s="1"/>
  <c r="CE258" i="14"/>
  <c r="CE260" i="14" s="1"/>
  <c r="CE264" i="14" s="1"/>
  <c r="CE292" i="14" s="1"/>
  <c r="CH258" i="14"/>
  <c r="CH260" i="14" s="1"/>
  <c r="CH264" i="14" s="1"/>
  <c r="AG317" i="14"/>
  <c r="AG331" i="14" s="1"/>
  <c r="AH331" i="14"/>
  <c r="AG262" i="14"/>
  <c r="AL262" i="14"/>
  <c r="AB264" i="14"/>
  <c r="AL294" i="14"/>
  <c r="AD332" i="14"/>
  <c r="AD316" i="14"/>
  <c r="AD330" i="14" s="1"/>
  <c r="DG114" i="14"/>
  <c r="DG151" i="14"/>
  <c r="CG57" i="14"/>
  <c r="DG20" i="14"/>
  <c r="CF264" i="14"/>
  <c r="CF292" i="14" s="1"/>
  <c r="CF294" i="14" s="1"/>
  <c r="CF308" i="14" s="1"/>
  <c r="CF318" i="14" s="1"/>
  <c r="AB262" i="14"/>
  <c r="DG8" i="14"/>
  <c r="CV294" i="14"/>
  <c r="CV308" i="14" s="1"/>
  <c r="CV306" i="14"/>
  <c r="CV318" i="14" s="1"/>
  <c r="DG203" i="14"/>
  <c r="BK332" i="14"/>
  <c r="BK316" i="14"/>
  <c r="BK330" i="14" s="1"/>
  <c r="CW331" i="14"/>
  <c r="CW330" i="14" s="1"/>
  <c r="CW316" i="14"/>
  <c r="CB114" i="14"/>
  <c r="CY258" i="14"/>
  <c r="AB294" i="14"/>
  <c r="DG79" i="14"/>
  <c r="DG159" i="14"/>
  <c r="CH265" i="14"/>
  <c r="DG230" i="14"/>
  <c r="CG230" i="14"/>
  <c r="DG128" i="14"/>
  <c r="AW258" i="14"/>
  <c r="DG177" i="14"/>
  <c r="CI258" i="14"/>
  <c r="CI260" i="14" s="1"/>
  <c r="CI264" i="14" s="1"/>
  <c r="CI292" i="14" s="1"/>
  <c r="BL258" i="14"/>
  <c r="CJ258" i="14"/>
  <c r="CJ260" i="14" s="1"/>
  <c r="CJ262" i="14" s="1"/>
  <c r="DI258" i="14"/>
  <c r="DI260" i="14" s="1"/>
  <c r="AJ332" i="14"/>
  <c r="AJ316" i="14"/>
  <c r="AJ330" i="14" s="1"/>
  <c r="BI294" i="14"/>
  <c r="BI308" i="14" s="1"/>
  <c r="BI318" i="14" s="1"/>
  <c r="BI306" i="14"/>
  <c r="BC317" i="14"/>
  <c r="BB307" i="14"/>
  <c r="CR294" i="14"/>
  <c r="CR308" i="14" s="1"/>
  <c r="CR306" i="14"/>
  <c r="CR316" i="14"/>
  <c r="AM306" i="14"/>
  <c r="AL292" i="14"/>
  <c r="AL306" i="14" s="1"/>
  <c r="AH332" i="14"/>
  <c r="AH316" i="14"/>
  <c r="CG137" i="14"/>
  <c r="DG138" i="14"/>
  <c r="DG137" i="14" s="1"/>
  <c r="BB258" i="14"/>
  <c r="CN242" i="14"/>
  <c r="CP308" i="14"/>
  <c r="DG57" i="14"/>
  <c r="DG261" i="14"/>
  <c r="AX317" i="14"/>
  <c r="AW307" i="14"/>
  <c r="AW317" i="14" s="1"/>
  <c r="AW331" i="14" s="1"/>
  <c r="DJ258" i="14"/>
  <c r="DJ260" i="14" s="1"/>
  <c r="CC262" i="14"/>
  <c r="BH292" i="14"/>
  <c r="BG264" i="14"/>
  <c r="AI292" i="14"/>
  <c r="AG264" i="14"/>
  <c r="AT264" i="14"/>
  <c r="AT292" i="14" s="1"/>
  <c r="AT323" i="14"/>
  <c r="CM6" i="14"/>
  <c r="CN6" i="14"/>
  <c r="CM242" i="14"/>
  <c r="CL242" i="14" s="1"/>
  <c r="CO262" i="14"/>
  <c r="CH307" i="14"/>
  <c r="CG307" i="14" s="1"/>
  <c r="BM317" i="14"/>
  <c r="BL307" i="14"/>
  <c r="P307" i="14" s="1"/>
  <c r="AR258" i="14"/>
  <c r="DG242" i="14"/>
  <c r="DG39" i="14"/>
  <c r="BC292" i="14"/>
  <c r="DB262" i="14"/>
  <c r="DB264" i="14"/>
  <c r="DB292" i="14" s="1"/>
  <c r="DG195" i="14"/>
  <c r="CU308" i="14"/>
  <c r="CN94" i="14"/>
  <c r="DC262" i="14"/>
  <c r="DC264" i="14"/>
  <c r="DC292" i="14" s="1"/>
  <c r="AB308" i="14"/>
  <c r="AC318" i="14"/>
  <c r="BM292" i="14"/>
  <c r="CD317" i="14"/>
  <c r="CD331" i="14" s="1"/>
  <c r="AZ332" i="14"/>
  <c r="AZ316" i="14"/>
  <c r="AZ330" i="14" s="1"/>
  <c r="DA262" i="14"/>
  <c r="DA264" i="14"/>
  <c r="DA292" i="14" s="1"/>
  <c r="BD264" i="14"/>
  <c r="BD292" i="14" s="1"/>
  <c r="CY260" i="14"/>
  <c r="AA332" i="14"/>
  <c r="AA316" i="14"/>
  <c r="AA330" i="14" s="1"/>
  <c r="CA207" i="14"/>
  <c r="CA203" i="14" s="1"/>
  <c r="CB203" i="14"/>
  <c r="BJ332" i="14"/>
  <c r="BJ316" i="14"/>
  <c r="BJ330" i="14" s="1"/>
  <c r="CN115" i="14"/>
  <c r="CN114" i="14" s="1"/>
  <c r="AW260" i="14"/>
  <c r="AX264" i="14"/>
  <c r="AX294" i="14"/>
  <c r="CO264" i="14"/>
  <c r="CP292" i="14"/>
  <c r="AM318" i="14"/>
  <c r="AL308" i="14"/>
  <c r="AS264" i="14"/>
  <c r="AS294" i="14"/>
  <c r="AS323" i="14"/>
  <c r="CG39" i="14"/>
  <c r="CK264" i="14"/>
  <c r="CK292" i="14" s="1"/>
  <c r="CK262" i="14"/>
  <c r="BC308" i="14"/>
  <c r="BE294" i="14"/>
  <c r="BE308" i="14" s="1"/>
  <c r="BE318" i="14" s="1"/>
  <c r="BE306" i="14"/>
  <c r="BE320" i="14" s="1"/>
  <c r="AY264" i="14"/>
  <c r="AY292" i="14" s="1"/>
  <c r="AY306" i="14" s="1"/>
  <c r="AT325" i="14" s="1"/>
  <c r="AY294" i="14"/>
  <c r="AY308" i="14" s="1"/>
  <c r="AY318" i="14" s="1"/>
  <c r="AC306" i="14"/>
  <c r="AB292" i="14"/>
  <c r="AB306" i="14" s="1"/>
  <c r="AF332" i="14"/>
  <c r="AF316" i="14"/>
  <c r="AF330" i="14" s="1"/>
  <c r="CU292" i="14"/>
  <c r="CT264" i="14"/>
  <c r="CM94" i="14"/>
  <c r="CL94" i="14" s="1"/>
  <c r="AV332" i="14"/>
  <c r="AV316" i="14"/>
  <c r="AV330" i="14" s="1"/>
  <c r="AL264" i="14"/>
  <c r="BH308" i="14"/>
  <c r="AN316" i="14"/>
  <c r="AN330" i="14" s="1"/>
  <c r="AI308" i="14"/>
  <c r="AG294" i="14"/>
  <c r="CC264" i="14"/>
  <c r="FE177" i="14"/>
  <c r="BF332" i="14" l="1"/>
  <c r="CX316" i="14"/>
  <c r="BA316" i="14"/>
  <c r="BA330" i="14" s="1"/>
  <c r="AU264" i="14"/>
  <c r="AU292" i="14" s="1"/>
  <c r="AU294" i="14" s="1"/>
  <c r="AR260" i="14"/>
  <c r="AR323" i="14" s="1"/>
  <c r="P258" i="14"/>
  <c r="BL335" i="14"/>
  <c r="DI265" i="14"/>
  <c r="DG265" i="14" s="1"/>
  <c r="P265" i="14"/>
  <c r="CM114" i="14"/>
  <c r="CL114" i="14" s="1"/>
  <c r="CZ308" i="14"/>
  <c r="CY308" i="14" s="1"/>
  <c r="BZ294" i="14"/>
  <c r="BZ306" i="14"/>
  <c r="W336" i="14"/>
  <c r="BO294" i="14"/>
  <c r="BO308" i="14" s="1"/>
  <c r="BO318" i="14" s="1"/>
  <c r="BO332" i="14" s="1"/>
  <c r="BN306" i="14"/>
  <c r="BN320" i="14" s="1"/>
  <c r="BL260" i="14"/>
  <c r="P260" i="14" s="1"/>
  <c r="BL264" i="14"/>
  <c r="P264" i="14" s="1"/>
  <c r="X308" i="14"/>
  <c r="W308" i="14" s="1"/>
  <c r="W264" i="14"/>
  <c r="AS331" i="14"/>
  <c r="AR317" i="14"/>
  <c r="AR331" i="14" s="1"/>
  <c r="CE262" i="14"/>
  <c r="CH262" i="14"/>
  <c r="CF306" i="14"/>
  <c r="CT294" i="14"/>
  <c r="BG294" i="14"/>
  <c r="CY262" i="14"/>
  <c r="CT308" i="14"/>
  <c r="CV331" i="14"/>
  <c r="CV330" i="14" s="1"/>
  <c r="CV316" i="14"/>
  <c r="CO294" i="14"/>
  <c r="BO320" i="14"/>
  <c r="CI262" i="14"/>
  <c r="CG258" i="14"/>
  <c r="CJ264" i="14"/>
  <c r="CJ292" i="14" s="1"/>
  <c r="CJ294" i="14" s="1"/>
  <c r="CJ308" i="14" s="1"/>
  <c r="CJ318" i="14" s="1"/>
  <c r="DG258" i="14"/>
  <c r="DG260" i="14" s="1"/>
  <c r="DG262" i="14" s="1"/>
  <c r="CG260" i="14"/>
  <c r="BL294" i="14"/>
  <c r="P294" i="14" s="1"/>
  <c r="BC318" i="14"/>
  <c r="BC316" i="14" s="1"/>
  <c r="AS308" i="14"/>
  <c r="AS322" i="14"/>
  <c r="AB318" i="14"/>
  <c r="AB332" i="14" s="1"/>
  <c r="AC332" i="14"/>
  <c r="AC316" i="14"/>
  <c r="DB306" i="14"/>
  <c r="DB316" i="14" s="1"/>
  <c r="DB293" i="14"/>
  <c r="DB307" i="14" s="1"/>
  <c r="AT321" i="14"/>
  <c r="AT294" i="14"/>
  <c r="AT306" i="14"/>
  <c r="AI318" i="14"/>
  <c r="AG308" i="14"/>
  <c r="BN332" i="14"/>
  <c r="BN316" i="14"/>
  <c r="BN330" i="14" s="1"/>
  <c r="CY292" i="14"/>
  <c r="CY306" i="14" s="1"/>
  <c r="CY316" i="14" s="1"/>
  <c r="CZ306" i="14"/>
  <c r="AS292" i="14"/>
  <c r="CP316" i="14"/>
  <c r="CP306" i="14"/>
  <c r="CP318" i="14" s="1"/>
  <c r="CO292" i="14"/>
  <c r="DA293" i="14"/>
  <c r="DA306" i="14"/>
  <c r="BL317" i="14"/>
  <c r="CH317" i="14"/>
  <c r="BM331" i="14"/>
  <c r="CN258" i="14"/>
  <c r="CN260" i="14" s="1"/>
  <c r="BH306" i="14"/>
  <c r="BG292" i="14"/>
  <c r="BG306" i="14" s="1"/>
  <c r="BI332" i="14"/>
  <c r="BI316" i="14"/>
  <c r="BI330" i="14" s="1"/>
  <c r="CU306" i="14"/>
  <c r="CU318" i="14" s="1"/>
  <c r="CT292" i="14"/>
  <c r="CT306" i="14" s="1"/>
  <c r="CY264" i="14"/>
  <c r="AX308" i="14"/>
  <c r="AW294" i="14"/>
  <c r="BM318" i="14"/>
  <c r="BM316" i="14" s="1"/>
  <c r="BL292" i="14"/>
  <c r="P292" i="14" s="1"/>
  <c r="CH292" i="14"/>
  <c r="BM306" i="14"/>
  <c r="CB317" i="14"/>
  <c r="DC306" i="14"/>
  <c r="DC316" i="14" s="1"/>
  <c r="DC293" i="14"/>
  <c r="DC307" i="14" s="1"/>
  <c r="CF332" i="14"/>
  <c r="CF316" i="14"/>
  <c r="CF330" i="14" s="1"/>
  <c r="BC306" i="14"/>
  <c r="BB292" i="14"/>
  <c r="BB306" i="14" s="1"/>
  <c r="CL6" i="14"/>
  <c r="CM258" i="14"/>
  <c r="CM260" i="14" s="1"/>
  <c r="CE306" i="14"/>
  <c r="CE294" i="14"/>
  <c r="CE308" i="14" s="1"/>
  <c r="CE318" i="14" s="1"/>
  <c r="CO308" i="14"/>
  <c r="AH330" i="14"/>
  <c r="CI294" i="14"/>
  <c r="CI308" i="14" s="1"/>
  <c r="CI318" i="14" s="1"/>
  <c r="CI306" i="14"/>
  <c r="CC292" i="14"/>
  <c r="CK294" i="14"/>
  <c r="CK308" i="14" s="1"/>
  <c r="CK318" i="14" s="1"/>
  <c r="CK306" i="14"/>
  <c r="AL318" i="14"/>
  <c r="AL332" i="14" s="1"/>
  <c r="AM332" i="14"/>
  <c r="AM316" i="14"/>
  <c r="CH308" i="14"/>
  <c r="CC294" i="14"/>
  <c r="BH318" i="14"/>
  <c r="BG308" i="14"/>
  <c r="BG318" i="14" s="1"/>
  <c r="BG332" i="14" s="1"/>
  <c r="AY332" i="14"/>
  <c r="AY316" i="14"/>
  <c r="AY330" i="14" s="1"/>
  <c r="BE332" i="14"/>
  <c r="BE316" i="14"/>
  <c r="BE330" i="14" s="1"/>
  <c r="AW264" i="14"/>
  <c r="AX292" i="14"/>
  <c r="CH294" i="14"/>
  <c r="BD294" i="14"/>
  <c r="BD306" i="14"/>
  <c r="BD320" i="14" s="1"/>
  <c r="W292" i="14"/>
  <c r="W306" i="14" s="1"/>
  <c r="X306" i="14"/>
  <c r="BB264" i="14"/>
  <c r="AI306" i="14"/>
  <c r="AG292" i="14"/>
  <c r="AG306" i="14" s="1"/>
  <c r="DJ262" i="14"/>
  <c r="DJ316" i="14"/>
  <c r="AX331" i="14"/>
  <c r="BB317" i="14"/>
  <c r="BB331" i="14" s="1"/>
  <c r="BC331" i="14"/>
  <c r="DI262" i="14"/>
  <c r="ER242" i="14"/>
  <c r="DI316" i="14" l="1"/>
  <c r="AU321" i="14"/>
  <c r="BL331" i="14"/>
  <c r="P331" i="14" s="1"/>
  <c r="P317" i="14"/>
  <c r="AU306" i="14"/>
  <c r="AR264" i="14"/>
  <c r="BC320" i="14"/>
  <c r="BZ308" i="14"/>
  <c r="BL306" i="14"/>
  <c r="BL308" i="14"/>
  <c r="P308" i="14" s="1"/>
  <c r="BO316" i="14"/>
  <c r="BO330" i="14" s="1"/>
  <c r="CG262" i="14"/>
  <c r="X318" i="14"/>
  <c r="X316" i="14" s="1"/>
  <c r="BB320" i="14"/>
  <c r="CJ306" i="14"/>
  <c r="CG292" i="14"/>
  <c r="CG306" i="14" s="1"/>
  <c r="CG264" i="14"/>
  <c r="DG316" i="14"/>
  <c r="BC330" i="14"/>
  <c r="CG294" i="14"/>
  <c r="CO316" i="14"/>
  <c r="CO306" i="14"/>
  <c r="AT308" i="14"/>
  <c r="AT318" i="14" s="1"/>
  <c r="AT322" i="14"/>
  <c r="AC330" i="14"/>
  <c r="AB316" i="14"/>
  <c r="AB330" i="14" s="1"/>
  <c r="AS318" i="14"/>
  <c r="AX306" i="14"/>
  <c r="AS325" i="14" s="1"/>
  <c r="AW292" i="14"/>
  <c r="AW306" i="14" s="1"/>
  <c r="AR325" i="14" s="1"/>
  <c r="CC306" i="14"/>
  <c r="CE332" i="14"/>
  <c r="CE316" i="14"/>
  <c r="CE330" i="14" s="1"/>
  <c r="CM262" i="14"/>
  <c r="CM268" i="14"/>
  <c r="CN264" i="14"/>
  <c r="CN265" i="14" s="1"/>
  <c r="CB331" i="14"/>
  <c r="CA317" i="14"/>
  <c r="CA331" i="14" s="1"/>
  <c r="AX318" i="14"/>
  <c r="AW308" i="14"/>
  <c r="AW318" i="14" s="1"/>
  <c r="AW332" i="14" s="1"/>
  <c r="CJ332" i="14"/>
  <c r="CJ316" i="14"/>
  <c r="CJ330" i="14" s="1"/>
  <c r="BM330" i="14"/>
  <c r="AU322" i="14"/>
  <c r="AU308" i="14"/>
  <c r="AU318" i="14" s="1"/>
  <c r="DA316" i="14"/>
  <c r="DA318" i="14"/>
  <c r="DA331" i="14" s="1"/>
  <c r="CP331" i="14"/>
  <c r="CO331" i="14" s="1"/>
  <c r="CO318" i="14"/>
  <c r="CZ318" i="14"/>
  <c r="CZ316" i="14"/>
  <c r="AR294" i="14"/>
  <c r="AR322" i="14" s="1"/>
  <c r="BH332" i="14"/>
  <c r="BH316" i="14"/>
  <c r="AL316" i="14"/>
  <c r="AL330" i="14" s="1"/>
  <c r="AM330" i="14"/>
  <c r="CK332" i="14"/>
  <c r="CK316" i="14"/>
  <c r="CK330" i="14" s="1"/>
  <c r="BM320" i="14"/>
  <c r="CH306" i="14"/>
  <c r="BM332" i="14"/>
  <c r="BL318" i="14"/>
  <c r="P318" i="14" s="1"/>
  <c r="CH331" i="14"/>
  <c r="CG317" i="14"/>
  <c r="CG331" i="14" s="1"/>
  <c r="CY293" i="14"/>
  <c r="DA307" i="14"/>
  <c r="CY307" i="14" s="1"/>
  <c r="AI316" i="14"/>
  <c r="AI332" i="14"/>
  <c r="AG318" i="14"/>
  <c r="AG332" i="14" s="1"/>
  <c r="BC332" i="14"/>
  <c r="BD308" i="14"/>
  <c r="BB294" i="14"/>
  <c r="CC308" i="14"/>
  <c r="CI332" i="14"/>
  <c r="CI316" i="14"/>
  <c r="CI330" i="14" s="1"/>
  <c r="CG308" i="14"/>
  <c r="CT318" i="14"/>
  <c r="CU316" i="14"/>
  <c r="CT316" i="14" s="1"/>
  <c r="CU331" i="14"/>
  <c r="CN262" i="14"/>
  <c r="CN268" i="14"/>
  <c r="AR292" i="14"/>
  <c r="AS306" i="14"/>
  <c r="AS321" i="14"/>
  <c r="EB289" i="14"/>
  <c r="EE289" i="14" s="1"/>
  <c r="EC286" i="14"/>
  <c r="EB286" i="14" s="1"/>
  <c r="EF286" i="14" s="1"/>
  <c r="EC283" i="14"/>
  <c r="EB283" i="14" s="1"/>
  <c r="EE283" i="14" s="1"/>
  <c r="EC280" i="14"/>
  <c r="EB280" i="14" s="1"/>
  <c r="EF280" i="14" s="1"/>
  <c r="EC277" i="14"/>
  <c r="EB277" i="14" s="1"/>
  <c r="EC274" i="14"/>
  <c r="EC271" i="14"/>
  <c r="EB271" i="14" s="1"/>
  <c r="EE271" i="14" s="1"/>
  <c r="EC268" i="14"/>
  <c r="EB268" i="14" s="1"/>
  <c r="EE268" i="14" s="1"/>
  <c r="BL320" i="14" l="1"/>
  <c r="P320" i="14" s="1"/>
  <c r="P306" i="14"/>
  <c r="BZ318" i="14"/>
  <c r="BL332" i="14"/>
  <c r="P332" i="14" s="1"/>
  <c r="BL316" i="14"/>
  <c r="P316" i="14" s="1"/>
  <c r="EB274" i="14"/>
  <c r="EF274" i="14" s="1"/>
  <c r="EC264" i="14"/>
  <c r="W318" i="14"/>
  <c r="W332" i="14" s="1"/>
  <c r="X332" i="14"/>
  <c r="BD318" i="14"/>
  <c r="BB308" i="14"/>
  <c r="AR306" i="14"/>
  <c r="AR321" i="14"/>
  <c r="CC318" i="14"/>
  <c r="AI330" i="14"/>
  <c r="AG316" i="14"/>
  <c r="AG330" i="14" s="1"/>
  <c r="AS332" i="14"/>
  <c r="AR318" i="14"/>
  <c r="AR332" i="14" s="1"/>
  <c r="AS316" i="14"/>
  <c r="AT332" i="14"/>
  <c r="AT316" i="14"/>
  <c r="AT330" i="14" s="1"/>
  <c r="BG316" i="14"/>
  <c r="BG330" i="14" s="1"/>
  <c r="BH330" i="14"/>
  <c r="CY318" i="14"/>
  <c r="CZ331" i="14"/>
  <c r="CY331" i="14" s="1"/>
  <c r="CT331" i="14"/>
  <c r="CU330" i="14"/>
  <c r="CT330" i="14" s="1"/>
  <c r="CH318" i="14"/>
  <c r="X330" i="14"/>
  <c r="W316" i="14"/>
  <c r="W330" i="14" s="1"/>
  <c r="AU332" i="14"/>
  <c r="AU316" i="14"/>
  <c r="AU330" i="14" s="1"/>
  <c r="AX332" i="14"/>
  <c r="AX316" i="14"/>
  <c r="AR308" i="14"/>
  <c r="EF268" i="14"/>
  <c r="EE286" i="14"/>
  <c r="EF289" i="14"/>
  <c r="EF283" i="14"/>
  <c r="EE280" i="14"/>
  <c r="EF271" i="14"/>
  <c r="EQ257" i="14"/>
  <c r="EQ256" i="14"/>
  <c r="EQ255" i="14"/>
  <c r="EQ254" i="14"/>
  <c r="EQ253" i="14"/>
  <c r="EQ252" i="14"/>
  <c r="EQ250" i="14"/>
  <c r="EQ248" i="14"/>
  <c r="EQ245" i="14"/>
  <c r="EQ241" i="14"/>
  <c r="EQ239" i="14"/>
  <c r="EQ234" i="14"/>
  <c r="EQ233" i="14"/>
  <c r="EQ231" i="14"/>
  <c r="EQ229" i="14"/>
  <c r="EQ227" i="14"/>
  <c r="EQ226" i="14"/>
  <c r="EQ225" i="14"/>
  <c r="EQ223" i="14"/>
  <c r="EQ219" i="14"/>
  <c r="EQ218" i="14"/>
  <c r="EQ217" i="14"/>
  <c r="EQ216" i="14"/>
  <c r="EQ215" i="14"/>
  <c r="EQ214" i="14"/>
  <c r="EQ213" i="14"/>
  <c r="EQ211" i="14"/>
  <c r="EQ210" i="14"/>
  <c r="EQ209" i="14"/>
  <c r="EQ208" i="14"/>
  <c r="EQ207" i="14"/>
  <c r="EQ206" i="14"/>
  <c r="EQ202" i="14"/>
  <c r="EQ201" i="14"/>
  <c r="EQ200" i="14"/>
  <c r="EQ199" i="14"/>
  <c r="EQ198" i="14"/>
  <c r="EQ194" i="14"/>
  <c r="EQ193" i="14"/>
  <c r="EQ192" i="14"/>
  <c r="EQ190" i="14"/>
  <c r="EQ189" i="14"/>
  <c r="EQ186" i="14"/>
  <c r="EQ185" i="14"/>
  <c r="EQ184" i="14"/>
  <c r="EQ183" i="14"/>
  <c r="EQ182" i="14"/>
  <c r="EQ180" i="14"/>
  <c r="EQ178" i="14"/>
  <c r="EQ175" i="14"/>
  <c r="EQ174" i="14"/>
  <c r="EQ173" i="14"/>
  <c r="EQ172" i="14"/>
  <c r="EQ169" i="14"/>
  <c r="EQ167" i="14"/>
  <c r="EQ166" i="14"/>
  <c r="EQ165" i="14"/>
  <c r="EQ164" i="14"/>
  <c r="EQ163" i="14"/>
  <c r="EQ162" i="14"/>
  <c r="EQ160" i="14"/>
  <c r="EQ155" i="14"/>
  <c r="EQ150" i="14"/>
  <c r="EQ149" i="14"/>
  <c r="EQ148" i="14"/>
  <c r="EQ144" i="14"/>
  <c r="EQ143" i="14"/>
  <c r="EQ142" i="14"/>
  <c r="EQ141" i="14"/>
  <c r="EQ140" i="14"/>
  <c r="EQ127" i="14"/>
  <c r="EQ126" i="14"/>
  <c r="EQ125" i="14"/>
  <c r="EQ123" i="14"/>
  <c r="EQ120" i="14"/>
  <c r="EQ119" i="14"/>
  <c r="EQ117" i="14"/>
  <c r="EQ113" i="14"/>
  <c r="EQ112" i="14"/>
  <c r="EQ110" i="14"/>
  <c r="EQ109" i="14"/>
  <c r="EQ106" i="14"/>
  <c r="EQ104" i="14"/>
  <c r="EQ103" i="14"/>
  <c r="EQ102" i="14"/>
  <c r="EQ101" i="14"/>
  <c r="EQ100" i="14"/>
  <c r="EQ99" i="14"/>
  <c r="EQ98" i="14"/>
  <c r="EQ97" i="14"/>
  <c r="EQ92" i="14"/>
  <c r="EQ89" i="14"/>
  <c r="EQ88" i="14"/>
  <c r="EQ87" i="14"/>
  <c r="EQ86" i="14"/>
  <c r="EQ85" i="14"/>
  <c r="EQ84" i="14"/>
  <c r="EQ82" i="14"/>
  <c r="EQ77" i="14"/>
  <c r="EQ76" i="14"/>
  <c r="EQ75" i="14"/>
  <c r="EQ74" i="14"/>
  <c r="EQ73" i="14"/>
  <c r="EQ72" i="14"/>
  <c r="EQ71" i="14"/>
  <c r="EQ69" i="14"/>
  <c r="EQ66" i="14"/>
  <c r="EQ64" i="14"/>
  <c r="EQ63" i="14"/>
  <c r="EQ61" i="14"/>
  <c r="EQ60" i="14"/>
  <c r="EQ54" i="14"/>
  <c r="EQ53" i="14"/>
  <c r="EQ52" i="14"/>
  <c r="EQ51" i="14"/>
  <c r="EQ50" i="14"/>
  <c r="EQ48" i="14"/>
  <c r="EQ47" i="14"/>
  <c r="EQ46" i="14"/>
  <c r="EQ45" i="14"/>
  <c r="EQ44" i="14"/>
  <c r="EQ43" i="14"/>
  <c r="EQ38" i="14"/>
  <c r="EQ37" i="14"/>
  <c r="EQ36" i="14"/>
  <c r="EQ35" i="14"/>
  <c r="EQ33" i="14"/>
  <c r="EQ32" i="14"/>
  <c r="EQ29" i="14"/>
  <c r="EQ28" i="14"/>
  <c r="EQ27" i="14"/>
  <c r="EQ26" i="14"/>
  <c r="EQ25" i="14"/>
  <c r="EQ24" i="14"/>
  <c r="EQ23" i="14"/>
  <c r="EQ21" i="14"/>
  <c r="EQ19" i="14"/>
  <c r="EQ18" i="14"/>
  <c r="EQ17" i="14"/>
  <c r="EQ16" i="14"/>
  <c r="EQ15" i="14"/>
  <c r="EQ14" i="14"/>
  <c r="EQ12" i="14"/>
  <c r="BZ316" i="14" l="1"/>
  <c r="BZ332" i="14"/>
  <c r="BL330" i="14"/>
  <c r="P330" i="14" s="1"/>
  <c r="EE274" i="14"/>
  <c r="AW316" i="14"/>
  <c r="AW330" i="14" s="1"/>
  <c r="AX330" i="14"/>
  <c r="CH316" i="14"/>
  <c r="AS330" i="14"/>
  <c r="AR316" i="14"/>
  <c r="AR330" i="14" s="1"/>
  <c r="CH332" i="14"/>
  <c r="CG318" i="14"/>
  <c r="CG332" i="14" s="1"/>
  <c r="CC332" i="14"/>
  <c r="CC316" i="14"/>
  <c r="BD332" i="14"/>
  <c r="BD316" i="14"/>
  <c r="BB318" i="14"/>
  <c r="BB332" i="14" s="1"/>
  <c r="FJ255" i="14"/>
  <c r="FI255" i="14"/>
  <c r="FJ239" i="14"/>
  <c r="FI239" i="14"/>
  <c r="FJ227" i="14"/>
  <c r="FI227" i="14"/>
  <c r="FJ215" i="14"/>
  <c r="FJ193" i="14"/>
  <c r="FI193" i="14"/>
  <c r="FJ178" i="14"/>
  <c r="FI178" i="14"/>
  <c r="FJ160" i="14"/>
  <c r="FI160" i="14"/>
  <c r="FJ156" i="14"/>
  <c r="FI156" i="14"/>
  <c r="FJ150" i="14"/>
  <c r="FI150" i="14"/>
  <c r="FJ146" i="14"/>
  <c r="FI146" i="14"/>
  <c r="FJ143" i="14"/>
  <c r="FI143" i="14"/>
  <c r="FJ141" i="14"/>
  <c r="FI141" i="14"/>
  <c r="FJ140" i="14"/>
  <c r="FI140" i="14"/>
  <c r="FJ133" i="14"/>
  <c r="FI133" i="14"/>
  <c r="FJ127" i="14"/>
  <c r="FI127" i="14"/>
  <c r="FJ120" i="14"/>
  <c r="FI120" i="14"/>
  <c r="FJ112" i="14"/>
  <c r="FJ110" i="14"/>
  <c r="FI110" i="14"/>
  <c r="FJ103" i="14"/>
  <c r="FI103" i="14"/>
  <c r="FJ91" i="14"/>
  <c r="FI91" i="14"/>
  <c r="FJ77" i="14"/>
  <c r="FI77" i="14"/>
  <c r="FJ66" i="14"/>
  <c r="FI66" i="14"/>
  <c r="FJ62" i="14"/>
  <c r="FI62" i="14"/>
  <c r="FJ61" i="14"/>
  <c r="FI61" i="14"/>
  <c r="FJ54" i="14"/>
  <c r="FI54" i="14"/>
  <c r="FJ38" i="14"/>
  <c r="FI38" i="14"/>
  <c r="FJ26" i="14"/>
  <c r="FI26" i="14"/>
  <c r="FJ21" i="14"/>
  <c r="FI21" i="14"/>
  <c r="FJ17" i="14"/>
  <c r="FI17" i="14"/>
  <c r="FI11" i="14"/>
  <c r="FI6" i="14"/>
  <c r="FD255" i="14"/>
  <c r="FC255" i="14" s="1"/>
  <c r="FG255" i="14" s="1"/>
  <c r="FD239" i="14"/>
  <c r="FC239" i="14" s="1"/>
  <c r="FG239" i="14" s="1"/>
  <c r="FD227" i="14"/>
  <c r="FC227" i="14" s="1"/>
  <c r="FG227" i="14" s="1"/>
  <c r="FD215" i="14"/>
  <c r="FD178" i="14"/>
  <c r="FC178" i="14" s="1"/>
  <c r="FF178" i="14" s="1"/>
  <c r="FD160" i="14"/>
  <c r="FC160" i="14" s="1"/>
  <c r="FG160" i="14" s="1"/>
  <c r="FD156" i="14"/>
  <c r="FD150" i="14"/>
  <c r="FC150" i="14" s="1"/>
  <c r="FD146" i="14"/>
  <c r="FC146" i="14" s="1"/>
  <c r="FD143" i="14"/>
  <c r="FC143" i="14" s="1"/>
  <c r="FG143" i="14" s="1"/>
  <c r="FD141" i="14"/>
  <c r="FC141" i="14" s="1"/>
  <c r="FD140" i="14"/>
  <c r="FD133" i="14"/>
  <c r="FC133" i="14" s="1"/>
  <c r="FG133" i="14" s="1"/>
  <c r="FD127" i="14"/>
  <c r="FC127" i="14" s="1"/>
  <c r="FG127" i="14" s="1"/>
  <c r="FD120" i="14"/>
  <c r="FC120" i="14" s="1"/>
  <c r="FD119" i="14"/>
  <c r="FC119" i="14" s="1"/>
  <c r="FG119" i="14" s="1"/>
  <c r="FD110" i="14"/>
  <c r="FC110" i="14" s="1"/>
  <c r="FD103" i="14"/>
  <c r="FC103" i="14" s="1"/>
  <c r="FD91" i="14"/>
  <c r="FC91" i="14" s="1"/>
  <c r="FG91" i="14" s="1"/>
  <c r="FD84" i="14"/>
  <c r="FC84" i="14" s="1"/>
  <c r="FG84" i="14" s="1"/>
  <c r="FD82" i="14"/>
  <c r="FC82" i="14" s="1"/>
  <c r="FG82" i="14" s="1"/>
  <c r="FD77" i="14"/>
  <c r="FC77" i="14" s="1"/>
  <c r="FD66" i="14"/>
  <c r="FC66" i="14" s="1"/>
  <c r="FD62" i="14"/>
  <c r="FC62" i="14" s="1"/>
  <c r="FD61" i="14"/>
  <c r="FC61" i="14" s="1"/>
  <c r="FF61" i="14" s="1"/>
  <c r="FD54" i="14"/>
  <c r="FC54" i="14" s="1"/>
  <c r="FD43" i="14"/>
  <c r="FC43" i="14" s="1"/>
  <c r="FG43" i="14" s="1"/>
  <c r="FD38" i="14"/>
  <c r="FC38" i="14" s="1"/>
  <c r="FD26" i="14"/>
  <c r="FC26" i="14" s="1"/>
  <c r="FF26" i="14" s="1"/>
  <c r="FD6" i="14"/>
  <c r="EW257" i="14"/>
  <c r="EV257" i="14"/>
  <c r="EW256" i="14"/>
  <c r="EV256" i="14"/>
  <c r="EW254" i="14"/>
  <c r="EV254" i="14"/>
  <c r="EW253" i="14"/>
  <c r="EV253" i="14"/>
  <c r="EW252" i="14"/>
  <c r="EV252" i="14"/>
  <c r="EW250" i="14"/>
  <c r="EV250" i="14"/>
  <c r="EW248" i="14"/>
  <c r="EV248" i="14"/>
  <c r="EW245" i="14"/>
  <c r="EV245" i="14"/>
  <c r="EW241" i="14"/>
  <c r="EV241" i="14"/>
  <c r="EW240" i="14"/>
  <c r="EW239" i="14"/>
  <c r="EV239" i="14"/>
  <c r="EW234" i="14"/>
  <c r="EV234" i="14"/>
  <c r="EW233" i="14"/>
  <c r="EV233" i="14"/>
  <c r="EW231" i="14"/>
  <c r="EV231" i="14"/>
  <c r="EW228" i="14"/>
  <c r="EW227" i="14"/>
  <c r="EV227" i="14"/>
  <c r="EW226" i="14"/>
  <c r="EV226" i="14"/>
  <c r="EW225" i="14"/>
  <c r="EV225" i="14"/>
  <c r="EW223" i="14"/>
  <c r="EV223" i="14"/>
  <c r="EW221" i="14"/>
  <c r="EV221" i="14"/>
  <c r="EV219" i="14"/>
  <c r="EW218" i="14"/>
  <c r="EV218" i="14"/>
  <c r="EW217" i="14"/>
  <c r="EV217" i="14"/>
  <c r="EW216" i="14"/>
  <c r="EV216" i="14"/>
  <c r="EW215" i="14"/>
  <c r="EV215" i="14"/>
  <c r="EW214" i="14"/>
  <c r="EV214" i="14"/>
  <c r="EW213" i="14"/>
  <c r="EV213" i="14"/>
  <c r="EW212" i="14"/>
  <c r="EW211" i="14"/>
  <c r="EV211" i="14"/>
  <c r="EW210" i="14"/>
  <c r="EV210" i="14"/>
  <c r="EW209" i="14"/>
  <c r="EV209" i="14"/>
  <c r="EW208" i="14"/>
  <c r="EV208" i="14"/>
  <c r="EW206" i="14"/>
  <c r="EV206" i="14"/>
  <c r="EW202" i="14"/>
  <c r="EV202" i="14"/>
  <c r="EW201" i="14"/>
  <c r="EV201" i="14"/>
  <c r="EW200" i="14"/>
  <c r="EV200" i="14"/>
  <c r="EW199" i="14"/>
  <c r="EV199" i="14"/>
  <c r="EW198" i="14"/>
  <c r="EV198" i="14"/>
  <c r="EW194" i="14"/>
  <c r="EV194" i="14"/>
  <c r="EW190" i="14"/>
  <c r="EV190" i="14"/>
  <c r="EW189" i="14"/>
  <c r="EV189" i="14"/>
  <c r="EW188" i="14"/>
  <c r="EV188" i="14"/>
  <c r="EW186" i="14"/>
  <c r="EV186" i="14"/>
  <c r="EW185" i="14"/>
  <c r="EV185" i="14"/>
  <c r="EW184" i="14"/>
  <c r="EV184" i="14"/>
  <c r="EW178" i="14"/>
  <c r="EV178" i="14"/>
  <c r="EW175" i="14"/>
  <c r="EV175" i="14"/>
  <c r="EW174" i="14"/>
  <c r="EV174" i="14"/>
  <c r="EW173" i="14"/>
  <c r="EV173" i="14"/>
  <c r="EW172" i="14"/>
  <c r="EV172" i="14"/>
  <c r="EW171" i="14"/>
  <c r="EV171" i="14"/>
  <c r="EW169" i="14"/>
  <c r="EV169" i="14"/>
  <c r="EW168" i="14"/>
  <c r="EV168" i="14"/>
  <c r="EW167" i="14"/>
  <c r="EV167" i="14"/>
  <c r="EW166" i="14"/>
  <c r="EV166" i="14"/>
  <c r="EW165" i="14"/>
  <c r="EV165" i="14"/>
  <c r="EW164" i="14"/>
  <c r="EV164" i="14"/>
  <c r="EW163" i="14"/>
  <c r="EV163" i="14"/>
  <c r="EW162" i="14"/>
  <c r="EV162" i="14"/>
  <c r="EW160" i="14"/>
  <c r="EV160" i="14"/>
  <c r="EV157" i="14"/>
  <c r="EW155" i="14"/>
  <c r="EV155" i="14"/>
  <c r="EW154" i="14"/>
  <c r="EV154" i="14"/>
  <c r="EW150" i="14"/>
  <c r="EV150" i="14"/>
  <c r="EW149" i="14"/>
  <c r="EV149" i="14"/>
  <c r="EW148" i="14"/>
  <c r="EV148" i="14"/>
  <c r="EW146" i="14"/>
  <c r="EV146" i="14"/>
  <c r="EW144" i="14"/>
  <c r="EV144" i="14"/>
  <c r="EW143" i="14"/>
  <c r="EV143" i="14"/>
  <c r="EW142" i="14"/>
  <c r="EV142" i="14"/>
  <c r="EW141" i="14"/>
  <c r="EV141" i="14"/>
  <c r="EW140" i="14"/>
  <c r="EV140" i="14"/>
  <c r="EW136" i="14"/>
  <c r="EV136" i="14"/>
  <c r="EW135" i="14"/>
  <c r="EV135" i="14"/>
  <c r="EW134" i="14"/>
  <c r="EV134" i="14"/>
  <c r="EW133" i="14"/>
  <c r="EV133" i="14"/>
  <c r="EW132" i="14"/>
  <c r="EV132" i="14"/>
  <c r="EW131" i="14"/>
  <c r="EV131" i="14"/>
  <c r="EW127" i="14"/>
  <c r="EV127" i="14"/>
  <c r="EW126" i="14"/>
  <c r="EV126" i="14"/>
  <c r="EW125" i="14"/>
  <c r="EV125" i="14"/>
  <c r="EW121" i="14"/>
  <c r="EV121" i="14"/>
  <c r="EW119" i="14"/>
  <c r="EV119" i="14"/>
  <c r="EW117" i="14"/>
  <c r="EV117" i="14"/>
  <c r="EW115" i="14"/>
  <c r="EV115" i="14"/>
  <c r="EW113" i="14"/>
  <c r="EV113" i="14"/>
  <c r="EW112" i="14"/>
  <c r="EV112" i="14"/>
  <c r="EW111" i="14"/>
  <c r="EV111" i="14"/>
  <c r="EW110" i="14"/>
  <c r="EV110" i="14"/>
  <c r="EW109" i="14"/>
  <c r="EV109" i="14"/>
  <c r="EW108" i="14"/>
  <c r="EW107" i="14"/>
  <c r="EV107" i="14"/>
  <c r="EW106" i="14"/>
  <c r="EV106" i="14"/>
  <c r="EW104" i="14"/>
  <c r="EV104" i="14"/>
  <c r="EW103" i="14"/>
  <c r="EV103" i="14"/>
  <c r="EW102" i="14"/>
  <c r="EV102" i="14"/>
  <c r="EW101" i="14"/>
  <c r="EV101" i="14"/>
  <c r="EW100" i="14"/>
  <c r="EV100" i="14"/>
  <c r="EW99" i="14"/>
  <c r="EV99" i="14"/>
  <c r="EW98" i="14"/>
  <c r="EV98" i="14"/>
  <c r="EW97" i="14"/>
  <c r="EV97" i="14"/>
  <c r="EW95" i="14"/>
  <c r="EV95" i="14"/>
  <c r="EW92" i="14"/>
  <c r="EV92" i="14"/>
  <c r="EW91" i="14"/>
  <c r="EV91" i="14"/>
  <c r="EW89" i="14"/>
  <c r="EV89" i="14"/>
  <c r="EW88" i="14"/>
  <c r="EV88" i="14"/>
  <c r="EW87" i="14"/>
  <c r="EV87" i="14"/>
  <c r="EW86" i="14"/>
  <c r="EV86" i="14"/>
  <c r="EW85" i="14"/>
  <c r="EV85" i="14"/>
  <c r="EW84" i="14"/>
  <c r="EV84" i="14"/>
  <c r="EW77" i="14"/>
  <c r="EV77" i="14"/>
  <c r="EW76" i="14"/>
  <c r="EV76" i="14"/>
  <c r="EW75" i="14"/>
  <c r="EV75" i="14"/>
  <c r="EW74" i="14"/>
  <c r="EV74" i="14"/>
  <c r="EW73" i="14"/>
  <c r="EV73" i="14"/>
  <c r="EW72" i="14"/>
  <c r="EV72" i="14"/>
  <c r="EW71" i="14"/>
  <c r="EV71" i="14"/>
  <c r="EW69" i="14"/>
  <c r="EV69" i="14"/>
  <c r="EW66" i="14"/>
  <c r="EV66" i="14"/>
  <c r="EW64" i="14"/>
  <c r="EW63" i="14"/>
  <c r="EV63" i="14"/>
  <c r="EW62" i="14"/>
  <c r="EV62" i="14"/>
  <c r="EW61" i="14"/>
  <c r="EV61" i="14"/>
  <c r="EW60" i="14"/>
  <c r="EV60" i="14"/>
  <c r="EW56" i="14"/>
  <c r="EV56" i="14"/>
  <c r="EW55" i="14"/>
  <c r="EV55" i="14"/>
  <c r="EW52" i="14"/>
  <c r="EU52" i="14" s="1"/>
  <c r="EV52" i="14"/>
  <c r="EV51" i="14"/>
  <c r="EW50" i="14"/>
  <c r="EV50" i="14"/>
  <c r="EW48" i="14"/>
  <c r="EV48" i="14"/>
  <c r="EW46" i="14"/>
  <c r="EV46" i="14"/>
  <c r="EW45" i="14"/>
  <c r="EV45" i="14"/>
  <c r="EW44" i="14"/>
  <c r="EV44" i="14"/>
  <c r="EW42" i="14"/>
  <c r="EW38" i="14"/>
  <c r="EV38" i="14"/>
  <c r="EW37" i="14"/>
  <c r="EV37" i="14"/>
  <c r="EW36" i="14"/>
  <c r="EV36" i="14"/>
  <c r="EW35" i="14"/>
  <c r="EV35" i="14"/>
  <c r="EW33" i="14"/>
  <c r="EV33" i="14"/>
  <c r="EW32" i="14"/>
  <c r="EV32" i="14"/>
  <c r="EW31" i="14"/>
  <c r="EV31" i="14"/>
  <c r="EW30" i="14"/>
  <c r="EV30" i="14"/>
  <c r="EW29" i="14"/>
  <c r="EV29" i="14"/>
  <c r="EW28" i="14"/>
  <c r="EV28" i="14"/>
  <c r="EW27" i="14"/>
  <c r="EV27" i="14"/>
  <c r="EW26" i="14"/>
  <c r="EV26" i="14"/>
  <c r="EW24" i="14"/>
  <c r="EV24" i="14"/>
  <c r="EW23" i="14"/>
  <c r="EV23" i="14"/>
  <c r="EW21" i="14"/>
  <c r="EV21" i="14"/>
  <c r="EW18" i="14"/>
  <c r="EV18" i="14"/>
  <c r="EW17" i="14"/>
  <c r="EV17" i="14"/>
  <c r="EW16" i="14"/>
  <c r="EV16" i="14"/>
  <c r="EW14" i="14"/>
  <c r="EV14" i="14"/>
  <c r="EW12" i="14"/>
  <c r="EV12" i="14"/>
  <c r="EV6" i="14"/>
  <c r="EP257" i="14"/>
  <c r="ET257" i="14" s="1"/>
  <c r="EP254" i="14"/>
  <c r="ET254" i="14" s="1"/>
  <c r="EP253" i="14"/>
  <c r="ET253" i="14" s="1"/>
  <c r="EP245" i="14"/>
  <c r="ET245" i="14" s="1"/>
  <c r="EP239" i="14"/>
  <c r="ET239" i="14" s="1"/>
  <c r="EP234" i="14"/>
  <c r="ET234" i="14" s="1"/>
  <c r="EP229" i="14"/>
  <c r="ET229" i="14" s="1"/>
  <c r="EP225" i="14"/>
  <c r="ET225" i="14" s="1"/>
  <c r="EP214" i="14"/>
  <c r="ET214" i="14" s="1"/>
  <c r="EP206" i="14"/>
  <c r="ET206" i="14" s="1"/>
  <c r="EP202" i="14"/>
  <c r="ET202" i="14" s="1"/>
  <c r="EP198" i="14"/>
  <c r="ET198" i="14" s="1"/>
  <c r="EP192" i="14"/>
  <c r="EP190" i="14"/>
  <c r="ET190" i="14" s="1"/>
  <c r="EP186" i="14"/>
  <c r="ET186" i="14" s="1"/>
  <c r="EP183" i="14"/>
  <c r="EP182" i="14"/>
  <c r="ET182" i="14" s="1"/>
  <c r="EP175" i="14"/>
  <c r="ES175" i="14" s="1"/>
  <c r="EP166" i="14"/>
  <c r="ES166" i="14" s="1"/>
  <c r="EP165" i="14"/>
  <c r="ET165" i="14" s="1"/>
  <c r="EP162" i="14"/>
  <c r="EP155" i="14"/>
  <c r="ET155" i="14" s="1"/>
  <c r="EP149" i="14"/>
  <c r="EP148" i="14"/>
  <c r="ET148" i="14" s="1"/>
  <c r="EP142" i="14"/>
  <c r="ET142" i="14" s="1"/>
  <c r="EP126" i="14"/>
  <c r="ET126" i="14" s="1"/>
  <c r="EP120" i="14"/>
  <c r="ET120" i="14" s="1"/>
  <c r="EP113" i="14"/>
  <c r="ET113" i="14" s="1"/>
  <c r="EP104" i="14"/>
  <c r="ET104" i="14" s="1"/>
  <c r="EP99" i="14"/>
  <c r="EP89" i="14"/>
  <c r="ET89" i="14" s="1"/>
  <c r="EP86" i="14"/>
  <c r="ET86" i="14" s="1"/>
  <c r="EP85" i="14"/>
  <c r="ET85" i="14" s="1"/>
  <c r="EP77" i="14"/>
  <c r="ET77" i="14" s="1"/>
  <c r="EP74" i="14"/>
  <c r="ET74" i="14" s="1"/>
  <c r="EP73" i="14"/>
  <c r="ET73" i="14" s="1"/>
  <c r="EP69" i="14"/>
  <c r="ET69" i="14" s="1"/>
  <c r="EP66" i="14"/>
  <c r="ET66" i="14" s="1"/>
  <c r="EP63" i="14"/>
  <c r="ET63" i="14" s="1"/>
  <c r="EP52" i="14"/>
  <c r="ES52" i="14" s="1"/>
  <c r="EP48" i="14"/>
  <c r="ES48" i="14" s="1"/>
  <c r="EP44" i="14"/>
  <c r="ET44" i="14" s="1"/>
  <c r="EP33" i="14"/>
  <c r="ET33" i="14" s="1"/>
  <c r="EP28" i="14"/>
  <c r="ES28" i="14" s="1"/>
  <c r="EP18" i="14"/>
  <c r="EP15" i="14"/>
  <c r="ES15" i="14" s="1"/>
  <c r="EP14" i="14"/>
  <c r="ES14" i="14" s="1"/>
  <c r="EP255" i="14"/>
  <c r="ET255" i="14" s="1"/>
  <c r="EP250" i="14"/>
  <c r="ET250" i="14" s="1"/>
  <c r="EP231" i="14"/>
  <c r="ET231" i="14" s="1"/>
  <c r="EP226" i="14"/>
  <c r="ET226" i="14" s="1"/>
  <c r="EP223" i="14"/>
  <c r="ET223" i="14" s="1"/>
  <c r="EP219" i="14"/>
  <c r="ET219" i="14" s="1"/>
  <c r="EP217" i="14"/>
  <c r="ET217" i="14" s="1"/>
  <c r="EP215" i="14"/>
  <c r="ET215" i="14" s="1"/>
  <c r="EP213" i="14"/>
  <c r="ET213" i="14" s="1"/>
  <c r="EP211" i="14"/>
  <c r="ET211" i="14" s="1"/>
  <c r="EP207" i="14"/>
  <c r="ET207" i="14" s="1"/>
  <c r="EP200" i="14"/>
  <c r="ET200" i="14" s="1"/>
  <c r="EP199" i="14"/>
  <c r="EP194" i="14"/>
  <c r="ES194" i="14" s="1"/>
  <c r="EP189" i="14"/>
  <c r="ET189" i="14" s="1"/>
  <c r="EP185" i="14"/>
  <c r="ET185" i="14" s="1"/>
  <c r="EP180" i="14"/>
  <c r="ET180" i="14" s="1"/>
  <c r="EP178" i="14"/>
  <c r="ET178" i="14" s="1"/>
  <c r="EP174" i="14"/>
  <c r="ET174" i="14" s="1"/>
  <c r="EP173" i="14"/>
  <c r="ES173" i="14" s="1"/>
  <c r="EP169" i="14"/>
  <c r="ET169" i="14" s="1"/>
  <c r="EP167" i="14"/>
  <c r="ET167" i="14" s="1"/>
  <c r="EP164" i="14"/>
  <c r="ES164" i="14" s="1"/>
  <c r="EP160" i="14"/>
  <c r="ET160" i="14" s="1"/>
  <c r="EP144" i="14"/>
  <c r="ET144" i="14" s="1"/>
  <c r="EP143" i="14"/>
  <c r="EP141" i="14"/>
  <c r="ES141" i="14" s="1"/>
  <c r="EP127" i="14"/>
  <c r="ET127" i="14" s="1"/>
  <c r="EP125" i="14"/>
  <c r="ES125" i="14" s="1"/>
  <c r="EP123" i="14"/>
  <c r="ES123" i="14" s="1"/>
  <c r="EP117" i="14"/>
  <c r="ES117" i="14" s="1"/>
  <c r="EP112" i="14"/>
  <c r="EP111" i="14"/>
  <c r="EP110" i="14"/>
  <c r="EP109" i="14"/>
  <c r="ET109" i="14" s="1"/>
  <c r="EP106" i="14"/>
  <c r="EP103" i="14"/>
  <c r="EP102" i="14"/>
  <c r="ET102" i="14" s="1"/>
  <c r="EP101" i="14"/>
  <c r="ET101" i="14" s="1"/>
  <c r="EP100" i="14"/>
  <c r="ES100" i="14" s="1"/>
  <c r="EP98" i="14"/>
  <c r="EP97" i="14"/>
  <c r="ET97" i="14" s="1"/>
  <c r="EP84" i="14"/>
  <c r="ET84" i="14" s="1"/>
  <c r="EP76" i="14"/>
  <c r="ET76" i="14" s="1"/>
  <c r="EP75" i="14"/>
  <c r="ET75" i="14" s="1"/>
  <c r="EP72" i="14"/>
  <c r="ES72" i="14" s="1"/>
  <c r="EP71" i="14"/>
  <c r="ET71" i="14" s="1"/>
  <c r="EP61" i="14"/>
  <c r="ET61" i="14" s="1"/>
  <c r="EP54" i="14"/>
  <c r="ET54" i="14" s="1"/>
  <c r="EP53" i="14"/>
  <c r="ET53" i="14" s="1"/>
  <c r="EP51" i="14"/>
  <c r="ET51" i="14" s="1"/>
  <c r="EP50" i="14"/>
  <c r="ES50" i="14" s="1"/>
  <c r="EP49" i="14"/>
  <c r="ET49" i="14" s="1"/>
  <c r="EP47" i="14"/>
  <c r="ET47" i="14" s="1"/>
  <c r="EP46" i="14"/>
  <c r="EP45" i="14"/>
  <c r="ET45" i="14" s="1"/>
  <c r="EP38" i="14"/>
  <c r="ES38" i="14" s="1"/>
  <c r="EP36" i="14"/>
  <c r="ES36" i="14" s="1"/>
  <c r="EP35" i="14"/>
  <c r="ET35" i="14" s="1"/>
  <c r="EP32" i="14"/>
  <c r="ES32" i="14" s="1"/>
  <c r="EP29" i="14"/>
  <c r="ET29" i="14" s="1"/>
  <c r="EP27" i="14"/>
  <c r="ET27" i="14" s="1"/>
  <c r="EP26" i="14"/>
  <c r="ET26" i="14" s="1"/>
  <c r="EP25" i="14"/>
  <c r="ET25" i="14" s="1"/>
  <c r="EP24" i="14"/>
  <c r="EP23" i="14"/>
  <c r="ET23" i="14" s="1"/>
  <c r="EP19" i="14"/>
  <c r="EP17" i="14"/>
  <c r="EP12" i="14"/>
  <c r="ES12" i="14" s="1"/>
  <c r="FE242" i="14"/>
  <c r="FE230" i="14"/>
  <c r="FE220" i="14"/>
  <c r="FC215" i="14"/>
  <c r="FE203" i="14"/>
  <c r="FE195" i="14"/>
  <c r="FE159" i="14"/>
  <c r="FE151" i="14"/>
  <c r="FE137" i="14"/>
  <c r="FE128" i="14"/>
  <c r="FE114" i="14"/>
  <c r="FE94" i="14"/>
  <c r="FE79" i="14"/>
  <c r="FE57" i="14"/>
  <c r="FE39" i="14"/>
  <c r="FE20" i="14"/>
  <c r="FC17" i="14"/>
  <c r="FF17" i="14" s="1"/>
  <c r="FE6" i="14"/>
  <c r="ER230" i="14"/>
  <c r="ER220" i="14"/>
  <c r="ER203" i="14"/>
  <c r="ER195" i="14"/>
  <c r="ER177" i="14"/>
  <c r="ER159" i="14"/>
  <c r="ER151" i="14"/>
  <c r="ER137" i="14"/>
  <c r="ER128" i="14"/>
  <c r="ER114" i="14"/>
  <c r="ER94" i="14"/>
  <c r="ER79" i="14"/>
  <c r="ER57" i="14"/>
  <c r="ER39" i="14"/>
  <c r="ER20" i="14"/>
  <c r="EQ6" i="14"/>
  <c r="ER6" i="14"/>
  <c r="EO328" i="14"/>
  <c r="EO314" i="14"/>
  <c r="EO318" i="14" s="1"/>
  <c r="EO260" i="14"/>
  <c r="EO264" i="14" s="1"/>
  <c r="EO292" i="14" s="1"/>
  <c r="EI239" i="14"/>
  <c r="EH239" i="14"/>
  <c r="EU194" i="14"/>
  <c r="EI149" i="14"/>
  <c r="EH149" i="14"/>
  <c r="EI109" i="14"/>
  <c r="EH109" i="14"/>
  <c r="EI82" i="14"/>
  <c r="EH82" i="14"/>
  <c r="EI62" i="14"/>
  <c r="EH62" i="14"/>
  <c r="EI61" i="14"/>
  <c r="EH61" i="14"/>
  <c r="EI36" i="14"/>
  <c r="EH36" i="14"/>
  <c r="EI6" i="14"/>
  <c r="EK292" i="14"/>
  <c r="EJ292" i="14"/>
  <c r="EC239" i="14"/>
  <c r="EB239" i="14" s="1"/>
  <c r="EF239" i="14" s="1"/>
  <c r="EC149" i="14"/>
  <c r="EB149" i="14" s="1"/>
  <c r="EC62" i="14"/>
  <c r="EC61" i="14"/>
  <c r="EB61" i="14" s="1"/>
  <c r="EE61" i="14" s="1"/>
  <c r="EC39" i="14"/>
  <c r="EC36" i="14"/>
  <c r="ED242" i="14"/>
  <c r="ED230" i="14"/>
  <c r="ED203" i="14"/>
  <c r="ED195" i="14"/>
  <c r="ED159" i="14"/>
  <c r="ED151" i="14"/>
  <c r="ED137" i="14"/>
  <c r="ED128" i="14"/>
  <c r="ED114" i="14"/>
  <c r="ED79" i="14"/>
  <c r="ED39" i="14"/>
  <c r="EB39" i="14" s="1"/>
  <c r="ED20" i="14"/>
  <c r="ED6" i="14"/>
  <c r="EU241" i="14" l="1"/>
  <c r="BZ330" i="14"/>
  <c r="FI8" i="14"/>
  <c r="ES257" i="14"/>
  <c r="ES85" i="14"/>
  <c r="EU91" i="14"/>
  <c r="EX91" i="14" s="1"/>
  <c r="ES69" i="14"/>
  <c r="EU257" i="14"/>
  <c r="EY257" i="14" s="1"/>
  <c r="ES104" i="14"/>
  <c r="EU225" i="14"/>
  <c r="EX225" i="14" s="1"/>
  <c r="EU32" i="14"/>
  <c r="FA32" i="14" s="1"/>
  <c r="FB32" i="14" s="1"/>
  <c r="EU115" i="14"/>
  <c r="EX115" i="14" s="1"/>
  <c r="EU190" i="14"/>
  <c r="EX190" i="14" s="1"/>
  <c r="EU245" i="14"/>
  <c r="EX245" i="14" s="1"/>
  <c r="EU24" i="14"/>
  <c r="EX24" i="14" s="1"/>
  <c r="EU150" i="14"/>
  <c r="EX150" i="14" s="1"/>
  <c r="BD330" i="14"/>
  <c r="BB316" i="14"/>
  <c r="BB330" i="14" s="1"/>
  <c r="CC330" i="14"/>
  <c r="CH330" i="14"/>
  <c r="CG316" i="14"/>
  <c r="CG330" i="14" s="1"/>
  <c r="EE149" i="14"/>
  <c r="EF149" i="14"/>
  <c r="EB62" i="14"/>
  <c r="EF62" i="14" s="1"/>
  <c r="ES200" i="14"/>
  <c r="ES250" i="14"/>
  <c r="ET48" i="14"/>
  <c r="ES215" i="14"/>
  <c r="ES86" i="14"/>
  <c r="ES76" i="14"/>
  <c r="ES207" i="14"/>
  <c r="ES226" i="14"/>
  <c r="ET123" i="14"/>
  <c r="ES219" i="14"/>
  <c r="ES120" i="14"/>
  <c r="ES229" i="14"/>
  <c r="ES211" i="14"/>
  <c r="ES231" i="14"/>
  <c r="ES26" i="14"/>
  <c r="ET14" i="14"/>
  <c r="ES178" i="14"/>
  <c r="ET166" i="14"/>
  <c r="ES24" i="14"/>
  <c r="ET24" i="14"/>
  <c r="ES199" i="14"/>
  <c r="ET199" i="14"/>
  <c r="ES19" i="14"/>
  <c r="ET19" i="14"/>
  <c r="ES143" i="14"/>
  <c r="ET143" i="14"/>
  <c r="ET103" i="14"/>
  <c r="ES103" i="14"/>
  <c r="FG215" i="14"/>
  <c r="FF215" i="14"/>
  <c r="EP64" i="14"/>
  <c r="ET64" i="14" s="1"/>
  <c r="EP87" i="14"/>
  <c r="ET87" i="14" s="1"/>
  <c r="ES192" i="14"/>
  <c r="ET192" i="14"/>
  <c r="FG17" i="14"/>
  <c r="EC6" i="14"/>
  <c r="EM6" i="14"/>
  <c r="EE239" i="14"/>
  <c r="FE258" i="14"/>
  <c r="FE260" i="14" s="1"/>
  <c r="FE264" i="14" s="1"/>
  <c r="ES17" i="14"/>
  <c r="ET17" i="14"/>
  <c r="EP60" i="14"/>
  <c r="ET60" i="14" s="1"/>
  <c r="EP119" i="14"/>
  <c r="ET119" i="14" s="1"/>
  <c r="EP209" i="14"/>
  <c r="ET209" i="14" s="1"/>
  <c r="EF61" i="14"/>
  <c r="EU36" i="14"/>
  <c r="EY36" i="14" s="1"/>
  <c r="ES77" i="14"/>
  <c r="EP150" i="14"/>
  <c r="ET150" i="14" s="1"/>
  <c r="EP193" i="14"/>
  <c r="ET193" i="14" s="1"/>
  <c r="ES206" i="14"/>
  <c r="EP37" i="14"/>
  <c r="ET37" i="14" s="1"/>
  <c r="EP210" i="14"/>
  <c r="ET210" i="14" s="1"/>
  <c r="EP218" i="14"/>
  <c r="ET218" i="14" s="1"/>
  <c r="EP248" i="14"/>
  <c r="ET248" i="14" s="1"/>
  <c r="ET52" i="14"/>
  <c r="ES66" i="14"/>
  <c r="ES144" i="14"/>
  <c r="ES167" i="14"/>
  <c r="ES202" i="14"/>
  <c r="ES213" i="14"/>
  <c r="ES217" i="14"/>
  <c r="ES223" i="14"/>
  <c r="ES234" i="14"/>
  <c r="ES245" i="14"/>
  <c r="ES253" i="14"/>
  <c r="FG178" i="14"/>
  <c r="EP16" i="14"/>
  <c r="ET16" i="14" s="1"/>
  <c r="EP82" i="14"/>
  <c r="ET82" i="14" s="1"/>
  <c r="FA52" i="14"/>
  <c r="FB52" i="14" s="1"/>
  <c r="ES149" i="14"/>
  <c r="ET149" i="14"/>
  <c r="ES162" i="14"/>
  <c r="ET162" i="14"/>
  <c r="ES183" i="14"/>
  <c r="ET183" i="14"/>
  <c r="ES214" i="14"/>
  <c r="ES225" i="14"/>
  <c r="ES239" i="14"/>
  <c r="ES254" i="14"/>
  <c r="ES89" i="14"/>
  <c r="EB36" i="14"/>
  <c r="EF36" i="14" s="1"/>
  <c r="ES46" i="14"/>
  <c r="ET46" i="14"/>
  <c r="EP140" i="14"/>
  <c r="ET140" i="14" s="1"/>
  <c r="EP184" i="14"/>
  <c r="ET184" i="14" s="1"/>
  <c r="FA194" i="14"/>
  <c r="EP227" i="14"/>
  <c r="ET227" i="14" s="1"/>
  <c r="EP233" i="14"/>
  <c r="ET233" i="14" s="1"/>
  <c r="EP241" i="14"/>
  <c r="ET241" i="14" s="1"/>
  <c r="EP43" i="14"/>
  <c r="ET43" i="14" s="1"/>
  <c r="ET38" i="14"/>
  <c r="ES61" i="14"/>
  <c r="ET72" i="14"/>
  <c r="ET117" i="14"/>
  <c r="ET175" i="14"/>
  <c r="ES255" i="14"/>
  <c r="EP21" i="14"/>
  <c r="ET21" i="14" s="1"/>
  <c r="EP163" i="14"/>
  <c r="ET163" i="14" s="1"/>
  <c r="EP172" i="14"/>
  <c r="ET172" i="14" s="1"/>
  <c r="ES27" i="14"/>
  <c r="ES35" i="14"/>
  <c r="ES102" i="14"/>
  <c r="EP88" i="14"/>
  <c r="ET88" i="14" s="1"/>
  <c r="EP92" i="14"/>
  <c r="ET92" i="14" s="1"/>
  <c r="EP201" i="14"/>
  <c r="ET201" i="14" s="1"/>
  <c r="EP208" i="14"/>
  <c r="ET208" i="14" s="1"/>
  <c r="EP216" i="14"/>
  <c r="ET216" i="14" s="1"/>
  <c r="EP252" i="14"/>
  <c r="ET252" i="14" s="1"/>
  <c r="EP256" i="14"/>
  <c r="ET256" i="14" s="1"/>
  <c r="FF84" i="14"/>
  <c r="FF160" i="14"/>
  <c r="FC6" i="14"/>
  <c r="FF43" i="14"/>
  <c r="ET141" i="14"/>
  <c r="ET164" i="14"/>
  <c r="ET173" i="14"/>
  <c r="ET194" i="14"/>
  <c r="ES155" i="14"/>
  <c r="ES165" i="14"/>
  <c r="ES174" i="14"/>
  <c r="ES182" i="14"/>
  <c r="ES190" i="14"/>
  <c r="ES198" i="14"/>
  <c r="ES180" i="14"/>
  <c r="ES185" i="14"/>
  <c r="ES189" i="14"/>
  <c r="ES142" i="14"/>
  <c r="ES148" i="14"/>
  <c r="ES160" i="14"/>
  <c r="ES169" i="14"/>
  <c r="ES186" i="14"/>
  <c r="ES127" i="14"/>
  <c r="ET125" i="14"/>
  <c r="ES126" i="14"/>
  <c r="ES109" i="14"/>
  <c r="ES113" i="14"/>
  <c r="ES101" i="14"/>
  <c r="ET100" i="14"/>
  <c r="ES97" i="14"/>
  <c r="ES84" i="14"/>
  <c r="ES75" i="14"/>
  <c r="ES74" i="14"/>
  <c r="ES73" i="14"/>
  <c r="ES71" i="14"/>
  <c r="ES63" i="14"/>
  <c r="ES54" i="14"/>
  <c r="ES53" i="14"/>
  <c r="ES51" i="14"/>
  <c r="ET50" i="14"/>
  <c r="ES49" i="14"/>
  <c r="ES47" i="14"/>
  <c r="ES45" i="14"/>
  <c r="ES44" i="14"/>
  <c r="ET36" i="14"/>
  <c r="ES33" i="14"/>
  <c r="ET32" i="14"/>
  <c r="ES29" i="14"/>
  <c r="ET28" i="14"/>
  <c r="ES25" i="14"/>
  <c r="ES23" i="14"/>
  <c r="ET15" i="14"/>
  <c r="ET12" i="14"/>
  <c r="FF239" i="14"/>
  <c r="FG103" i="14"/>
  <c r="FF103" i="14"/>
  <c r="FG26" i="14"/>
  <c r="FG120" i="14"/>
  <c r="FF120" i="14"/>
  <c r="FF38" i="14"/>
  <c r="FG38" i="14"/>
  <c r="FG77" i="14"/>
  <c r="FF77" i="14"/>
  <c r="FG150" i="14"/>
  <c r="FF150" i="14"/>
  <c r="FG61" i="14"/>
  <c r="FF54" i="14"/>
  <c r="FG54" i="14"/>
  <c r="FF141" i="14"/>
  <c r="FG141" i="14"/>
  <c r="FG146" i="14"/>
  <c r="FF146" i="14"/>
  <c r="FF62" i="14"/>
  <c r="FG62" i="14"/>
  <c r="FF66" i="14"/>
  <c r="FG66" i="14"/>
  <c r="FF82" i="14"/>
  <c r="FF110" i="14"/>
  <c r="FG110" i="14"/>
  <c r="FC140" i="14"/>
  <c r="FG140" i="14" s="1"/>
  <c r="FC156" i="14"/>
  <c r="FG156" i="14" s="1"/>
  <c r="FF133" i="14"/>
  <c r="FF91" i="14"/>
  <c r="FF119" i="14"/>
  <c r="FF127" i="14"/>
  <c r="FF143" i="14"/>
  <c r="FF227" i="14"/>
  <c r="FF255" i="14"/>
  <c r="EU252" i="14"/>
  <c r="EY252" i="14" s="1"/>
  <c r="EU214" i="14"/>
  <c r="EY214" i="14" s="1"/>
  <c r="EU209" i="14"/>
  <c r="EU217" i="14"/>
  <c r="EY217" i="14" s="1"/>
  <c r="EU210" i="14"/>
  <c r="EU163" i="14"/>
  <c r="EX163" i="14" s="1"/>
  <c r="EU155" i="14"/>
  <c r="EX155" i="14" s="1"/>
  <c r="EU102" i="14"/>
  <c r="EX102" i="14" s="1"/>
  <c r="EU86" i="14"/>
  <c r="EY86" i="14" s="1"/>
  <c r="EU33" i="14"/>
  <c r="EX33" i="14" s="1"/>
  <c r="EU37" i="14"/>
  <c r="EY37" i="14" s="1"/>
  <c r="ER258" i="14"/>
  <c r="EG62" i="14"/>
  <c r="EP6" i="14"/>
  <c r="EI39" i="14"/>
  <c r="EU132" i="14"/>
  <c r="EO91" i="14"/>
  <c r="EI128" i="14"/>
  <c r="EO332" i="14"/>
  <c r="EI114" i="14"/>
  <c r="EU71" i="14"/>
  <c r="EX71" i="14" s="1"/>
  <c r="EU74" i="14"/>
  <c r="EX74" i="14" s="1"/>
  <c r="EG109" i="14"/>
  <c r="EJ109" i="14" s="1"/>
  <c r="EU109" i="14"/>
  <c r="EU125" i="14"/>
  <c r="FA125" i="14" s="1"/>
  <c r="EU146" i="14"/>
  <c r="EU166" i="14"/>
  <c r="EX166" i="14" s="1"/>
  <c r="EO170" i="14"/>
  <c r="EU175" i="14"/>
  <c r="FA175" i="14" s="1"/>
  <c r="FB175" i="14" s="1"/>
  <c r="EU202" i="14"/>
  <c r="EU48" i="14"/>
  <c r="EX48" i="14" s="1"/>
  <c r="EU26" i="14"/>
  <c r="EU28" i="14"/>
  <c r="FA28" i="14" s="1"/>
  <c r="EO50" i="14"/>
  <c r="EI159" i="14"/>
  <c r="EU186" i="14"/>
  <c r="EU188" i="14"/>
  <c r="EU213" i="14"/>
  <c r="EI57" i="14"/>
  <c r="EU69" i="14"/>
  <c r="EU141" i="14"/>
  <c r="FA141" i="14" s="1"/>
  <c r="EU206" i="14"/>
  <c r="EI220" i="14"/>
  <c r="EI242" i="14"/>
  <c r="EU17" i="14"/>
  <c r="EO46" i="14"/>
  <c r="EI79" i="14"/>
  <c r="EU98" i="14"/>
  <c r="FA98" i="14" s="1"/>
  <c r="EU107" i="14"/>
  <c r="EO157" i="14"/>
  <c r="EO205" i="14"/>
  <c r="EU234" i="14"/>
  <c r="EH20" i="14"/>
  <c r="EU62" i="14"/>
  <c r="EG82" i="14"/>
  <c r="EU131" i="14"/>
  <c r="EO138" i="14"/>
  <c r="EI203" i="14"/>
  <c r="EU218" i="14"/>
  <c r="EU44" i="14"/>
  <c r="EX44" i="14" s="1"/>
  <c r="EU12" i="14"/>
  <c r="FA12" i="14" s="1"/>
  <c r="EU23" i="14"/>
  <c r="EU127" i="14"/>
  <c r="EU135" i="14"/>
  <c r="EU165" i="14"/>
  <c r="EH177" i="14"/>
  <c r="EU199" i="14"/>
  <c r="EU221" i="14"/>
  <c r="EH220" i="14"/>
  <c r="EU231" i="14"/>
  <c r="EH230" i="14"/>
  <c r="EH114" i="14"/>
  <c r="EI195" i="14"/>
  <c r="EU60" i="14"/>
  <c r="EY60" i="14" s="1"/>
  <c r="EY225" i="14"/>
  <c r="EU27" i="14"/>
  <c r="EU29" i="14"/>
  <c r="EU31" i="14"/>
  <c r="EG36" i="14"/>
  <c r="EU45" i="14"/>
  <c r="EG61" i="14"/>
  <c r="EJ61" i="14" s="1"/>
  <c r="EM61" i="14" s="1"/>
  <c r="EN61" i="14" s="1"/>
  <c r="EU75" i="14"/>
  <c r="EU77" i="14"/>
  <c r="EU88" i="14"/>
  <c r="EU99" i="14"/>
  <c r="EU101" i="14"/>
  <c r="EH137" i="14"/>
  <c r="EI151" i="14"/>
  <c r="EH159" i="14"/>
  <c r="EU160" i="14"/>
  <c r="EY160" i="14" s="1"/>
  <c r="EU167" i="14"/>
  <c r="EI177" i="14"/>
  <c r="EH195" i="14"/>
  <c r="EU223" i="14"/>
  <c r="EI230" i="14"/>
  <c r="EU253" i="14"/>
  <c r="EH151" i="14"/>
  <c r="EU76" i="14"/>
  <c r="EY76" i="14" s="1"/>
  <c r="EU119" i="14"/>
  <c r="EI20" i="14"/>
  <c r="EU95" i="14"/>
  <c r="EU104" i="14"/>
  <c r="EU215" i="14"/>
  <c r="EU233" i="14"/>
  <c r="EX52" i="14"/>
  <c r="EH57" i="14"/>
  <c r="EU63" i="14"/>
  <c r="EH79" i="14"/>
  <c r="EU85" i="14"/>
  <c r="EU103" i="14"/>
  <c r="EU112" i="14"/>
  <c r="FA112" i="14" s="1"/>
  <c r="EH128" i="14"/>
  <c r="EU136" i="14"/>
  <c r="EY136" i="14" s="1"/>
  <c r="EI137" i="14"/>
  <c r="EG149" i="14"/>
  <c r="EU149" i="14"/>
  <c r="EX149" i="14" s="1"/>
  <c r="EU173" i="14"/>
  <c r="FA173" i="14" s="1"/>
  <c r="FB173" i="14" s="1"/>
  <c r="EU189" i="14"/>
  <c r="EU198" i="14"/>
  <c r="EY198" i="14" s="1"/>
  <c r="EU200" i="14"/>
  <c r="EH203" i="14"/>
  <c r="EU216" i="14"/>
  <c r="EY216" i="14" s="1"/>
  <c r="EG239" i="14"/>
  <c r="EU239" i="14"/>
  <c r="EH242" i="14"/>
  <c r="EH39" i="14"/>
  <c r="EU16" i="14"/>
  <c r="EU30" i="14"/>
  <c r="EU134" i="14"/>
  <c r="EU154" i="14"/>
  <c r="EU162" i="14"/>
  <c r="EU184" i="14"/>
  <c r="EU84" i="14"/>
  <c r="EY84" i="14" s="1"/>
  <c r="EU66" i="14"/>
  <c r="EX66" i="14" s="1"/>
  <c r="EU168" i="14"/>
  <c r="EY168" i="14" s="1"/>
  <c r="EU92" i="14"/>
  <c r="EU100" i="14"/>
  <c r="EY100" i="14" s="1"/>
  <c r="EU110" i="14"/>
  <c r="EU148" i="14"/>
  <c r="EY148" i="14" s="1"/>
  <c r="EU185" i="14"/>
  <c r="EU248" i="14"/>
  <c r="EU256" i="14"/>
  <c r="EU50" i="14"/>
  <c r="EY50" i="14" s="1"/>
  <c r="EU113" i="14"/>
  <c r="EU140" i="14"/>
  <c r="EU126" i="14"/>
  <c r="EV128" i="14"/>
  <c r="EU18" i="14"/>
  <c r="EW6" i="14"/>
  <c r="EU6" i="14" s="1"/>
  <c r="EU89" i="14"/>
  <c r="EV159" i="14"/>
  <c r="EU14" i="14"/>
  <c r="EY14" i="14" s="1"/>
  <c r="EU46" i="14"/>
  <c r="EU97" i="14"/>
  <c r="EX97" i="14" s="1"/>
  <c r="EU56" i="14"/>
  <c r="EY56" i="14" s="1"/>
  <c r="EU121" i="14"/>
  <c r="EU174" i="14"/>
  <c r="EU227" i="14"/>
  <c r="EX194" i="14"/>
  <c r="EY194" i="14"/>
  <c r="EU201" i="14"/>
  <c r="EY52" i="14"/>
  <c r="EU73" i="14"/>
  <c r="EU106" i="14"/>
  <c r="EU142" i="14"/>
  <c r="EU164" i="14"/>
  <c r="EY164" i="14" s="1"/>
  <c r="EU169" i="14"/>
  <c r="EU172" i="14"/>
  <c r="EX241" i="14"/>
  <c r="EY241" i="14"/>
  <c r="EV195" i="14"/>
  <c r="EU208" i="14"/>
  <c r="EU250" i="14"/>
  <c r="EU226" i="14"/>
  <c r="EU254" i="14"/>
  <c r="EO293" i="14"/>
  <c r="EO306" i="14"/>
  <c r="EH6" i="14"/>
  <c r="EF292" i="14"/>
  <c r="ED177" i="14"/>
  <c r="ED220" i="14"/>
  <c r="ED57" i="14"/>
  <c r="FA85" i="14" l="1"/>
  <c r="FB85" i="14" s="1"/>
  <c r="EY32" i="14"/>
  <c r="EY91" i="14"/>
  <c r="EY163" i="14"/>
  <c r="FA257" i="14"/>
  <c r="EX214" i="14"/>
  <c r="EY115" i="14"/>
  <c r="FA104" i="14"/>
  <c r="EX257" i="14"/>
  <c r="EY102" i="14"/>
  <c r="EX252" i="14"/>
  <c r="EY150" i="14"/>
  <c r="FA84" i="14"/>
  <c r="EY24" i="14"/>
  <c r="FA24" i="14"/>
  <c r="EX32" i="14"/>
  <c r="FA69" i="14"/>
  <c r="EY190" i="14"/>
  <c r="FA215" i="14"/>
  <c r="FA225" i="14"/>
  <c r="EE62" i="14"/>
  <c r="EM62" i="14" s="1"/>
  <c r="EN62" i="14" s="1"/>
  <c r="EX216" i="14"/>
  <c r="FA100" i="14"/>
  <c r="EY155" i="14"/>
  <c r="EY245" i="14"/>
  <c r="FA26" i="14"/>
  <c r="FA126" i="14"/>
  <c r="FB126" i="14" s="1"/>
  <c r="FA190" i="14"/>
  <c r="FA102" i="14"/>
  <c r="FB102" i="14" s="1"/>
  <c r="FA245" i="14"/>
  <c r="FB245" i="14" s="1"/>
  <c r="FA14" i="14"/>
  <c r="EK109" i="14"/>
  <c r="EN6" i="14"/>
  <c r="FA200" i="14"/>
  <c r="FB200" i="14" s="1"/>
  <c r="FA206" i="14"/>
  <c r="FA74" i="14"/>
  <c r="FA186" i="14"/>
  <c r="FA142" i="14"/>
  <c r="FA89" i="14"/>
  <c r="FA162" i="14"/>
  <c r="FB162" i="14" s="1"/>
  <c r="FA167" i="14"/>
  <c r="FA199" i="14"/>
  <c r="FA77" i="14"/>
  <c r="FA17" i="14"/>
  <c r="FB17" i="14" s="1"/>
  <c r="FA99" i="14"/>
  <c r="FA86" i="14"/>
  <c r="FB86" i="14" s="1"/>
  <c r="FA23" i="14"/>
  <c r="FA148" i="14"/>
  <c r="FA174" i="14"/>
  <c r="FB174" i="14" s="1"/>
  <c r="FA103" i="14"/>
  <c r="ES210" i="14"/>
  <c r="FA210" i="14" s="1"/>
  <c r="FF140" i="14"/>
  <c r="FA214" i="14"/>
  <c r="FA254" i="14"/>
  <c r="ES60" i="14"/>
  <c r="FA60" i="14" s="1"/>
  <c r="ES87" i="14"/>
  <c r="FA253" i="14"/>
  <c r="FA239" i="14"/>
  <c r="FA234" i="14"/>
  <c r="FB234" i="14" s="1"/>
  <c r="FA231" i="14"/>
  <c r="ES227" i="14"/>
  <c r="ES218" i="14"/>
  <c r="ES256" i="14"/>
  <c r="FA256" i="14" s="1"/>
  <c r="ES241" i="14"/>
  <c r="FA241" i="14" s="1"/>
  <c r="FB241" i="14" s="1"/>
  <c r="ES201" i="14"/>
  <c r="FA201" i="14" s="1"/>
  <c r="ES92" i="14"/>
  <c r="FA92" i="14" s="1"/>
  <c r="ES252" i="14"/>
  <c r="FA252" i="14" s="1"/>
  <c r="FB252" i="14" s="1"/>
  <c r="FA226" i="14"/>
  <c r="FA227" i="14"/>
  <c r="FB227" i="14" s="1"/>
  <c r="FA218" i="14"/>
  <c r="FA27" i="14"/>
  <c r="ES37" i="14"/>
  <c r="FA37" i="14" s="1"/>
  <c r="ES16" i="14"/>
  <c r="FA16" i="14" s="1"/>
  <c r="ES193" i="14"/>
  <c r="ES184" i="14"/>
  <c r="FA184" i="14" s="1"/>
  <c r="ES140" i="14"/>
  <c r="FA140" i="14" s="1"/>
  <c r="EY250" i="14"/>
  <c r="FA250" i="14"/>
  <c r="FB250" i="14" s="1"/>
  <c r="EK239" i="14"/>
  <c r="EM239" i="14"/>
  <c r="EN239" i="14" s="1"/>
  <c r="EK149" i="14"/>
  <c r="EM149" i="14"/>
  <c r="EK36" i="14"/>
  <c r="EX209" i="14"/>
  <c r="FA75" i="14"/>
  <c r="FA109" i="14"/>
  <c r="FA46" i="14"/>
  <c r="FB46" i="14" s="1"/>
  <c r="FA36" i="14"/>
  <c r="EY233" i="14"/>
  <c r="EY209" i="14"/>
  <c r="FA71" i="14"/>
  <c r="FA165" i="14"/>
  <c r="ES233" i="14"/>
  <c r="FA233" i="14" s="1"/>
  <c r="ES172" i="14"/>
  <c r="FA172" i="14" s="1"/>
  <c r="ES82" i="14"/>
  <c r="FA166" i="14"/>
  <c r="FB166" i="14" s="1"/>
  <c r="ES150" i="14"/>
  <c r="FA150" i="14" s="1"/>
  <c r="FB150" i="14" s="1"/>
  <c r="FA76" i="14"/>
  <c r="EX36" i="14"/>
  <c r="EY33" i="14"/>
  <c r="FA223" i="14"/>
  <c r="FA29" i="14"/>
  <c r="EK82" i="14"/>
  <c r="FA44" i="14"/>
  <c r="FA73" i="14"/>
  <c r="FB73" i="14" s="1"/>
  <c r="FA101" i="14"/>
  <c r="FB101" i="14" s="1"/>
  <c r="FA106" i="14"/>
  <c r="FA127" i="14"/>
  <c r="FB127" i="14" s="1"/>
  <c r="FA169" i="14"/>
  <c r="FA189" i="14"/>
  <c r="FB189" i="14" s="1"/>
  <c r="FA155" i="14"/>
  <c r="FA50" i="14"/>
  <c r="FA164" i="14"/>
  <c r="FB164" i="14" s="1"/>
  <c r="ES208" i="14"/>
  <c r="FA208" i="14" s="1"/>
  <c r="ES43" i="14"/>
  <c r="FA66" i="14"/>
  <c r="FA48" i="14"/>
  <c r="ES248" i="14"/>
  <c r="FA248" i="14" s="1"/>
  <c r="FB248" i="14" s="1"/>
  <c r="ES88" i="14"/>
  <c r="FA88" i="14" s="1"/>
  <c r="ES21" i="14"/>
  <c r="ES64" i="14"/>
  <c r="ES209" i="14"/>
  <c r="FA209" i="14" s="1"/>
  <c r="ES119" i="14"/>
  <c r="FA119" i="14" s="1"/>
  <c r="FB119" i="14" s="1"/>
  <c r="EX256" i="14"/>
  <c r="EK62" i="14"/>
  <c r="FA63" i="14"/>
  <c r="FB63" i="14" s="1"/>
  <c r="ES216" i="14"/>
  <c r="FA216" i="14" s="1"/>
  <c r="EY30" i="14"/>
  <c r="EX213" i="14"/>
  <c r="FA213" i="14"/>
  <c r="FB213" i="14" s="1"/>
  <c r="EX202" i="14"/>
  <c r="FA202" i="14"/>
  <c r="FA113" i="14"/>
  <c r="FA198" i="14"/>
  <c r="FA217" i="14"/>
  <c r="FB217" i="14" s="1"/>
  <c r="FA33" i="14"/>
  <c r="FA45" i="14"/>
  <c r="FA97" i="14"/>
  <c r="FA110" i="14"/>
  <c r="FA160" i="14"/>
  <c r="FA185" i="14"/>
  <c r="FB185" i="14" s="1"/>
  <c r="FA149" i="14"/>
  <c r="ES163" i="14"/>
  <c r="FA163" i="14" s="1"/>
  <c r="FA18" i="14"/>
  <c r="EE36" i="14"/>
  <c r="EM36" i="14" s="1"/>
  <c r="ER260" i="14"/>
  <c r="ER264" i="14" s="1"/>
  <c r="FF156" i="14"/>
  <c r="EY210" i="14"/>
  <c r="EX217" i="14"/>
  <c r="EX210" i="14"/>
  <c r="EX86" i="14"/>
  <c r="EX37" i="14"/>
  <c r="EJ239" i="14"/>
  <c r="EY48" i="14"/>
  <c r="EO75" i="14"/>
  <c r="EY135" i="14"/>
  <c r="EG230" i="14"/>
  <c r="EG151" i="14"/>
  <c r="EJ62" i="14"/>
  <c r="EM203" i="14"/>
  <c r="EN203" i="14" s="1"/>
  <c r="EX184" i="14"/>
  <c r="EG57" i="14"/>
  <c r="EO142" i="14"/>
  <c r="EO63" i="14"/>
  <c r="EJ149" i="14"/>
  <c r="EO192" i="14"/>
  <c r="EG242" i="14"/>
  <c r="EJ36" i="14"/>
  <c r="EO32" i="14"/>
  <c r="EY103" i="14"/>
  <c r="EG128" i="14"/>
  <c r="EO226" i="14"/>
  <c r="EO118" i="14"/>
  <c r="EO112" i="14"/>
  <c r="EO10" i="14"/>
  <c r="EX162" i="14"/>
  <c r="FH91" i="14"/>
  <c r="EO78" i="14"/>
  <c r="EO76" i="14"/>
  <c r="EX85" i="14"/>
  <c r="EO243" i="14"/>
  <c r="EO74" i="14"/>
  <c r="EM57" i="14"/>
  <c r="EN57" i="14" s="1"/>
  <c r="EO35" i="14"/>
  <c r="EO227" i="14"/>
  <c r="EO244" i="14"/>
  <c r="EU35" i="14"/>
  <c r="FA35" i="14" s="1"/>
  <c r="EY77" i="14"/>
  <c r="EW128" i="14"/>
  <c r="EU128" i="14" s="1"/>
  <c r="EG79" i="14"/>
  <c r="EK61" i="14"/>
  <c r="EG114" i="14"/>
  <c r="EG220" i="14"/>
  <c r="EY69" i="14"/>
  <c r="EO254" i="14"/>
  <c r="EO191" i="14"/>
  <c r="EX188" i="14"/>
  <c r="EY85" i="14"/>
  <c r="EY17" i="14"/>
  <c r="EX77" i="14"/>
  <c r="EO106" i="14"/>
  <c r="EX248" i="14"/>
  <c r="EO90" i="14"/>
  <c r="EO22" i="14"/>
  <c r="EO241" i="14"/>
  <c r="EO225" i="14"/>
  <c r="EU133" i="14"/>
  <c r="EY223" i="14"/>
  <c r="EU111" i="14"/>
  <c r="EM220" i="14"/>
  <c r="EN220" i="14" s="1"/>
  <c r="EO152" i="14"/>
  <c r="EX140" i="14"/>
  <c r="EY140" i="14"/>
  <c r="EX154" i="14"/>
  <c r="EY154" i="14"/>
  <c r="EU171" i="14"/>
  <c r="EY171" i="14" s="1"/>
  <c r="EU72" i="14"/>
  <c r="EY16" i="14"/>
  <c r="EG159" i="14"/>
  <c r="EO121" i="14"/>
  <c r="EO156" i="14"/>
  <c r="EO171" i="14"/>
  <c r="EU144" i="14"/>
  <c r="FA144" i="14" s="1"/>
  <c r="EX62" i="14"/>
  <c r="EY169" i="14"/>
  <c r="EG39" i="14"/>
  <c r="EY184" i="14"/>
  <c r="EW195" i="14"/>
  <c r="EU195" i="14" s="1"/>
  <c r="EY71" i="14"/>
  <c r="EO141" i="14"/>
  <c r="EG177" i="14"/>
  <c r="EG137" i="14"/>
  <c r="EO194" i="14"/>
  <c r="EO158" i="14"/>
  <c r="EO120" i="14"/>
  <c r="EO236" i="14"/>
  <c r="EO89" i="14"/>
  <c r="EX16" i="14"/>
  <c r="EY23" i="14"/>
  <c r="EU38" i="14"/>
  <c r="EY141" i="14"/>
  <c r="EY28" i="14"/>
  <c r="EO249" i="14"/>
  <c r="EO232" i="14"/>
  <c r="EX215" i="14"/>
  <c r="EY215" i="14"/>
  <c r="EX88" i="14"/>
  <c r="FH77" i="14"/>
  <c r="EO77" i="14"/>
  <c r="EY199" i="14"/>
  <c r="EX199" i="14"/>
  <c r="EX165" i="14"/>
  <c r="EO12" i="14"/>
  <c r="EO218" i="14"/>
  <c r="EX186" i="14"/>
  <c r="EY186" i="14"/>
  <c r="EX239" i="14"/>
  <c r="EO61" i="14"/>
  <c r="EY31" i="14"/>
  <c r="EX31" i="14"/>
  <c r="EY27" i="14"/>
  <c r="EX125" i="14"/>
  <c r="EY125" i="14"/>
  <c r="EO81" i="14"/>
  <c r="EY12" i="14"/>
  <c r="EX12" i="14"/>
  <c r="EO38" i="14"/>
  <c r="EO175" i="14"/>
  <c r="EO99" i="14"/>
  <c r="EO31" i="14"/>
  <c r="EO72" i="14"/>
  <c r="EO17" i="14"/>
  <c r="EO196" i="14"/>
  <c r="EM195" i="14"/>
  <c r="EN195" i="14" s="1"/>
  <c r="EO116" i="14"/>
  <c r="EO210" i="14"/>
  <c r="EO219" i="14"/>
  <c r="EX234" i="14"/>
  <c r="EY200" i="14"/>
  <c r="EY173" i="14"/>
  <c r="EY201" i="14"/>
  <c r="EX69" i="14"/>
  <c r="EX92" i="14"/>
  <c r="EX95" i="14"/>
  <c r="EY119" i="14"/>
  <c r="EX119" i="14"/>
  <c r="EY253" i="14"/>
  <c r="EO147" i="14"/>
  <c r="EY127" i="14"/>
  <c r="EX127" i="14"/>
  <c r="EO54" i="14"/>
  <c r="EO42" i="14"/>
  <c r="EU87" i="14"/>
  <c r="EY87" i="14" s="1"/>
  <c r="EO174" i="14"/>
  <c r="EO251" i="14"/>
  <c r="EO130" i="14"/>
  <c r="EO98" i="14"/>
  <c r="EO70" i="14"/>
  <c r="EO30" i="14"/>
  <c r="EO127" i="14"/>
  <c r="EO123" i="14"/>
  <c r="EO111" i="14"/>
  <c r="EO95" i="14"/>
  <c r="EO27" i="14"/>
  <c r="EO44" i="14"/>
  <c r="EY142" i="14"/>
  <c r="EX136" i="14"/>
  <c r="EY109" i="14"/>
  <c r="EW159" i="14"/>
  <c r="EU159" i="14" s="1"/>
  <c r="EU143" i="14"/>
  <c r="EY143" i="14" s="1"/>
  <c r="EX46" i="14"/>
  <c r="EU61" i="14"/>
  <c r="EX113" i="14"/>
  <c r="EY162" i="14"/>
  <c r="EY75" i="14"/>
  <c r="EX75" i="14"/>
  <c r="EU55" i="14"/>
  <c r="EX60" i="14"/>
  <c r="EY131" i="14"/>
  <c r="EX131" i="14"/>
  <c r="EU54" i="14"/>
  <c r="FA54" i="14" s="1"/>
  <c r="FB54" i="14" s="1"/>
  <c r="EO197" i="14"/>
  <c r="EX160" i="14"/>
  <c r="EY175" i="14"/>
  <c r="EX175" i="14"/>
  <c r="EO166" i="14"/>
  <c r="EO154" i="14"/>
  <c r="EO58" i="14"/>
  <c r="EO155" i="14"/>
  <c r="EO23" i="14"/>
  <c r="EO250" i="14"/>
  <c r="EO176" i="14"/>
  <c r="EO96" i="14"/>
  <c r="EO37" i="14"/>
  <c r="EX231" i="14"/>
  <c r="EX226" i="14"/>
  <c r="EX223" i="14"/>
  <c r="EU211" i="14"/>
  <c r="EW230" i="14"/>
  <c r="EX169" i="14"/>
  <c r="EX142" i="14"/>
  <c r="EY92" i="14"/>
  <c r="EY73" i="14"/>
  <c r="EY174" i="14"/>
  <c r="EY46" i="14"/>
  <c r="EX23" i="14"/>
  <c r="EX89" i="14"/>
  <c r="EX28" i="14"/>
  <c r="EU117" i="14"/>
  <c r="FA117" i="14" s="1"/>
  <c r="EX168" i="14"/>
  <c r="EX30" i="14"/>
  <c r="EG203" i="14"/>
  <c r="EX198" i="14"/>
  <c r="EY149" i="14"/>
  <c r="EY63" i="14"/>
  <c r="EX63" i="14"/>
  <c r="EO47" i="14"/>
  <c r="EO51" i="14"/>
  <c r="EO214" i="14"/>
  <c r="EG195" i="14"/>
  <c r="EY221" i="14"/>
  <c r="EX221" i="14"/>
  <c r="EU178" i="14"/>
  <c r="FA178" i="14" s="1"/>
  <c r="FB178" i="14" s="1"/>
  <c r="EX135" i="14"/>
  <c r="EY62" i="14"/>
  <c r="EG20" i="14"/>
  <c r="EX17" i="14"/>
  <c r="EO213" i="14"/>
  <c r="EY188" i="14"/>
  <c r="EY202" i="14"/>
  <c r="EO240" i="14"/>
  <c r="EO102" i="14"/>
  <c r="FH62" i="14"/>
  <c r="EO189" i="14"/>
  <c r="EM114" i="14"/>
  <c r="EN114" i="14" s="1"/>
  <c r="EO115" i="14"/>
  <c r="EO67" i="14"/>
  <c r="EO245" i="14"/>
  <c r="EO217" i="14"/>
  <c r="EO84" i="14"/>
  <c r="EO52" i="14"/>
  <c r="EO83" i="14"/>
  <c r="EX254" i="14"/>
  <c r="EX164" i="14"/>
  <c r="EX227" i="14"/>
  <c r="EY121" i="14"/>
  <c r="EY126" i="14"/>
  <c r="EX148" i="14"/>
  <c r="EO13" i="14"/>
  <c r="EO252" i="14"/>
  <c r="EO212" i="14"/>
  <c r="EO161" i="14"/>
  <c r="EO49" i="14"/>
  <c r="EO19" i="14"/>
  <c r="EO208" i="14"/>
  <c r="EO56" i="14"/>
  <c r="EX218" i="14"/>
  <c r="EX253" i="14"/>
  <c r="EY231" i="14"/>
  <c r="EX172" i="14"/>
  <c r="EY213" i="14"/>
  <c r="EX56" i="14"/>
  <c r="EX14" i="14"/>
  <c r="EX141" i="14"/>
  <c r="EY44" i="14"/>
  <c r="EM242" i="14"/>
  <c r="EN242" i="14" s="1"/>
  <c r="EM177" i="14"/>
  <c r="EN177" i="14" s="1"/>
  <c r="EO178" i="14"/>
  <c r="EO108" i="14"/>
  <c r="EO60" i="14"/>
  <c r="EO209" i="14"/>
  <c r="EO185" i="14"/>
  <c r="EO169" i="14"/>
  <c r="EO153" i="14"/>
  <c r="EO92" i="14"/>
  <c r="EX250" i="14"/>
  <c r="EX208" i="14"/>
  <c r="EY227" i="14"/>
  <c r="EY165" i="14"/>
  <c r="EX173" i="14"/>
  <c r="EY101" i="14"/>
  <c r="EX201" i="14"/>
  <c r="EX104" i="14"/>
  <c r="EY95" i="14"/>
  <c r="EY97" i="14"/>
  <c r="EY166" i="14"/>
  <c r="EW94" i="14"/>
  <c r="EX26" i="14"/>
  <c r="EX50" i="14"/>
  <c r="EY256" i="14"/>
  <c r="EY185" i="14"/>
  <c r="EX185" i="14"/>
  <c r="EX100" i="14"/>
  <c r="EY66" i="14"/>
  <c r="EX84" i="14"/>
  <c r="EY189" i="14"/>
  <c r="EX189" i="14"/>
  <c r="EX103" i="14"/>
  <c r="EO80" i="14"/>
  <c r="EX233" i="14"/>
  <c r="EX76" i="14"/>
  <c r="EY248" i="14"/>
  <c r="EY167" i="14"/>
  <c r="EX167" i="14"/>
  <c r="EY45" i="14"/>
  <c r="EX45" i="14"/>
  <c r="EY29" i="14"/>
  <c r="EX29" i="14"/>
  <c r="EJ82" i="14"/>
  <c r="EU21" i="14"/>
  <c r="EY206" i="14"/>
  <c r="EX206" i="14"/>
  <c r="EY146" i="14"/>
  <c r="EX146" i="14"/>
  <c r="EY74" i="14"/>
  <c r="EY239" i="14"/>
  <c r="EX200" i="14"/>
  <c r="EX101" i="14"/>
  <c r="EY89" i="14"/>
  <c r="EX174" i="14"/>
  <c r="EY104" i="14"/>
  <c r="EY88" i="14"/>
  <c r="EX27" i="14"/>
  <c r="EY226" i="14"/>
  <c r="EY172" i="14"/>
  <c r="EX109" i="14"/>
  <c r="EX73" i="14"/>
  <c r="EY234" i="14"/>
  <c r="EX121" i="14"/>
  <c r="EY113" i="14"/>
  <c r="EY208" i="14"/>
  <c r="EY26" i="14"/>
  <c r="EX126" i="14"/>
  <c r="EY218" i="14"/>
  <c r="EY254" i="14"/>
  <c r="EO307" i="14"/>
  <c r="EO317" i="14"/>
  <c r="EG6" i="14"/>
  <c r="ED258" i="14"/>
  <c r="FA143" i="14" l="1"/>
  <c r="EO239" i="14"/>
  <c r="EO149" i="14"/>
  <c r="EY178" i="14"/>
  <c r="FA21" i="14"/>
  <c r="FB21" i="14" s="1"/>
  <c r="EO62" i="14"/>
  <c r="FA111" i="14"/>
  <c r="FA6" i="14"/>
  <c r="EN36" i="14"/>
  <c r="EO36" i="14"/>
  <c r="FK77" i="14"/>
  <c r="FN77" i="14"/>
  <c r="FO77" i="14" s="1"/>
  <c r="EY72" i="14"/>
  <c r="FA72" i="14"/>
  <c r="EY211" i="14"/>
  <c r="FA211" i="14"/>
  <c r="EY38" i="14"/>
  <c r="FA38" i="14"/>
  <c r="FL91" i="14"/>
  <c r="FN91" i="14"/>
  <c r="FO91" i="14" s="1"/>
  <c r="EN149" i="14"/>
  <c r="EM137" i="14"/>
  <c r="EN137" i="14" s="1"/>
  <c r="FK62" i="14"/>
  <c r="FN62" i="14"/>
  <c r="FO62" i="14" s="1"/>
  <c r="EX61" i="14"/>
  <c r="FA61" i="14"/>
  <c r="FA87" i="14"/>
  <c r="FB6" i="14"/>
  <c r="FJ6" i="14"/>
  <c r="FH6" i="14" s="1"/>
  <c r="EO122" i="14"/>
  <c r="EO255" i="14"/>
  <c r="EO202" i="14"/>
  <c r="EO65" i="14"/>
  <c r="FK91" i="14"/>
  <c r="EO134" i="14"/>
  <c r="EO204" i="14"/>
  <c r="EO136" i="14"/>
  <c r="EO124" i="14"/>
  <c r="EX35" i="14"/>
  <c r="EO229" i="14"/>
  <c r="EO15" i="14"/>
  <c r="EO34" i="14"/>
  <c r="EX171" i="14"/>
  <c r="EO104" i="14"/>
  <c r="FH227" i="14"/>
  <c r="EO125" i="14"/>
  <c r="EO179" i="14"/>
  <c r="EO207" i="14"/>
  <c r="EO246" i="14"/>
  <c r="EO131" i="14"/>
  <c r="EO215" i="14"/>
  <c r="EX38" i="14"/>
  <c r="EO26" i="14"/>
  <c r="EO29" i="14"/>
  <c r="EO135" i="14"/>
  <c r="EO71" i="14"/>
  <c r="EO187" i="14"/>
  <c r="EO238" i="14"/>
  <c r="EO223" i="14"/>
  <c r="EY35" i="14"/>
  <c r="FH127" i="14"/>
  <c r="EO221" i="14"/>
  <c r="EO126" i="14"/>
  <c r="EO64" i="14"/>
  <c r="EO181" i="14"/>
  <c r="EO143" i="14"/>
  <c r="EM151" i="14"/>
  <c r="EN151" i="14" s="1"/>
  <c r="EY144" i="14"/>
  <c r="EO222" i="14"/>
  <c r="FH38" i="14"/>
  <c r="EX144" i="14"/>
  <c r="FH120" i="14"/>
  <c r="FN120" i="14" s="1"/>
  <c r="FO120" i="14" s="1"/>
  <c r="EO86" i="14"/>
  <c r="EO18" i="14"/>
  <c r="EO150" i="14"/>
  <c r="EO190" i="14"/>
  <c r="EX72" i="14"/>
  <c r="EO224" i="14"/>
  <c r="EO139" i="14"/>
  <c r="FH156" i="14"/>
  <c r="FH103" i="14"/>
  <c r="EO103" i="14"/>
  <c r="EO200" i="14"/>
  <c r="EO233" i="14"/>
  <c r="FH110" i="14"/>
  <c r="EO110" i="14"/>
  <c r="EO167" i="14"/>
  <c r="FH17" i="14"/>
  <c r="FN17" i="14" s="1"/>
  <c r="EO129" i="14"/>
  <c r="EM128" i="14"/>
  <c r="EN128" i="14" s="1"/>
  <c r="FH140" i="14"/>
  <c r="FN140" i="14" s="1"/>
  <c r="FO140" i="14" s="1"/>
  <c r="EO140" i="14"/>
  <c r="EO97" i="14"/>
  <c r="EO193" i="14"/>
  <c r="EO41" i="14"/>
  <c r="EO73" i="14"/>
  <c r="EO69" i="14"/>
  <c r="EO163" i="14"/>
  <c r="EO256" i="14"/>
  <c r="EO216" i="14"/>
  <c r="EO188" i="14"/>
  <c r="EO9" i="14"/>
  <c r="EO235" i="14"/>
  <c r="FA195" i="14"/>
  <c r="FB195" i="14" s="1"/>
  <c r="FL62" i="14"/>
  <c r="EO211" i="14"/>
  <c r="EY21" i="14"/>
  <c r="EX21" i="14"/>
  <c r="EO14" i="14"/>
  <c r="EM39" i="14"/>
  <c r="EN39" i="14" s="1"/>
  <c r="EO40" i="14"/>
  <c r="EO33" i="14"/>
  <c r="EO93" i="14"/>
  <c r="EO68" i="14"/>
  <c r="EO146" i="14"/>
  <c r="EO206" i="14"/>
  <c r="EO55" i="14"/>
  <c r="EO173" i="14"/>
  <c r="FL77" i="14"/>
  <c r="EO16" i="14"/>
  <c r="EO145" i="14"/>
  <c r="EO231" i="14"/>
  <c r="EM230" i="14"/>
  <c r="EN230" i="14" s="1"/>
  <c r="FH26" i="14"/>
  <c r="EO53" i="14"/>
  <c r="EX143" i="14"/>
  <c r="FH143" i="14"/>
  <c r="EO160" i="14"/>
  <c r="EM159" i="14"/>
  <c r="EN159" i="14" s="1"/>
  <c r="EO228" i="14"/>
  <c r="EO248" i="14"/>
  <c r="EO172" i="14"/>
  <c r="EO199" i="14"/>
  <c r="EO132" i="14"/>
  <c r="FH84" i="14"/>
  <c r="EO43" i="14"/>
  <c r="EX211" i="14"/>
  <c r="EO59" i="14"/>
  <c r="FH54" i="14"/>
  <c r="EX54" i="14"/>
  <c r="EX55" i="14"/>
  <c r="EO144" i="14"/>
  <c r="EM20" i="14"/>
  <c r="EN20" i="14" s="1"/>
  <c r="EO21" i="14"/>
  <c r="EO168" i="14"/>
  <c r="EO148" i="14"/>
  <c r="EO180" i="14"/>
  <c r="EO87" i="14"/>
  <c r="EO182" i="14"/>
  <c r="EO24" i="14"/>
  <c r="EO117" i="14"/>
  <c r="EO237" i="14"/>
  <c r="FH239" i="14"/>
  <c r="EX178" i="14"/>
  <c r="EX117" i="14"/>
  <c r="EO198" i="14"/>
  <c r="EY55" i="14"/>
  <c r="EO88" i="14"/>
  <c r="EO162" i="14"/>
  <c r="EY61" i="14"/>
  <c r="EO85" i="14"/>
  <c r="EO119" i="14"/>
  <c r="EO186" i="14"/>
  <c r="EO253" i="14"/>
  <c r="EO133" i="14"/>
  <c r="EO234" i="14"/>
  <c r="EO105" i="14"/>
  <c r="EO184" i="14"/>
  <c r="EO48" i="14"/>
  <c r="EO201" i="14"/>
  <c r="EO25" i="14"/>
  <c r="EO113" i="14"/>
  <c r="EO257" i="14"/>
  <c r="EO164" i="14"/>
  <c r="EO11" i="14"/>
  <c r="EY117" i="14"/>
  <c r="EO247" i="14"/>
  <c r="EO100" i="14"/>
  <c r="EO28" i="14"/>
  <c r="EO107" i="14"/>
  <c r="EO183" i="14"/>
  <c r="EY54" i="14"/>
  <c r="EO165" i="14"/>
  <c r="FH255" i="14"/>
  <c r="EX87" i="14"/>
  <c r="EO45" i="14"/>
  <c r="FH61" i="14"/>
  <c r="EO316" i="14"/>
  <c r="EO330" i="14" s="1"/>
  <c r="EO331" i="14"/>
  <c r="ED260" i="14"/>
  <c r="EW78" i="14"/>
  <c r="EV78" i="14"/>
  <c r="FL84" i="14" l="1"/>
  <c r="FK84" i="14"/>
  <c r="FK26" i="14"/>
  <c r="FN26" i="14"/>
  <c r="FO26" i="14" s="1"/>
  <c r="FK110" i="14"/>
  <c r="FN110" i="14"/>
  <c r="FO110" i="14" s="1"/>
  <c r="EU78" i="14"/>
  <c r="EY78" i="14" s="1"/>
  <c r="FK255" i="14"/>
  <c r="FN255" i="14"/>
  <c r="FO255" i="14" s="1"/>
  <c r="FL156" i="14"/>
  <c r="FN156" i="14"/>
  <c r="FO156" i="14" s="1"/>
  <c r="FL239" i="14"/>
  <c r="FN239" i="14"/>
  <c r="FO239" i="14" s="1"/>
  <c r="FK38" i="14"/>
  <c r="FN38" i="14"/>
  <c r="FO38" i="14" s="1"/>
  <c r="FL127" i="14"/>
  <c r="FN127" i="14"/>
  <c r="FO127" i="14" s="1"/>
  <c r="FL227" i="14"/>
  <c r="FN227" i="14"/>
  <c r="FO227" i="14" s="1"/>
  <c r="FN84" i="14"/>
  <c r="FO84" i="14" s="1"/>
  <c r="FK103" i="14"/>
  <c r="FN103" i="14"/>
  <c r="FO103" i="14" s="1"/>
  <c r="FK61" i="14"/>
  <c r="FN61" i="14"/>
  <c r="FO61" i="14" s="1"/>
  <c r="FK54" i="14"/>
  <c r="FN54" i="14"/>
  <c r="FO54" i="14" s="1"/>
  <c r="FK143" i="14"/>
  <c r="FN143" i="14"/>
  <c r="FO143" i="14" s="1"/>
  <c r="FL17" i="14"/>
  <c r="FO17" i="14"/>
  <c r="FL103" i="14"/>
  <c r="FN6" i="14"/>
  <c r="FO6" i="14"/>
  <c r="FK127" i="14"/>
  <c r="FH66" i="14"/>
  <c r="FN66" i="14" s="1"/>
  <c r="FO66" i="14" s="1"/>
  <c r="EO66" i="14"/>
  <c r="FJ20" i="14"/>
  <c r="FL110" i="14"/>
  <c r="FK120" i="14"/>
  <c r="FL120" i="14"/>
  <c r="FH150" i="14"/>
  <c r="FH141" i="14"/>
  <c r="FK156" i="14"/>
  <c r="FH178" i="14"/>
  <c r="FN178" i="14" s="1"/>
  <c r="FO178" i="14" s="1"/>
  <c r="FK227" i="14"/>
  <c r="FL38" i="14"/>
  <c r="FK239" i="14"/>
  <c r="FL61" i="14"/>
  <c r="FH21" i="14"/>
  <c r="FI20" i="14"/>
  <c r="FL143" i="14"/>
  <c r="FL255" i="14"/>
  <c r="FH160" i="14"/>
  <c r="FN160" i="14" s="1"/>
  <c r="FO160" i="14" s="1"/>
  <c r="FH193" i="14"/>
  <c r="FK140" i="14"/>
  <c r="FL140" i="14"/>
  <c r="FK17" i="14"/>
  <c r="FH133" i="14"/>
  <c r="FL54" i="14"/>
  <c r="FH146" i="14"/>
  <c r="FL26" i="14"/>
  <c r="EW11" i="14"/>
  <c r="EV11" i="14"/>
  <c r="EW156" i="14"/>
  <c r="EV156" i="14"/>
  <c r="EQ168" i="14" l="1"/>
  <c r="EP168" i="14" s="1"/>
  <c r="ES168" i="14" s="1"/>
  <c r="FA168" i="14" s="1"/>
  <c r="FB168" i="14" s="1"/>
  <c r="FL21" i="14"/>
  <c r="EU156" i="14"/>
  <c r="EY156" i="14" s="1"/>
  <c r="FL193" i="14"/>
  <c r="FL146" i="14"/>
  <c r="FN146" i="14"/>
  <c r="FO146" i="14" s="1"/>
  <c r="FL141" i="14"/>
  <c r="FN141" i="14"/>
  <c r="FO141" i="14" s="1"/>
  <c r="EU11" i="14"/>
  <c r="EX11" i="14" s="1"/>
  <c r="FL133" i="14"/>
  <c r="FN133" i="14"/>
  <c r="FO133" i="14" s="1"/>
  <c r="FL150" i="14"/>
  <c r="FN150" i="14"/>
  <c r="FO150" i="14" s="1"/>
  <c r="EX78" i="14"/>
  <c r="FH20" i="14"/>
  <c r="FK193" i="14"/>
  <c r="FK133" i="14"/>
  <c r="FK66" i="14"/>
  <c r="FL66" i="14"/>
  <c r="FK150" i="14"/>
  <c r="FK21" i="14"/>
  <c r="FL178" i="14"/>
  <c r="FK178" i="14"/>
  <c r="FK141" i="14"/>
  <c r="FK146" i="14"/>
  <c r="FK160" i="14"/>
  <c r="FL160" i="14"/>
  <c r="ED292" i="14"/>
  <c r="ET168" i="14" l="1"/>
  <c r="EY11" i="14"/>
  <c r="EX156" i="14"/>
  <c r="EW192" i="14"/>
  <c r="EV192" i="14"/>
  <c r="EW15" i="14"/>
  <c r="EV15" i="14"/>
  <c r="EC101" i="14"/>
  <c r="EC82" i="14"/>
  <c r="EB82" i="14" s="1"/>
  <c r="EU192" i="14" l="1"/>
  <c r="FA192" i="14" s="1"/>
  <c r="FB192" i="14" s="1"/>
  <c r="EB101" i="14"/>
  <c r="EF101" i="14" s="1"/>
  <c r="EE82" i="14"/>
  <c r="EM82" i="14" s="1"/>
  <c r="EF82" i="14"/>
  <c r="EU15" i="14"/>
  <c r="FA15" i="14" s="1"/>
  <c r="FD21" i="14"/>
  <c r="EE101" i="14" l="1"/>
  <c r="EY192" i="14"/>
  <c r="EX192" i="14"/>
  <c r="EX15" i="14"/>
  <c r="FC21" i="14"/>
  <c r="FG21" i="14" s="1"/>
  <c r="EN82" i="14"/>
  <c r="EM79" i="14"/>
  <c r="EO82" i="14"/>
  <c r="EY15" i="14"/>
  <c r="EW120" i="14"/>
  <c r="EV120" i="14"/>
  <c r="EV255" i="14"/>
  <c r="EW255" i="14"/>
  <c r="EQ95" i="14" l="1"/>
  <c r="EP95" i="14" s="1"/>
  <c r="ES95" i="14" s="1"/>
  <c r="FA95" i="14" s="1"/>
  <c r="EU120" i="14"/>
  <c r="FA120" i="14" s="1"/>
  <c r="EW242" i="14"/>
  <c r="EN79" i="14"/>
  <c r="EV242" i="14"/>
  <c r="EU255" i="14"/>
  <c r="FA255" i="14" s="1"/>
  <c r="FF21" i="14"/>
  <c r="FN21" i="14" s="1"/>
  <c r="EX120" i="14" l="1"/>
  <c r="ET95" i="14"/>
  <c r="EX255" i="14"/>
  <c r="EY120" i="14"/>
  <c r="EU242" i="14"/>
  <c r="FA242" i="14"/>
  <c r="FB242" i="14" s="1"/>
  <c r="FO21" i="14"/>
  <c r="FN20" i="14"/>
  <c r="FO20" i="14" s="1"/>
  <c r="EY255" i="14"/>
  <c r="EW43" i="14"/>
  <c r="EV43" i="14"/>
  <c r="EU43" i="14" l="1"/>
  <c r="FA43" i="14" s="1"/>
  <c r="EY43" i="14" l="1"/>
  <c r="EX43" i="14"/>
  <c r="EI101" i="14" l="1"/>
  <c r="EI94" i="14" s="1"/>
  <c r="EH101" i="14"/>
  <c r="EH94" i="14" s="1"/>
  <c r="EG101" i="14" l="1"/>
  <c r="EM101" i="14" s="1"/>
  <c r="EI258" i="14"/>
  <c r="EW138" i="14"/>
  <c r="EV138" i="14"/>
  <c r="EW93" i="14"/>
  <c r="EV93" i="14"/>
  <c r="FJ82" i="14"/>
  <c r="FI82" i="14"/>
  <c r="FJ119" i="14"/>
  <c r="FI119" i="14"/>
  <c r="EJ101" i="14" l="1"/>
  <c r="EO101" i="14" s="1"/>
  <c r="EW137" i="14"/>
  <c r="FH82" i="14"/>
  <c r="FH119" i="14"/>
  <c r="FK119" i="14" s="1"/>
  <c r="EK101" i="14"/>
  <c r="EG94" i="14"/>
  <c r="EH258" i="14"/>
  <c r="EU93" i="14"/>
  <c r="EY93" i="14" s="1"/>
  <c r="EU138" i="14"/>
  <c r="EY138" i="14" s="1"/>
  <c r="EV137" i="14"/>
  <c r="EN101" i="14"/>
  <c r="EW49" i="14"/>
  <c r="EV49" i="14"/>
  <c r="EX93" i="14" l="1"/>
  <c r="EU137" i="14"/>
  <c r="FL119" i="14"/>
  <c r="FN119" i="14"/>
  <c r="FO119" i="14" s="1"/>
  <c r="FK82" i="14"/>
  <c r="FN82" i="14"/>
  <c r="FO82" i="14" s="1"/>
  <c r="EX138" i="14"/>
  <c r="EU49" i="14"/>
  <c r="FL82" i="14"/>
  <c r="EW65" i="14"/>
  <c r="EV65" i="14"/>
  <c r="FA49" i="14" l="1"/>
  <c r="EU65" i="14"/>
  <c r="EX65" i="14" s="1"/>
  <c r="EX49" i="14"/>
  <c r="EW57" i="14"/>
  <c r="EY49" i="14"/>
  <c r="EQ65" i="14"/>
  <c r="FB49" i="14" l="1"/>
  <c r="EY65" i="14"/>
  <c r="EP65" i="14"/>
  <c r="ET65" i="14" s="1"/>
  <c r="EW193" i="14"/>
  <c r="EV193" i="14"/>
  <c r="EQ56" i="14" l="1"/>
  <c r="EP56" i="14" s="1"/>
  <c r="ES56" i="14" s="1"/>
  <c r="FA56" i="14" s="1"/>
  <c r="ES65" i="14"/>
  <c r="FA65" i="14" s="1"/>
  <c r="EU193" i="14"/>
  <c r="FA193" i="14" s="1"/>
  <c r="FD193" i="14"/>
  <c r="EX193" i="14" l="1"/>
  <c r="ET56" i="14"/>
  <c r="EY193" i="14"/>
  <c r="FC193" i="14"/>
  <c r="FG193" i="14" s="1"/>
  <c r="FJ11" i="14"/>
  <c r="FJ8" i="14" s="1"/>
  <c r="FH8" i="14" s="1"/>
  <c r="EW47" i="14"/>
  <c r="EV47" i="14"/>
  <c r="FF193" i="14" l="1"/>
  <c r="FN193" i="14" s="1"/>
  <c r="FO193" i="14" s="1"/>
  <c r="EQ31" i="14"/>
  <c r="EP31" i="14" s="1"/>
  <c r="FH11" i="14"/>
  <c r="FL11" i="14" s="1"/>
  <c r="EU47" i="14"/>
  <c r="FA47" i="14" s="1"/>
  <c r="EV228" i="14"/>
  <c r="FB47" i="14" l="1"/>
  <c r="ET31" i="14"/>
  <c r="ES31" i="14"/>
  <c r="FA31" i="14" s="1"/>
  <c r="EY47" i="14"/>
  <c r="EU228" i="14"/>
  <c r="EX228" i="14" s="1"/>
  <c r="EX47" i="14"/>
  <c r="FK11" i="14"/>
  <c r="EW53" i="14"/>
  <c r="EV53" i="14"/>
  <c r="EV212" i="14"/>
  <c r="EW229" i="14"/>
  <c r="EV229" i="14"/>
  <c r="EQ212" i="14"/>
  <c r="EU229" i="14" l="1"/>
  <c r="FA229" i="14" s="1"/>
  <c r="EW220" i="14"/>
  <c r="EY228" i="14"/>
  <c r="EU53" i="14"/>
  <c r="FA53" i="14" s="1"/>
  <c r="EP212" i="14"/>
  <c r="ET212" i="14" s="1"/>
  <c r="EU212" i="14"/>
  <c r="EV220" i="14"/>
  <c r="FD76" i="14"/>
  <c r="EY229" i="14" l="1"/>
  <c r="EU220" i="14"/>
  <c r="EX229" i="14"/>
  <c r="EY212" i="14"/>
  <c r="FC76" i="14"/>
  <c r="FG76" i="14" s="1"/>
  <c r="ES212" i="14"/>
  <c r="FA212" i="14" s="1"/>
  <c r="EX212" i="14"/>
  <c r="EX53" i="14"/>
  <c r="EY53" i="14"/>
  <c r="EW182" i="14"/>
  <c r="EV182" i="14"/>
  <c r="EU182" i="14" l="1"/>
  <c r="EX182" i="14" s="1"/>
  <c r="FF76" i="14"/>
  <c r="EY182" i="14" l="1"/>
  <c r="FA182" i="14"/>
  <c r="FB182" i="14" s="1"/>
  <c r="EV240" i="14"/>
  <c r="EV230" i="14" l="1"/>
  <c r="EU230" i="14" s="1"/>
  <c r="EU240" i="14"/>
  <c r="EX240" i="14" s="1"/>
  <c r="EY240" i="14" l="1"/>
  <c r="EW157" i="14"/>
  <c r="EU157" i="14" l="1"/>
  <c r="EX157" i="14" s="1"/>
  <c r="EW19" i="14"/>
  <c r="EW8" i="14" s="1"/>
  <c r="EV19" i="14"/>
  <c r="EV8" i="14" s="1"/>
  <c r="EU8" i="14" l="1"/>
  <c r="EY157" i="14"/>
  <c r="EU19" i="14"/>
  <c r="FA19" i="14" s="1"/>
  <c r="EX19" i="14" l="1"/>
  <c r="EY19" i="14"/>
  <c r="EQ55" i="14"/>
  <c r="EQ115" i="14"/>
  <c r="EP115" i="14" l="1"/>
  <c r="ET115" i="14" s="1"/>
  <c r="EP55" i="14"/>
  <c r="ET55" i="14" s="1"/>
  <c r="FJ43" i="14"/>
  <c r="FI43" i="14"/>
  <c r="ES55" i="14" l="1"/>
  <c r="FA55" i="14" s="1"/>
  <c r="FH43" i="14"/>
  <c r="FK43" i="14" s="1"/>
  <c r="ES115" i="14"/>
  <c r="FA115" i="14" s="1"/>
  <c r="FB115" i="14" s="1"/>
  <c r="EW123" i="14"/>
  <c r="EV123" i="14"/>
  <c r="EW183" i="14"/>
  <c r="EV183" i="14"/>
  <c r="FJ76" i="14"/>
  <c r="FI76" i="14"/>
  <c r="EU183" i="14" l="1"/>
  <c r="FA183" i="14" s="1"/>
  <c r="EW114" i="14"/>
  <c r="FL43" i="14"/>
  <c r="FN43" i="14"/>
  <c r="EU123" i="14"/>
  <c r="FA123" i="14" s="1"/>
  <c r="FB123" i="14" s="1"/>
  <c r="EV114" i="14"/>
  <c r="FH76" i="14"/>
  <c r="FK76" i="14" s="1"/>
  <c r="EW180" i="14"/>
  <c r="EV180" i="14"/>
  <c r="EX123" i="14" l="1"/>
  <c r="EX183" i="14"/>
  <c r="FO43" i="14"/>
  <c r="FN39" i="14"/>
  <c r="EU114" i="14"/>
  <c r="EY123" i="14"/>
  <c r="FL76" i="14"/>
  <c r="FN76" i="14"/>
  <c r="FO76" i="14" s="1"/>
  <c r="EU180" i="14"/>
  <c r="FA180" i="14" s="1"/>
  <c r="EY183" i="14"/>
  <c r="EX180" i="14" l="1"/>
  <c r="EY180" i="14"/>
  <c r="FD11" i="14"/>
  <c r="FC11" i="14" s="1"/>
  <c r="EQ11" i="14" l="1"/>
  <c r="EP11" i="14" s="1"/>
  <c r="ES11" i="14" s="1"/>
  <c r="FA11" i="14" s="1"/>
  <c r="FA8" i="14" s="1"/>
  <c r="FB8" i="14" s="1"/>
  <c r="EQ146" i="14"/>
  <c r="EP146" i="14" s="1"/>
  <c r="FF11" i="14"/>
  <c r="FN11" i="14" s="1"/>
  <c r="FN8" i="14" s="1"/>
  <c r="FO8" i="14" s="1"/>
  <c r="FG11" i="14"/>
  <c r="ET146" i="14" l="1"/>
  <c r="ES146" i="14"/>
  <c r="FA146" i="14" s="1"/>
  <c r="FB146" i="14" s="1"/>
  <c r="ET11" i="14"/>
  <c r="FO11" i="14"/>
  <c r="EQ62" i="14"/>
  <c r="EP62" i="14" l="1"/>
  <c r="ET62" i="14" s="1"/>
  <c r="EQ138" i="14" l="1"/>
  <c r="EP138" i="14" s="1"/>
  <c r="ES62" i="14"/>
  <c r="FA62" i="14" s="1"/>
  <c r="EQ188" i="14"/>
  <c r="ES138" i="14" l="1"/>
  <c r="FA138" i="14" s="1"/>
  <c r="ET138" i="14"/>
  <c r="EP188" i="14"/>
  <c r="ET188" i="14" s="1"/>
  <c r="EV42" i="14"/>
  <c r="FA137" i="14" l="1"/>
  <c r="FB137" i="14" s="1"/>
  <c r="ES188" i="14"/>
  <c r="FA188" i="14" s="1"/>
  <c r="EV39" i="14"/>
  <c r="EU42" i="14"/>
  <c r="EX42" i="14" s="1"/>
  <c r="EQ157" i="14"/>
  <c r="EQ107" i="14"/>
  <c r="EQ221" i="14"/>
  <c r="EP157" i="14" l="1"/>
  <c r="ET157" i="14" s="1"/>
  <c r="EP221" i="14"/>
  <c r="ET221" i="14" s="1"/>
  <c r="EY42" i="14"/>
  <c r="EP107" i="14"/>
  <c r="EQ228" i="14"/>
  <c r="EQ30" i="14"/>
  <c r="EQ78" i="14"/>
  <c r="EQ158" i="14" l="1"/>
  <c r="EP158" i="14" s="1"/>
  <c r="ES158" i="14" s="1"/>
  <c r="EQ156" i="14"/>
  <c r="EP156" i="14" s="1"/>
  <c r="FA107" i="14"/>
  <c r="EP78" i="14"/>
  <c r="ET78" i="14" s="1"/>
  <c r="EP30" i="14"/>
  <c r="ET30" i="14" s="1"/>
  <c r="ES221" i="14"/>
  <c r="FA221" i="14" s="1"/>
  <c r="EP228" i="14"/>
  <c r="ET228" i="14" s="1"/>
  <c r="ES157" i="14"/>
  <c r="FA157" i="14" s="1"/>
  <c r="EQ121" i="14"/>
  <c r="ET156" i="14" l="1"/>
  <c r="ES156" i="14"/>
  <c r="FA156" i="14" s="1"/>
  <c r="ES30" i="14"/>
  <c r="FA30" i="14" s="1"/>
  <c r="ET158" i="14"/>
  <c r="EP121" i="14"/>
  <c r="ET121" i="14" s="1"/>
  <c r="ES78" i="14"/>
  <c r="FA78" i="14" s="1"/>
  <c r="ES228" i="14"/>
  <c r="FA228" i="14" s="1"/>
  <c r="FA220" i="14" l="1"/>
  <c r="FB220" i="14" s="1"/>
  <c r="ES121" i="14"/>
  <c r="FA121" i="14" s="1"/>
  <c r="FB121" i="14" s="1"/>
  <c r="FA114" i="14" l="1"/>
  <c r="FB114" i="14" s="1"/>
  <c r="EW219" i="14" l="1"/>
  <c r="EV82" i="14"/>
  <c r="EU219" i="14" l="1"/>
  <c r="EY219" i="14" s="1"/>
  <c r="EU82" i="14"/>
  <c r="FI215" i="14"/>
  <c r="EW25" i="14"/>
  <c r="EV25" i="14"/>
  <c r="FH215" i="14" l="1"/>
  <c r="EU25" i="14"/>
  <c r="EX25" i="14" s="1"/>
  <c r="EY82" i="14"/>
  <c r="FA82" i="14"/>
  <c r="EX82" i="14"/>
  <c r="FA219" i="14"/>
  <c r="EX219" i="14"/>
  <c r="EV64" i="14"/>
  <c r="EW158" i="14"/>
  <c r="EV158" i="14"/>
  <c r="EU158" i="14" l="1"/>
  <c r="EY158" i="14" s="1"/>
  <c r="EV151" i="14"/>
  <c r="EU64" i="14"/>
  <c r="EV57" i="14"/>
  <c r="FB57" i="14" s="1"/>
  <c r="FK215" i="14"/>
  <c r="FN215" i="14"/>
  <c r="FO215" i="14" s="1"/>
  <c r="FL215" i="14"/>
  <c r="EW151" i="14"/>
  <c r="EY25" i="14"/>
  <c r="FA25" i="14"/>
  <c r="EU151" i="14" l="1"/>
  <c r="EU57" i="14"/>
  <c r="EY64" i="14"/>
  <c r="FA64" i="14"/>
  <c r="FB64" i="14" s="1"/>
  <c r="EX64" i="14"/>
  <c r="EX158" i="14"/>
  <c r="FA158" i="14"/>
  <c r="FB158" i="14" s="1"/>
  <c r="EW207" i="14" l="1"/>
  <c r="EV207" i="14"/>
  <c r="EV203" i="14" l="1"/>
  <c r="EU207" i="14"/>
  <c r="FA207" i="14" s="1"/>
  <c r="EW203" i="14"/>
  <c r="EX207" i="14" l="1"/>
  <c r="EY207" i="14"/>
  <c r="EU203" i="14"/>
  <c r="FA203" i="14"/>
  <c r="FB203" i="14" s="1"/>
  <c r="FI112" i="14" l="1"/>
  <c r="FH112" i="14" l="1"/>
  <c r="FK112" i="14" s="1"/>
  <c r="EW34" i="14"/>
  <c r="EW20" i="14" s="1"/>
  <c r="EV34" i="14"/>
  <c r="FL112" i="14" l="1"/>
  <c r="EU34" i="14"/>
  <c r="EY34" i="14" s="1"/>
  <c r="EV20" i="14"/>
  <c r="EU20" i="14" l="1"/>
  <c r="EP131" i="14"/>
  <c r="ES131" i="14" s="1"/>
  <c r="FA131" i="14" s="1"/>
  <c r="FB131" i="14" s="1"/>
  <c r="EX34" i="14"/>
  <c r="EQ134" i="14"/>
  <c r="ET131" i="14" l="1"/>
  <c r="EP134" i="14"/>
  <c r="EQ132" i="14"/>
  <c r="FA134" i="14" l="1"/>
  <c r="EP132" i="14"/>
  <c r="EQ135" i="14"/>
  <c r="EP135" i="14" l="1"/>
  <c r="ET135" i="14" s="1"/>
  <c r="FA132" i="14"/>
  <c r="EQ136" i="14"/>
  <c r="EP136" i="14" l="1"/>
  <c r="ET136" i="14" s="1"/>
  <c r="ES135" i="14"/>
  <c r="FA135" i="14" s="1"/>
  <c r="EQ93" i="14"/>
  <c r="EP93" i="14" l="1"/>
  <c r="ET93" i="14" s="1"/>
  <c r="ES136" i="14"/>
  <c r="FA136" i="14" s="1"/>
  <c r="EQ91" i="14"/>
  <c r="ES93" i="14" l="1"/>
  <c r="FA93" i="14" s="1"/>
  <c r="EP91" i="14"/>
  <c r="ET91" i="14" s="1"/>
  <c r="EV108" i="14"/>
  <c r="EQ133" i="14" l="1"/>
  <c r="EP133" i="14" s="1"/>
  <c r="FA133" i="14" s="1"/>
  <c r="EV94" i="14"/>
  <c r="EU108" i="14"/>
  <c r="ES91" i="14"/>
  <c r="FA91" i="14" s="1"/>
  <c r="EW51" i="14"/>
  <c r="EU94" i="14" l="1"/>
  <c r="FA94" i="14" s="1"/>
  <c r="FB94" i="14" s="1"/>
  <c r="EU51" i="14"/>
  <c r="EY51" i="14" s="1"/>
  <c r="EW39" i="14"/>
  <c r="EU39" i="14" s="1"/>
  <c r="FA128" i="14"/>
  <c r="FB128" i="14" s="1"/>
  <c r="EQ90" i="14"/>
  <c r="EP90" i="14" l="1"/>
  <c r="ET90" i="14" s="1"/>
  <c r="FA51" i="14"/>
  <c r="EX51" i="14"/>
  <c r="EQ171" i="14" l="1"/>
  <c r="EP171" i="14" s="1"/>
  <c r="ET171" i="14" s="1"/>
  <c r="ES90" i="14"/>
  <c r="EQ108" i="14"/>
  <c r="EQ240" i="14"/>
  <c r="EQ34" i="14" l="1"/>
  <c r="EP34" i="14" s="1"/>
  <c r="ES171" i="14"/>
  <c r="FA171" i="14" s="1"/>
  <c r="EP108" i="14"/>
  <c r="EP240" i="14"/>
  <c r="ET240" i="14" s="1"/>
  <c r="FA159" i="14" l="1"/>
  <c r="FB159" i="14" s="1"/>
  <c r="FB171" i="14"/>
  <c r="ET34" i="14"/>
  <c r="ES34" i="14"/>
  <c r="FA34" i="14" s="1"/>
  <c r="EQ154" i="14"/>
  <c r="EP154" i="14" s="1"/>
  <c r="ET154" i="14" s="1"/>
  <c r="ES240" i="14"/>
  <c r="FA240" i="14" s="1"/>
  <c r="FB240" i="14" s="1"/>
  <c r="FA108" i="14"/>
  <c r="FA20" i="14"/>
  <c r="FB20" i="14" s="1"/>
  <c r="ES154" i="14" l="1"/>
  <c r="FA154" i="14" s="1"/>
  <c r="FA151" i="14" s="1"/>
  <c r="FB151" i="14" s="1"/>
  <c r="FA230" i="14"/>
  <c r="FB230" i="14" s="1"/>
  <c r="EQ57" i="14" l="1"/>
  <c r="EP57" i="14" s="1"/>
  <c r="EQ195" i="14"/>
  <c r="EP195" i="14" s="1"/>
  <c r="EQ203" i="14"/>
  <c r="EP203" i="14" s="1"/>
  <c r="EQ94" i="14"/>
  <c r="EP94" i="14" s="1"/>
  <c r="EQ151" i="14"/>
  <c r="EP151" i="14" s="1"/>
  <c r="EQ220" i="14"/>
  <c r="EP220" i="14" s="1"/>
  <c r="EQ128" i="14"/>
  <c r="EP128" i="14" s="1"/>
  <c r="EQ242" i="14"/>
  <c r="EP242" i="14" s="1"/>
  <c r="EQ79" i="14"/>
  <c r="EP79" i="14" s="1"/>
  <c r="EQ137" i="14"/>
  <c r="EP137" i="14" s="1"/>
  <c r="EQ20" i="14"/>
  <c r="EP20" i="14" s="1"/>
  <c r="EQ114" i="14"/>
  <c r="EP114" i="14" s="1"/>
  <c r="EQ159" i="14"/>
  <c r="EP159" i="14" s="1"/>
  <c r="EQ230" i="14"/>
  <c r="EP230" i="14" s="1"/>
  <c r="EQ187" i="14"/>
  <c r="FD112" i="14"/>
  <c r="FC112" i="14" l="1"/>
  <c r="FG112" i="14" s="1"/>
  <c r="EP187" i="14"/>
  <c r="EQ42" i="14"/>
  <c r="EQ177" i="14" l="1"/>
  <c r="EP177" i="14" s="1"/>
  <c r="FF112" i="14"/>
  <c r="FN112" i="14" s="1"/>
  <c r="FO112" i="14" s="1"/>
  <c r="ES187" i="14"/>
  <c r="ET187" i="14"/>
  <c r="EW187" i="14"/>
  <c r="EW177" i="14" s="1"/>
  <c r="EV187" i="14"/>
  <c r="EQ39" i="14" l="1"/>
  <c r="EP39" i="14" s="1"/>
  <c r="EU187" i="14"/>
  <c r="EY187" i="14" s="1"/>
  <c r="EV177" i="14"/>
  <c r="EU177" i="14" s="1"/>
  <c r="EP42" i="14"/>
  <c r="ET42" i="14" s="1"/>
  <c r="EW90" i="14"/>
  <c r="EV90" i="14"/>
  <c r="ES42" i="14" l="1"/>
  <c r="FA42" i="14" s="1"/>
  <c r="EU90" i="14"/>
  <c r="EY90" i="14" s="1"/>
  <c r="EV79" i="14"/>
  <c r="EW79" i="14"/>
  <c r="FA187" i="14"/>
  <c r="EX187" i="14"/>
  <c r="EC109" i="14"/>
  <c r="FB42" i="14" l="1"/>
  <c r="FA39" i="14"/>
  <c r="FB39" i="14" s="1"/>
  <c r="EU79" i="14"/>
  <c r="FA79" i="14" s="1"/>
  <c r="FB79" i="14" s="1"/>
  <c r="EB109" i="14"/>
  <c r="EF109" i="14" s="1"/>
  <c r="EC94" i="14"/>
  <c r="FA177" i="14"/>
  <c r="FB177" i="14" s="1"/>
  <c r="EX90" i="14"/>
  <c r="FA90" i="14"/>
  <c r="EE109" i="14" l="1"/>
  <c r="EM109" i="14" s="1"/>
  <c r="EN109" i="14" s="1"/>
  <c r="EO109" i="14" l="1"/>
  <c r="EN292" i="14" l="1"/>
  <c r="EM292" i="14"/>
  <c r="FD242" i="14" l="1"/>
  <c r="FC242" i="14" s="1"/>
  <c r="EC242" i="14"/>
  <c r="EB242" i="14" s="1"/>
  <c r="FD230" i="14"/>
  <c r="FC230" i="14" s="1"/>
  <c r="EC230" i="14"/>
  <c r="EB230" i="14" s="1"/>
  <c r="FD220" i="14"/>
  <c r="FC220" i="14" s="1"/>
  <c r="EC220" i="14"/>
  <c r="EB220" i="14" s="1"/>
  <c r="FD203" i="14"/>
  <c r="FC203" i="14" s="1"/>
  <c r="EC203" i="14"/>
  <c r="EB203" i="14" s="1"/>
  <c r="FD195" i="14"/>
  <c r="FC195" i="14" s="1"/>
  <c r="EC195" i="14"/>
  <c r="EB195" i="14" s="1"/>
  <c r="FD177" i="14"/>
  <c r="FC177" i="14" s="1"/>
  <c r="EC177" i="14"/>
  <c r="EB177" i="14" s="1"/>
  <c r="FD159" i="14"/>
  <c r="FC159" i="14" s="1"/>
  <c r="EC159" i="14"/>
  <c r="EB159" i="14" s="1"/>
  <c r="FD151" i="14"/>
  <c r="FC151" i="14" s="1"/>
  <c r="EC151" i="14"/>
  <c r="EB151" i="14" s="1"/>
  <c r="FD137" i="14"/>
  <c r="FC137" i="14" s="1"/>
  <c r="EC137" i="14"/>
  <c r="EB137" i="14" s="1"/>
  <c r="FD128" i="14"/>
  <c r="FC128" i="14" s="1"/>
  <c r="EC128" i="14"/>
  <c r="EB128" i="14" s="1"/>
  <c r="FD114" i="14"/>
  <c r="FC114" i="14" s="1"/>
  <c r="EC114" i="14"/>
  <c r="EB114" i="14" s="1"/>
  <c r="FD94" i="14"/>
  <c r="FC94" i="14" s="1"/>
  <c r="EB94" i="14"/>
  <c r="FD79" i="14"/>
  <c r="FC79" i="14" s="1"/>
  <c r="EC79" i="14"/>
  <c r="EB79" i="14" s="1"/>
  <c r="FD57" i="14"/>
  <c r="FC57" i="14" s="1"/>
  <c r="EC57" i="14"/>
  <c r="EB57" i="14" s="1"/>
  <c r="FD39" i="14"/>
  <c r="FC39" i="14" s="1"/>
  <c r="FD20" i="14"/>
  <c r="FC20" i="14" s="1"/>
  <c r="EC20" i="14"/>
  <c r="EB20" i="14" s="1"/>
  <c r="EC258" i="14" l="1"/>
  <c r="EV258" i="14" l="1"/>
  <c r="EC260" i="14"/>
  <c r="EC292" i="14" l="1"/>
  <c r="EV260" i="14"/>
  <c r="EV264" i="14" l="1"/>
  <c r="FI242" i="14" l="1"/>
  <c r="FI230" i="14"/>
  <c r="FI220" i="14"/>
  <c r="FI203" i="14"/>
  <c r="FI195" i="14"/>
  <c r="FI177" i="14"/>
  <c r="FI159" i="14"/>
  <c r="FI151" i="14"/>
  <c r="FI137" i="14"/>
  <c r="FI128" i="14"/>
  <c r="FI94" i="14"/>
  <c r="FJ242" i="14"/>
  <c r="FJ230" i="14"/>
  <c r="FJ220" i="14"/>
  <c r="FJ203" i="14"/>
  <c r="FJ195" i="14"/>
  <c r="FJ177" i="14"/>
  <c r="FJ159" i="14"/>
  <c r="FJ151" i="14"/>
  <c r="FJ137" i="14"/>
  <c r="FJ128" i="14"/>
  <c r="FJ94" i="14"/>
  <c r="FJ57" i="14"/>
  <c r="FH195" i="14" l="1"/>
  <c r="FN195" i="14" s="1"/>
  <c r="FO195" i="14" s="1"/>
  <c r="FH151" i="14"/>
  <c r="FN151" i="14" s="1"/>
  <c r="FO151" i="14" s="1"/>
  <c r="FH203" i="14"/>
  <c r="FN203" i="14" s="1"/>
  <c r="FO203" i="14" s="1"/>
  <c r="FH94" i="14"/>
  <c r="FN94" i="14" s="1"/>
  <c r="FO94" i="14" s="1"/>
  <c r="FH159" i="14"/>
  <c r="FN159" i="14" s="1"/>
  <c r="FO159" i="14" s="1"/>
  <c r="FH220" i="14"/>
  <c r="FN220" i="14" s="1"/>
  <c r="FO220" i="14" s="1"/>
  <c r="FH137" i="14"/>
  <c r="FN137" i="14" s="1"/>
  <c r="FO137" i="14" s="1"/>
  <c r="FH242" i="14"/>
  <c r="FN242" i="14" s="1"/>
  <c r="FO242" i="14" s="1"/>
  <c r="FH128" i="14"/>
  <c r="FN128" i="14" s="1"/>
  <c r="FO128" i="14" s="1"/>
  <c r="FH177" i="14"/>
  <c r="FN177" i="14" s="1"/>
  <c r="FO177" i="14" s="1"/>
  <c r="FH230" i="14"/>
  <c r="FN230" i="14" s="1"/>
  <c r="FO230" i="14" s="1"/>
  <c r="FI114" i="14"/>
  <c r="FI57" i="14"/>
  <c r="FI79" i="14"/>
  <c r="FJ79" i="14"/>
  <c r="FJ114" i="14"/>
  <c r="FI39" i="14"/>
  <c r="FJ39" i="14"/>
  <c r="FH79" i="14" l="1"/>
  <c r="FN79" i="14" s="1"/>
  <c r="FO79" i="14" s="1"/>
  <c r="FH57" i="14"/>
  <c r="FN57" i="14" s="1"/>
  <c r="FO57" i="14" s="1"/>
  <c r="FO39" i="14"/>
  <c r="FH39" i="14"/>
  <c r="FH114" i="14"/>
  <c r="FN114" i="14" s="1"/>
  <c r="FO114" i="14" s="1"/>
  <c r="FI258" i="14"/>
  <c r="FI260" i="14" s="1"/>
  <c r="FI264" i="14" l="1"/>
  <c r="DO332" i="14" l="1"/>
  <c r="DM332" i="14"/>
  <c r="DL332" i="14"/>
  <c r="EA328" i="14"/>
  <c r="DO318" i="14"/>
  <c r="DO331" i="14" s="1"/>
  <c r="DM318" i="14"/>
  <c r="DM331" i="14" s="1"/>
  <c r="DL318" i="14"/>
  <c r="DL331" i="14" s="1"/>
  <c r="DO317" i="14"/>
  <c r="DM317" i="14"/>
  <c r="DL317" i="14"/>
  <c r="EA314" i="14"/>
  <c r="EA318" i="14" s="1"/>
  <c r="DW318" i="14" s="1"/>
  <c r="DW332" i="14" s="1"/>
  <c r="DL263" i="14"/>
  <c r="EA242" i="14"/>
  <c r="EA230" i="14"/>
  <c r="EA220" i="14"/>
  <c r="EA203" i="14"/>
  <c r="EA195" i="14"/>
  <c r="EA177" i="14"/>
  <c r="EA159" i="14"/>
  <c r="EA151" i="14"/>
  <c r="EA137" i="14"/>
  <c r="EA128" i="14"/>
  <c r="EA114" i="14"/>
  <c r="EA94" i="14"/>
  <c r="EA79" i="14"/>
  <c r="EA57" i="14"/>
  <c r="EA39" i="14"/>
  <c r="EA20" i="14"/>
  <c r="EA8" i="14"/>
  <c r="EA6" i="14"/>
  <c r="EA332" i="14" l="1"/>
  <c r="EH280" i="14"/>
  <c r="EH286" i="14"/>
  <c r="EH289" i="14"/>
  <c r="EH268" i="14"/>
  <c r="EH271" i="14"/>
  <c r="EH274" i="14"/>
  <c r="EH277" i="14"/>
  <c r="EI280" i="14"/>
  <c r="EI283" i="14"/>
  <c r="EI286" i="14"/>
  <c r="EI289" i="14"/>
  <c r="EH283" i="14"/>
  <c r="EI268" i="14"/>
  <c r="EI271" i="14"/>
  <c r="EI274" i="14"/>
  <c r="EI277" i="14"/>
  <c r="DL115" i="14"/>
  <c r="DL205" i="14"/>
  <c r="DL221" i="14"/>
  <c r="DL196" i="14"/>
  <c r="DO196" i="14" s="1"/>
  <c r="DL81" i="14"/>
  <c r="DL239" i="14"/>
  <c r="DL160" i="14"/>
  <c r="DL199" i="14"/>
  <c r="DL80" i="14"/>
  <c r="DO80" i="14" s="1"/>
  <c r="DL204" i="14"/>
  <c r="DM221" i="14"/>
  <c r="DL59" i="14"/>
  <c r="DL26" i="14"/>
  <c r="DL130" i="14"/>
  <c r="DL139" i="14"/>
  <c r="DL22" i="14"/>
  <c r="DL40" i="14"/>
  <c r="DO40" i="14" s="1"/>
  <c r="DL41" i="14"/>
  <c r="DL129" i="14"/>
  <c r="DL138" i="14"/>
  <c r="DL222" i="14"/>
  <c r="DL232" i="14"/>
  <c r="DM243" i="14"/>
  <c r="DL9" i="14"/>
  <c r="DL21" i="14"/>
  <c r="DL153" i="14"/>
  <c r="DM204" i="14"/>
  <c r="DL244" i="14"/>
  <c r="DL178" i="14"/>
  <c r="DL243" i="14"/>
  <c r="DO243" i="14" s="1"/>
  <c r="DL227" i="14"/>
  <c r="DM58" i="14"/>
  <c r="EA258" i="14"/>
  <c r="EA260" i="14" s="1"/>
  <c r="EA264" i="14" s="1"/>
  <c r="EA292" i="14" s="1"/>
  <c r="DW292" i="14" s="1"/>
  <c r="EH264" i="14" l="1"/>
  <c r="EI264" i="14"/>
  <c r="EG268" i="14"/>
  <c r="EG286" i="14"/>
  <c r="EM286" i="14" s="1"/>
  <c r="EN286" i="14" s="1"/>
  <c r="EG274" i="14"/>
  <c r="EJ274" i="14" s="1"/>
  <c r="EG277" i="14"/>
  <c r="EJ277" i="14" s="1"/>
  <c r="EG271" i="14"/>
  <c r="EM271" i="14" s="1"/>
  <c r="EN271" i="14" s="1"/>
  <c r="EG289" i="14"/>
  <c r="EJ289" i="14" s="1"/>
  <c r="EG280" i="14"/>
  <c r="EG283" i="14"/>
  <c r="EJ283" i="14" s="1"/>
  <c r="FJ258" i="14"/>
  <c r="DL156" i="14"/>
  <c r="DM129" i="14"/>
  <c r="DL11" i="14"/>
  <c r="DM26" i="14"/>
  <c r="DM196" i="14"/>
  <c r="DM40" i="14"/>
  <c r="DL12" i="14"/>
  <c r="DM179" i="14"/>
  <c r="DL209" i="14"/>
  <c r="DL44" i="14"/>
  <c r="DL164" i="14"/>
  <c r="DL132" i="14"/>
  <c r="DL163" i="14"/>
  <c r="DL146" i="14"/>
  <c r="DL131" i="14"/>
  <c r="DL82" i="14"/>
  <c r="DM227" i="14"/>
  <c r="DL246" i="14"/>
  <c r="DL6" i="14"/>
  <c r="DL240" i="14"/>
  <c r="DL184" i="14"/>
  <c r="DL100" i="14"/>
  <c r="DL62" i="14"/>
  <c r="DL119" i="14"/>
  <c r="DM178" i="14"/>
  <c r="DL63" i="14"/>
  <c r="DM22" i="14"/>
  <c r="DL158" i="14"/>
  <c r="DL121" i="14"/>
  <c r="DL43" i="14"/>
  <c r="DL245" i="14"/>
  <c r="DL198" i="14"/>
  <c r="DL185" i="14"/>
  <c r="DL27" i="14"/>
  <c r="DL20" i="14" s="1"/>
  <c r="DL152" i="14"/>
  <c r="DM232" i="14"/>
  <c r="DL140" i="14"/>
  <c r="DL103" i="14"/>
  <c r="DM80" i="14"/>
  <c r="DM152" i="14"/>
  <c r="DM138" i="14"/>
  <c r="DL228" i="14"/>
  <c r="DL220" i="14" s="1"/>
  <c r="DL210" i="14"/>
  <c r="DL197" i="14"/>
  <c r="DL58" i="14"/>
  <c r="DL95" i="14"/>
  <c r="DM244" i="14"/>
  <c r="DL161" i="14"/>
  <c r="DL179" i="14"/>
  <c r="DL84" i="14"/>
  <c r="DL231" i="14"/>
  <c r="DL116" i="14"/>
  <c r="DM59" i="14"/>
  <c r="EA293" i="14"/>
  <c r="DW293" i="14" s="1"/>
  <c r="EA306" i="14"/>
  <c r="DW306" i="14" s="1"/>
  <c r="DM9" i="14"/>
  <c r="DL10" i="14"/>
  <c r="EG264" i="14" l="1"/>
  <c r="EK286" i="14"/>
  <c r="EK271" i="14"/>
  <c r="DL128" i="14"/>
  <c r="EJ271" i="14"/>
  <c r="EK280" i="14"/>
  <c r="EM280" i="14"/>
  <c r="EN280" i="14" s="1"/>
  <c r="EK283" i="14"/>
  <c r="EM283" i="14"/>
  <c r="EN283" i="14" s="1"/>
  <c r="EK277" i="14"/>
  <c r="EK289" i="14"/>
  <c r="EM289" i="14"/>
  <c r="EN289" i="14" s="1"/>
  <c r="EJ280" i="14"/>
  <c r="EK274" i="14"/>
  <c r="EM274" i="14"/>
  <c r="EN274" i="14" s="1"/>
  <c r="EJ286" i="14"/>
  <c r="EW258" i="14"/>
  <c r="EH260" i="14"/>
  <c r="EI260" i="14"/>
  <c r="EI292" i="14" s="1"/>
  <c r="DL8" i="14"/>
  <c r="DL159" i="14"/>
  <c r="DL39" i="14"/>
  <c r="DM131" i="14"/>
  <c r="DL203" i="14"/>
  <c r="DL242" i="14"/>
  <c r="DL151" i="14"/>
  <c r="DM198" i="14"/>
  <c r="DL137" i="14"/>
  <c r="DL195" i="14"/>
  <c r="DL114" i="14"/>
  <c r="DL177" i="14"/>
  <c r="DL94" i="14"/>
  <c r="DM81" i="14"/>
  <c r="EA317" i="14"/>
  <c r="DW317" i="14" s="1"/>
  <c r="DW331" i="14" s="1"/>
  <c r="EA307" i="14"/>
  <c r="DW307" i="14" s="1"/>
  <c r="DM205" i="14"/>
  <c r="DM197" i="14"/>
  <c r="DL230" i="14"/>
  <c r="DM161" i="14"/>
  <c r="DM153" i="14"/>
  <c r="DM130" i="14"/>
  <c r="DM116" i="14"/>
  <c r="DO84" i="14"/>
  <c r="DL79" i="14"/>
  <c r="DM222" i="14"/>
  <c r="DO58" i="14"/>
  <c r="DL57" i="14"/>
  <c r="DM10" i="14"/>
  <c r="DM139" i="14"/>
  <c r="DM41" i="14"/>
  <c r="EG260" i="14" l="1"/>
  <c r="EW260" i="14"/>
  <c r="EU258" i="14"/>
  <c r="EG258" i="14"/>
  <c r="DL258" i="14"/>
  <c r="DL260" i="14" s="1"/>
  <c r="DL264" i="14" s="1"/>
  <c r="EA331" i="14"/>
  <c r="EA316" i="14"/>
  <c r="EA330" i="14" l="1"/>
  <c r="DW316" i="14"/>
  <c r="DW330" i="14" s="1"/>
  <c r="FJ260" i="14"/>
  <c r="FH258" i="14"/>
  <c r="EW264" i="14"/>
  <c r="EU260" i="14"/>
  <c r="EH292" i="14"/>
  <c r="EG292" i="14" l="1"/>
  <c r="FJ264" i="14"/>
  <c r="FH260" i="14"/>
  <c r="EU264" i="14"/>
  <c r="FH264" i="14" l="1"/>
  <c r="DM95" i="14" l="1"/>
  <c r="DM100" i="14" l="1"/>
  <c r="DM184" i="14"/>
  <c r="DM160" i="14" l="1"/>
  <c r="DO231" i="14" l="1"/>
  <c r="DM231" i="14" l="1"/>
  <c r="DM156" i="14"/>
  <c r="DM239" i="14" l="1"/>
  <c r="DM163" i="14" l="1"/>
  <c r="DM43" i="14" l="1"/>
  <c r="DM115" i="14" l="1"/>
  <c r="DM240" i="14" l="1"/>
  <c r="DM230" i="14" s="1"/>
  <c r="DM199" i="14"/>
  <c r="DM195" i="14" s="1"/>
  <c r="DM245" i="14"/>
  <c r="DM158" i="14" l="1"/>
  <c r="DM151" i="14" s="1"/>
  <c r="DM209" i="14"/>
  <c r="DM11" i="14" l="1"/>
  <c r="DM84" i="14" l="1"/>
  <c r="DM246" i="14" l="1"/>
  <c r="DM242" i="14" s="1"/>
  <c r="DM12" i="14"/>
  <c r="DM8" i="14" s="1"/>
  <c r="DM63" i="14"/>
  <c r="DM164" i="14" l="1"/>
  <c r="DM159" i="14" s="1"/>
  <c r="DO21" i="14" l="1"/>
  <c r="DM21" i="14" l="1"/>
  <c r="DM62" i="14"/>
  <c r="DM57" i="14" s="1"/>
  <c r="DM228" i="14" l="1"/>
  <c r="DM220" i="14" s="1"/>
  <c r="DM103" i="14"/>
  <c r="DM94" i="14" s="1"/>
  <c r="DM132" i="14" l="1"/>
  <c r="DM128" i="14" s="1"/>
  <c r="DM82" i="14"/>
  <c r="DM79" i="14" s="1"/>
  <c r="DM210" i="14" l="1"/>
  <c r="DM203" i="14" s="1"/>
  <c r="DM146" i="14"/>
  <c r="DM119" i="14" l="1"/>
  <c r="DM140" i="14" l="1"/>
  <c r="DM137" i="14" s="1"/>
  <c r="DM6" i="14"/>
  <c r="DM121" i="14" l="1"/>
  <c r="DM114" i="14" s="1"/>
  <c r="DM44" i="14" l="1"/>
  <c r="DM39" i="14" s="1"/>
  <c r="DM27" i="14"/>
  <c r="DM20" i="14" s="1"/>
  <c r="DM185" i="14"/>
  <c r="DM177" i="14" s="1"/>
  <c r="DM258" i="14" l="1"/>
  <c r="DM260" i="14" s="1"/>
  <c r="DM264" i="14" s="1"/>
  <c r="H258" i="14" l="1"/>
  <c r="G258" i="14"/>
  <c r="F258" i="14"/>
  <c r="D258" i="14"/>
  <c r="C258" i="14"/>
  <c r="B258" i="14"/>
  <c r="DO227" i="14"/>
  <c r="DO209" i="14"/>
  <c r="L184" i="14"/>
  <c r="L181" i="14"/>
  <c r="L177" i="14"/>
  <c r="L178" i="14" s="1"/>
  <c r="DO156" i="14"/>
  <c r="L130" i="14"/>
  <c r="L127" i="14"/>
  <c r="L133" i="14" s="1"/>
  <c r="L47" i="14"/>
  <c r="FD258" i="14"/>
  <c r="FD260" i="14" s="1"/>
  <c r="EQ258" i="14" l="1"/>
  <c r="EP258" i="14" s="1"/>
  <c r="FD264" i="14"/>
  <c r="DO12" i="14"/>
  <c r="DO131" i="14"/>
  <c r="DO158" i="14"/>
  <c r="DO100" i="14"/>
  <c r="DO11" i="14"/>
  <c r="DP11" i="14" s="1"/>
  <c r="DO9" i="14"/>
  <c r="DO184" i="14"/>
  <c r="DP184" i="14" s="1"/>
  <c r="L134" i="14"/>
  <c r="DO199" i="14"/>
  <c r="DO210" i="14"/>
  <c r="L131" i="14"/>
  <c r="EQ260" i="14" l="1"/>
  <c r="DO246" i="14"/>
  <c r="DO132" i="14"/>
  <c r="DO8" i="14"/>
  <c r="DP8" i="14" s="1"/>
  <c r="DO119" i="14"/>
  <c r="DO240" i="14"/>
  <c r="DO163" i="14"/>
  <c r="DO44" i="14"/>
  <c r="DO138" i="14"/>
  <c r="DO178" i="14"/>
  <c r="DO204" i="14"/>
  <c r="DO203" i="14" s="1"/>
  <c r="DP203" i="14" s="1"/>
  <c r="DO160" i="14"/>
  <c r="DO27" i="14"/>
  <c r="DO26" i="14"/>
  <c r="DO129" i="14"/>
  <c r="DO115" i="14"/>
  <c r="DO152" i="14"/>
  <c r="DO151" i="14" s="1"/>
  <c r="DP151" i="14" s="1"/>
  <c r="DO239" i="14"/>
  <c r="DO221" i="14"/>
  <c r="DO198" i="14"/>
  <c r="DO195" i="14" s="1"/>
  <c r="DP195" i="14" s="1"/>
  <c r="DO6" i="14"/>
  <c r="DP6" i="14" s="1"/>
  <c r="DO63" i="14"/>
  <c r="DO103" i="14"/>
  <c r="DO164" i="14"/>
  <c r="DO245" i="14" l="1"/>
  <c r="DO242" i="14" s="1"/>
  <c r="DP242" i="14" s="1"/>
  <c r="EQ264" i="14"/>
  <c r="EP260" i="14"/>
  <c r="DO128" i="14"/>
  <c r="DP128" i="14" s="1"/>
  <c r="DO121" i="14"/>
  <c r="DO114" i="14" s="1"/>
  <c r="DP114" i="14" s="1"/>
  <c r="DO62" i="14"/>
  <c r="DO57" i="14" s="1"/>
  <c r="DP57" i="14" s="1"/>
  <c r="DO95" i="14"/>
  <c r="DO94" i="14" s="1"/>
  <c r="DP94" i="14" s="1"/>
  <c r="DO146" i="14"/>
  <c r="DO20" i="14"/>
  <c r="DP20" i="14" s="1"/>
  <c r="DO159" i="14"/>
  <c r="DP159" i="14" s="1"/>
  <c r="DO43" i="14"/>
  <c r="DO39" i="14" s="1"/>
  <c r="DP39" i="14" s="1"/>
  <c r="DO230" i="14"/>
  <c r="DP230" i="14" s="1"/>
  <c r="DO82" i="14"/>
  <c r="DO79" i="14" s="1"/>
  <c r="DP79" i="14" s="1"/>
  <c r="EP264" i="14" l="1"/>
  <c r="DO228" i="14"/>
  <c r="DO220" i="14" s="1"/>
  <c r="DP220" i="14" s="1"/>
  <c r="DO140" i="14"/>
  <c r="DO137" i="14" s="1"/>
  <c r="DP137" i="14" s="1"/>
  <c r="DO185" i="14" l="1"/>
  <c r="DO177" i="14" s="1"/>
  <c r="DP177" i="14" l="1"/>
  <c r="DO258" i="14"/>
  <c r="DO260" i="14" s="1"/>
  <c r="DO264" i="14" s="1"/>
  <c r="EB6" i="14" l="1"/>
  <c r="EB258" i="14" l="1"/>
  <c r="EB260" i="14" l="1"/>
  <c r="EE292" i="14" l="1"/>
  <c r="EB264" i="14"/>
  <c r="EB292" i="14" l="1"/>
  <c r="FF260" i="14" l="1"/>
  <c r="FC260" i="14" s="1"/>
  <c r="FC258" i="14"/>
  <c r="FG260" i="14"/>
  <c r="FG264" i="14" s="1"/>
  <c r="FF264" i="14" l="1"/>
  <c r="FC264" i="14" s="1"/>
  <c r="EK268" i="14" l="1"/>
  <c r="EM268" i="14"/>
  <c r="EN268" i="14" s="1"/>
  <c r="EJ268" i="14"/>
  <c r="EF277" i="14"/>
  <c r="EE277" i="14"/>
  <c r="EM277" i="14" s="1"/>
  <c r="EN277" i="14" s="1"/>
  <c r="BV160" i="14"/>
  <c r="BV159" i="14" s="1"/>
  <c r="BV258" i="14" s="1"/>
  <c r="BX159" i="14"/>
  <c r="BX258" i="14" s="1"/>
  <c r="BX260" i="14" s="1"/>
  <c r="CD160" i="14"/>
  <c r="CD159" i="14" s="1"/>
  <c r="CD258" i="14" s="1"/>
  <c r="CD260" i="14" s="1"/>
  <c r="CD262" i="14" l="1"/>
  <c r="CB262" i="14" s="1"/>
  <c r="CA262" i="14" s="1"/>
  <c r="CB260" i="14"/>
  <c r="CA260" i="14" s="1"/>
  <c r="CD264" i="14"/>
  <c r="BV260" i="14"/>
  <c r="BX264" i="14"/>
  <c r="BX262" i="14"/>
  <c r="BV262" i="14" s="1"/>
  <c r="CB160" i="14"/>
  <c r="BX292" i="14" l="1"/>
  <c r="BV264" i="14"/>
  <c r="CB159" i="14"/>
  <c r="CB258" i="14" s="1"/>
  <c r="CA160" i="14"/>
  <c r="CA159" i="14" s="1"/>
  <c r="CD292" i="14"/>
  <c r="CB264" i="14"/>
  <c r="CA264" i="14" s="1"/>
  <c r="CB292" i="14" l="1"/>
  <c r="CD294" i="14"/>
  <c r="CD306" i="14"/>
  <c r="BX306" i="14"/>
  <c r="BV292" i="14"/>
  <c r="BV306" i="14" s="1"/>
  <c r="BX294" i="14"/>
  <c r="CA292" i="14" l="1"/>
  <c r="CB306" i="14"/>
  <c r="CA306" i="14" s="1"/>
  <c r="BX308" i="14"/>
  <c r="BV294" i="14"/>
  <c r="CB294" i="14"/>
  <c r="CA294" i="14" s="1"/>
  <c r="CD308" i="14"/>
  <c r="CB308" i="14" s="1"/>
  <c r="CA308" i="14" s="1"/>
  <c r="BV308" i="14" l="1"/>
  <c r="BX318" i="14"/>
  <c r="BV318" i="14" l="1"/>
  <c r="BV332" i="14" s="1"/>
  <c r="CD318" i="14"/>
  <c r="BX316" i="14"/>
  <c r="BX332" i="14"/>
  <c r="CD332" i="14" l="1"/>
  <c r="CB318" i="14"/>
  <c r="BX330" i="14"/>
  <c r="BV316" i="14"/>
  <c r="BV330" i="14" s="1"/>
  <c r="CD316" i="14"/>
  <c r="CB332" i="14" l="1"/>
  <c r="CA318" i="14"/>
  <c r="CA332" i="14" s="1"/>
  <c r="CB316" i="14"/>
  <c r="CD330" i="14"/>
  <c r="CA316" i="14" l="1"/>
  <c r="CA330" i="14" s="1"/>
  <c r="CB330" i="14"/>
</calcChain>
</file>

<file path=xl/sharedStrings.xml><?xml version="1.0" encoding="utf-8"?>
<sst xmlns="http://schemas.openxmlformats.org/spreadsheetml/2006/main" count="1284" uniqueCount="580">
  <si>
    <t>№ п/п</t>
  </si>
  <si>
    <t>Наименование муниципального образования</t>
  </si>
  <si>
    <t>г. Сосновый Бор</t>
  </si>
  <si>
    <t>Выборгский район</t>
  </si>
  <si>
    <t>Тосненский район</t>
  </si>
  <si>
    <t>Кировский  район</t>
  </si>
  <si>
    <t>Лодейнопольский  район</t>
  </si>
  <si>
    <t>ВСЕГО по плану</t>
  </si>
  <si>
    <t>Сосновоборский гор.округ</t>
  </si>
  <si>
    <t>Бокситогорский  район</t>
  </si>
  <si>
    <t>Волосовский  район</t>
  </si>
  <si>
    <t>Тихвинский  район</t>
  </si>
  <si>
    <t>Сланцевский  район</t>
  </si>
  <si>
    <t>Приозерский район</t>
  </si>
  <si>
    <t>Подпорожский  район</t>
  </si>
  <si>
    <t>Волховский  район</t>
  </si>
  <si>
    <t>Всеволожский район</t>
  </si>
  <si>
    <t>Гатчинский район</t>
  </si>
  <si>
    <t>Кингисеппский район</t>
  </si>
  <si>
    <t>Киришский  район</t>
  </si>
  <si>
    <t>Лодейнопольский район</t>
  </si>
  <si>
    <t>Ломоносовский район</t>
  </si>
  <si>
    <t>Лужский район</t>
  </si>
  <si>
    <t>ВСЕГО по Соглашениям</t>
  </si>
  <si>
    <t xml:space="preserve">ВСЕГО </t>
  </si>
  <si>
    <t>ВСЕГО</t>
  </si>
  <si>
    <t>Остаток лимита от плана по бюджету</t>
  </si>
  <si>
    <t>МО Город Пикалево</t>
  </si>
  <si>
    <t>МО Город Волхов</t>
  </si>
  <si>
    <t>МО Город Всеволожск</t>
  </si>
  <si>
    <t>МО Сертолово</t>
  </si>
  <si>
    <t>МО Город Выборг</t>
  </si>
  <si>
    <t>МО Город Гатчина</t>
  </si>
  <si>
    <t>МО Город Коммунар</t>
  </si>
  <si>
    <t>МО Бокситогорское г.п.</t>
  </si>
  <si>
    <t>МО Волосовское г.п.</t>
  </si>
  <si>
    <t>МО Новоладожское г.п.</t>
  </si>
  <si>
    <t>МО Сясьстройское г.п.</t>
  </si>
  <si>
    <t>МО Дубровское г.п.</t>
  </si>
  <si>
    <t>МО Кузьмоловское г.п.</t>
  </si>
  <si>
    <t>МО Рахьинское г.п.</t>
  </si>
  <si>
    <t>МО Свердловское г.п.</t>
  </si>
  <si>
    <t>МО Токсовское г.п.</t>
  </si>
  <si>
    <t>МО Каменногорское г.п.</t>
  </si>
  <si>
    <t>МО Приморское г.п.</t>
  </si>
  <si>
    <t>МО Рощинское г.п.</t>
  </si>
  <si>
    <t>МО Светогорское г.п.</t>
  </si>
  <si>
    <t>МО Советское г.п.</t>
  </si>
  <si>
    <t>МО Дружногорское г.п.</t>
  </si>
  <si>
    <t>МО Сиверское г.п.</t>
  </si>
  <si>
    <t>МО Будогощское г.п.</t>
  </si>
  <si>
    <t>МО Мгинское г.п.</t>
  </si>
  <si>
    <t>МО Назиевское г.п.</t>
  </si>
  <si>
    <t>МО Павловское г.п.</t>
  </si>
  <si>
    <t>МО Приладожское г.п.</t>
  </si>
  <si>
    <t>МО Шлиссельбургское г.п.</t>
  </si>
  <si>
    <t>МО Лодейнопольское г.п.</t>
  </si>
  <si>
    <t>МО Свирьстройское г.п.</t>
  </si>
  <si>
    <t>МО Большеижорское г.п.</t>
  </si>
  <si>
    <t>МО Лебяженское г.п.</t>
  </si>
  <si>
    <t>МО Лужское г.п.</t>
  </si>
  <si>
    <t>МО Толмачевское г.п.</t>
  </si>
  <si>
    <t>МО Никольское г.п.</t>
  </si>
  <si>
    <t>МО Подпорожское г.п.</t>
  </si>
  <si>
    <t>МО Приозерское г.п.</t>
  </si>
  <si>
    <t>МО Сланцевское г.п.</t>
  </si>
  <si>
    <t>МО Тихвинское г.п.</t>
  </si>
  <si>
    <t>МО Любанское г.п.</t>
  </si>
  <si>
    <t>МО Красноборское г.п.</t>
  </si>
  <si>
    <t>МО Рябовское г.п.</t>
  </si>
  <si>
    <t>МО Тосненское г.п.</t>
  </si>
  <si>
    <t>МО Форносовское г.п.</t>
  </si>
  <si>
    <t>МО Борское с.п.</t>
  </si>
  <si>
    <t>МО Бегуницкое с.п.</t>
  </si>
  <si>
    <t>МО Беседское с.п.</t>
  </si>
  <si>
    <t>МО Большеврудское с.п.</t>
  </si>
  <si>
    <t>МО Губаницкое с.п.</t>
  </si>
  <si>
    <t>МО Зимитицкое с.п.</t>
  </si>
  <si>
    <t>МО Изварское с.п.</t>
  </si>
  <si>
    <t>МО Калитинское с.п.</t>
  </si>
  <si>
    <t>МО Каложицкое с.п.</t>
  </si>
  <si>
    <t>МО Кикеринское с.п.</t>
  </si>
  <si>
    <t>МО Клопицкое с.п.</t>
  </si>
  <si>
    <t>МО Курское с.п.</t>
  </si>
  <si>
    <t>МО Рабитицкое с.п.</t>
  </si>
  <si>
    <t>МО Сабское с.п.</t>
  </si>
  <si>
    <t>МО Сельцовское с.п.</t>
  </si>
  <si>
    <t>МО Терпилицкое с.п.</t>
  </si>
  <si>
    <t>МО Бережковское с.п.</t>
  </si>
  <si>
    <t>МО Вындиноостровское с.п.</t>
  </si>
  <si>
    <t>МО Кисельнинское с.п.</t>
  </si>
  <si>
    <t>МО Колчановское с.п.</t>
  </si>
  <si>
    <t>МО Пашское с.п.</t>
  </si>
  <si>
    <t>МО Свирицкое с.п.</t>
  </si>
  <si>
    <t>МО Усадищенское с.п.</t>
  </si>
  <si>
    <t>МО Романовское с.п.</t>
  </si>
  <si>
    <t>МО Щегловское с.п.</t>
  </si>
  <si>
    <t>МО Гончаровское с.п.</t>
  </si>
  <si>
    <t>МО Красносельское с.п.</t>
  </si>
  <si>
    <t>МО Первомайское с.п.</t>
  </si>
  <si>
    <t>МО Полянское с.п.</t>
  </si>
  <si>
    <t>МО Селезневское с.п.</t>
  </si>
  <si>
    <t>МО Большеколпанское с.п.</t>
  </si>
  <si>
    <t>МО Веревское с.п.</t>
  </si>
  <si>
    <t>МО Войсковицкое с.п.</t>
  </si>
  <si>
    <t>МО Елизаветинское с.п.</t>
  </si>
  <si>
    <t>МО Кобринское с.п.</t>
  </si>
  <si>
    <t>МО Новосветское с.п.</t>
  </si>
  <si>
    <t>МО Рождественское с.п.</t>
  </si>
  <si>
    <t>МО Сусанинское с.п.</t>
  </si>
  <si>
    <t>МО Сяськелевское с.п.</t>
  </si>
  <si>
    <t>МО Пчевжинское с.п.</t>
  </si>
  <si>
    <t>МО Путиловское с.п.</t>
  </si>
  <si>
    <t>МО Суховское с.п.</t>
  </si>
  <si>
    <t>МО Шумское с.п.</t>
  </si>
  <si>
    <t>МО Алеховщинское с.п.</t>
  </si>
  <si>
    <t>МО Доможировское с.п.</t>
  </si>
  <si>
    <t>МО Янегское с.п.</t>
  </si>
  <si>
    <t>МО Горбунковское с.п.</t>
  </si>
  <si>
    <t>МО Гостилицкое с.п.</t>
  </si>
  <si>
    <t>МО Кипенское с.п.</t>
  </si>
  <si>
    <t>МО Копорское с.п.</t>
  </si>
  <si>
    <t>МО Лопухинское с.п.</t>
  </si>
  <si>
    <t>МО Низинское с.п.</t>
  </si>
  <si>
    <t>МО Оржицкое с.п.</t>
  </si>
  <si>
    <t>МО Пениковское с.п.</t>
  </si>
  <si>
    <t>МО Ропшинское с.п.</t>
  </si>
  <si>
    <t>МО Русско-Высоцкое с.п.</t>
  </si>
  <si>
    <t>МО Володарское с.п.</t>
  </si>
  <si>
    <t>МО Волошовское с.п.</t>
  </si>
  <si>
    <t>МО Дзержинское с.п.</t>
  </si>
  <si>
    <t>МО Заклинское с.п.</t>
  </si>
  <si>
    <t>МО Мшинское с.п.</t>
  </si>
  <si>
    <t>МО Оредежское с.п.</t>
  </si>
  <si>
    <t>МО Осьминское с.п.</t>
  </si>
  <si>
    <t>МО Ретюнское с.п.</t>
  </si>
  <si>
    <t>МО Серебрянское с.п.</t>
  </si>
  <si>
    <t>МО Скребловское с.п.</t>
  </si>
  <si>
    <t>МО Тёсовское с.п.</t>
  </si>
  <si>
    <t>МО Ям-Тёсовское с.п.</t>
  </si>
  <si>
    <t>МО Громовское с.п.</t>
  </si>
  <si>
    <t>МО Ларионовское с.п.</t>
  </si>
  <si>
    <t>МО Мельниковское с.п.</t>
  </si>
  <si>
    <t>МО Плодовское с.п.</t>
  </si>
  <si>
    <t>МО Севастьяновское с.п.</t>
  </si>
  <si>
    <t>МО Сосновское с.п.</t>
  </si>
  <si>
    <t>МО Выскатское с.п.</t>
  </si>
  <si>
    <t>МО Гостицкое с.п.</t>
  </si>
  <si>
    <t>МО Новосельское с.п.</t>
  </si>
  <si>
    <t>МО Старопольское с.п.</t>
  </si>
  <si>
    <t>МО Пашозерское с.п.</t>
  </si>
  <si>
    <t>МО Шугозерское с.п.</t>
  </si>
  <si>
    <t>МО Лисинское с.п.</t>
  </si>
  <si>
    <t>МО Нурминское с.п.</t>
  </si>
  <si>
    <t>МО Трубникоборское с.п.</t>
  </si>
  <si>
    <t>МО Шапкинское с.п.</t>
  </si>
  <si>
    <t>МО Кингисеппское г.п.</t>
  </si>
  <si>
    <t>МО Цвылевское с.п.</t>
  </si>
  <si>
    <t>ВСЕГО расходы МО</t>
  </si>
  <si>
    <t>Расходы МО за счет средств местного бюджета</t>
  </si>
  <si>
    <t xml:space="preserve">Строительство и реконструкция  </t>
  </si>
  <si>
    <t xml:space="preserve">капитальный ремонт и ремонт автомобильных дорог общего пользования местного значения в населённых пунктах                 </t>
  </si>
  <si>
    <t xml:space="preserve"> капитальный ремонт и ремонт дворовых территорий многоквартирных домов, проездов к дворовым территориям  </t>
  </si>
  <si>
    <t xml:space="preserve">Проектирование и строительство (рек-ция)  </t>
  </si>
  <si>
    <t>Кап. ремонт и ремонт авт. дорог, имеющих приоритетный соц.знач. хар-р</t>
  </si>
  <si>
    <t xml:space="preserve">Кап. ремонт и ремонт двор. территорий многокварт. домов, проездов к двор.территориям  </t>
  </si>
  <si>
    <t>МО Староладожское с.п.</t>
  </si>
  <si>
    <t>МО Хваловское с.п.</t>
  </si>
  <si>
    <t>МО Колтушское с.п.</t>
  </si>
  <si>
    <t>МО Кусинское с.п.</t>
  </si>
  <si>
    <t>МО Мичуринское с.п.</t>
  </si>
  <si>
    <t>МО Петровское с.п.</t>
  </si>
  <si>
    <t>МО  Раздольевское с.п.</t>
  </si>
  <si>
    <t>МО  Ромашкинское с.п.</t>
  </si>
  <si>
    <t>МО Загривское с.п.</t>
  </si>
  <si>
    <t>МО Черновское с.п.</t>
  </si>
  <si>
    <t>МО Ганьковское с.п.</t>
  </si>
  <si>
    <t>МО Мелегежское с.п.</t>
  </si>
  <si>
    <t>МО Морозовское г.п.</t>
  </si>
  <si>
    <t>МО Пудостьское с.п.</t>
  </si>
  <si>
    <t>МО Вырицкое г.п.</t>
  </si>
  <si>
    <t>МО Нежновское с.п.</t>
  </si>
  <si>
    <t>с.п.</t>
  </si>
  <si>
    <t>г.п.</t>
  </si>
  <si>
    <t>районы+г.о.</t>
  </si>
  <si>
    <t xml:space="preserve">Кап. рем. и ремонт двор. территорий многокварт. домов, проездов к двор.территориям  </t>
  </si>
  <si>
    <t>Кап. рем. и рем.дорог, соц.знач. хар-р</t>
  </si>
  <si>
    <t xml:space="preserve">Проект-е и строительство (рек-ция)  </t>
  </si>
  <si>
    <t xml:space="preserve">Кап. рем. и ремонт авт. дорог </t>
  </si>
  <si>
    <t xml:space="preserve">Проект-е и строительство (рек-ция) * </t>
  </si>
  <si>
    <t>перчислено</t>
  </si>
  <si>
    <t>Кассовый расход МО</t>
  </si>
  <si>
    <t>Остаток на счете МО</t>
  </si>
  <si>
    <t>МО Бокситогорский район</t>
  </si>
  <si>
    <t>МО Большедворское с.п.</t>
  </si>
  <si>
    <t>МО Ефимовское г.п.</t>
  </si>
  <si>
    <t>МО Лидское с.п.</t>
  </si>
  <si>
    <t>МО Климовское с.п.</t>
  </si>
  <si>
    <t>МО Радогощинское с.п.</t>
  </si>
  <si>
    <t>МО Самойловское с.п.</t>
  </si>
  <si>
    <t>МО Иссадское с.п.</t>
  </si>
  <si>
    <t>МО Потанинское с.п.</t>
  </si>
  <si>
    <t>МО Всеволожский район</t>
  </si>
  <si>
    <t>МО Агалатовское с.п.</t>
  </si>
  <si>
    <t>МО Бугровское с.п.</t>
  </si>
  <si>
    <t>МО Куйвозовское с.п.</t>
  </si>
  <si>
    <t>МО Лесколовское с.п.</t>
  </si>
  <si>
    <t>МО Муринское с.п.</t>
  </si>
  <si>
    <t>МО Новодевяткинское с.п.</t>
  </si>
  <si>
    <t>МО Юкковское с.п.</t>
  </si>
  <si>
    <t>МО Выборгский район</t>
  </si>
  <si>
    <t>МО Высоцкое г.п.</t>
  </si>
  <si>
    <t>МО Таицкое г.п.</t>
  </si>
  <si>
    <t>МО Пудомягское с.п.</t>
  </si>
  <si>
    <t>МО Гатчинский район</t>
  </si>
  <si>
    <t>МО Фалилеевское с.п.</t>
  </si>
  <si>
    <t>МО Усть-Лужское с.п.</t>
  </si>
  <si>
    <t>МО Пустомержское с.п.</t>
  </si>
  <si>
    <t>МО Опольевское с.п.</t>
  </si>
  <si>
    <t>МО Кузёмкинское с.п.</t>
  </si>
  <si>
    <t>МО Котельское с.п.</t>
  </si>
  <si>
    <t>МО Город Ивангород</t>
  </si>
  <si>
    <t>МО Вистинское с.п.</t>
  </si>
  <si>
    <t>МО Большелуцкое с.п.</t>
  </si>
  <si>
    <t>МО Кингисеппский  район</t>
  </si>
  <si>
    <t>МО Пчевское с.п.</t>
  </si>
  <si>
    <t>МО Киришское г.п.</t>
  </si>
  <si>
    <t>МО Глажевское с.п.</t>
  </si>
  <si>
    <t>МО Киришский район</t>
  </si>
  <si>
    <t>МО Кировский  район</t>
  </si>
  <si>
    <t>МО Кировское г.п.</t>
  </si>
  <si>
    <t>МО Отрадненское г.п.</t>
  </si>
  <si>
    <t>МО Синявинское г.п.</t>
  </si>
  <si>
    <t>МО Лаголовское с.п.</t>
  </si>
  <si>
    <t>МО Ломоносовский  район</t>
  </si>
  <si>
    <t>МО Лужский район</t>
  </si>
  <si>
    <t>МО Торковичское с.п.</t>
  </si>
  <si>
    <t>МО Подпорожский район</t>
  </si>
  <si>
    <t>МО Важинское г.п.</t>
  </si>
  <si>
    <t>МО Винницкое с.п.</t>
  </si>
  <si>
    <t>МО Вознесенское г.п.</t>
  </si>
  <si>
    <t>МО Приозерский  район</t>
  </si>
  <si>
    <t>МО Запорожское с.п.</t>
  </si>
  <si>
    <t>МО Кузнечнинское г.п.</t>
  </si>
  <si>
    <t>МО Сланцевский район</t>
  </si>
  <si>
    <t>МО Тихвинский район</t>
  </si>
  <si>
    <t>МО Коськовское с.п.</t>
  </si>
  <si>
    <t>МО Горское с.п.</t>
  </si>
  <si>
    <t>МО Тельмановское с.п.</t>
  </si>
  <si>
    <t>МО Ульяновское г.п.</t>
  </si>
  <si>
    <t>МО Тосненский район</t>
  </si>
  <si>
    <t>в т.ч.с тв.покр.до с.н.пунктов</t>
  </si>
  <si>
    <t>Все г.п. и с.п.</t>
  </si>
  <si>
    <t>районы+г.о</t>
  </si>
  <si>
    <t>Под пост.Прав.</t>
  </si>
  <si>
    <t xml:space="preserve">ИТОГО  по МО   </t>
  </si>
  <si>
    <t>Нераспределенные субсидии:</t>
  </si>
  <si>
    <t xml:space="preserve">Финансирование из областного бюджета в соответствии с Соглашениями   
</t>
  </si>
  <si>
    <t>Кап.рем. и ремонт а/дорог</t>
  </si>
  <si>
    <t>Кап.рем.и рем. а/д, им.приоритетный соц.знач. хар-р</t>
  </si>
  <si>
    <t>ВСЕГО расходы МО за счет субсидий из ОБ и средств МБ</t>
  </si>
  <si>
    <t>а)</t>
  </si>
  <si>
    <t>б)</t>
  </si>
  <si>
    <t xml:space="preserve">Кап. рем. и ремонт а/дорог </t>
  </si>
  <si>
    <t>Волосовский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</si>
  <si>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</si>
  <si>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</si>
  <si>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</si>
  <si>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Сланцевское городское поселение</t>
  </si>
  <si>
    <t>Нурминское сельское поселение</t>
  </si>
  <si>
    <t>Тосненское городское поселение</t>
  </si>
  <si>
    <t>Итого по муниципальному образованию</t>
  </si>
  <si>
    <t>Гатчинский  муниципальный район</t>
  </si>
  <si>
    <t>Ломоносовский  муниципальный район</t>
  </si>
  <si>
    <t>Ремонт автомобильной дороги общего пользования местного значения "Подъезд к СИЗО №6"</t>
  </si>
  <si>
    <t>Сланцевский  муниципальный район</t>
  </si>
  <si>
    <t xml:space="preserve">Ремонт автомобильной дороги общего пользования местного значения  по ул. Ломоносова (участок от ПК0+74 до ПК 15+40) в г. Сланцы </t>
  </si>
  <si>
    <t xml:space="preserve">Ремонт дороги от ул.Большая до  амбулатории на участке от ул.Большая до д.№15  в дер.Нурма </t>
  </si>
  <si>
    <t>Строительство мостового перехода через р. Пчевжа на территории Будогощского городского поселения и автодороги на подходах к нему между населенными пунктами дер. Бестоголово и дер. Горятино.</t>
  </si>
  <si>
    <t>Реконструкция автодороги "Подъезд к дер. Игокиничи"</t>
  </si>
  <si>
    <t>Реконструкция автодороги "Подъезд к пос. Мехбаза"</t>
  </si>
  <si>
    <t>Разработка проектной документации по объекту "Строительство автомобильной дороги, расположенной по адресу: 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</si>
  <si>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в том числе:</t>
  </si>
  <si>
    <t>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</si>
  <si>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 xml:space="preserve">на проектирование и строительство (реконструкцию) автомобильных дорог общего пользования местного значения </t>
  </si>
  <si>
    <t>ВСЕГО Субсидий МО</t>
  </si>
  <si>
    <t xml:space="preserve">Всего Субсидий МО по ГП "Развитие а/дорог  в ЛО" </t>
  </si>
  <si>
    <t>Процент от плана по ГП"Развитие а/д" без ФБ</t>
  </si>
  <si>
    <t>средства ФБ</t>
  </si>
  <si>
    <t>средства ОБ</t>
  </si>
  <si>
    <t>Всего: ГП "Соц. Поддержка отдельных категорий граждан в ЛО".Подпр."Формирование доступной среды жизнед-ти для инвалидов"</t>
  </si>
  <si>
    <t>Всего Субсидий МО за счет средств дорожного фонда ЛО</t>
  </si>
  <si>
    <t>1.   МО Бокситогорский р-он</t>
  </si>
  <si>
    <t>2.     МО Тихвинский р-он</t>
  </si>
  <si>
    <t xml:space="preserve">Финансирование из областного бюджета в соответствии с Соглашениями без учета восстановления для формы 125  
</t>
  </si>
  <si>
    <t>Процент от плана дорожного фонда (а/д+село)</t>
  </si>
  <si>
    <t>дорожный фонд без ФБ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</si>
  <si>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01.10.2015 г.   в тыс.руб.</t>
  </si>
  <si>
    <t>Общий остаток средств ОБ на счете МО</t>
  </si>
  <si>
    <t>Форма 125-кассовый МО</t>
  </si>
  <si>
    <t>Форма 125-остатки на счетах МО</t>
  </si>
  <si>
    <t>Проверка остатков</t>
  </si>
  <si>
    <t xml:space="preserve">перечислено (2015+2014г.) с учетом остатков и без возврата </t>
  </si>
  <si>
    <t>Остатки лимита дорожного фонда</t>
  </si>
  <si>
    <t>\</t>
  </si>
  <si>
    <t>ОБЩЕЕ ФИНАНСИРОВАНИЕ 2016+остатки</t>
  </si>
  <si>
    <t>Кассовый общий с учетом остатков</t>
  </si>
  <si>
    <t>АВАНСЫ на 01.07.2016</t>
  </si>
  <si>
    <t>МО Красноозерное с.п.</t>
  </si>
  <si>
    <t>кол.-во Соглашений</t>
  </si>
  <si>
    <t>кол.-во доп.согл.</t>
  </si>
  <si>
    <t>Формирование доступной среды жизнедеятельности для инвалидов в Ленинградской области</t>
  </si>
  <si>
    <t>ВСЕГО доступная среда</t>
  </si>
  <si>
    <t>МО Селивановское с.п.</t>
  </si>
  <si>
    <t>Восстановлено в 2017 г. - экономия по итогам торгов и заключенных доп. соглашений</t>
  </si>
  <si>
    <t xml:space="preserve">Остаток субсидий, полученных в 2017 г.,   на счете МО на 01.01.2018 года. </t>
  </si>
  <si>
    <t>Г.п., с.п., раон - для ф.0503125 -   субсидии 2017         (сч.120651560)</t>
  </si>
  <si>
    <t>Перечислены в 2017 году остатки средств на 01.01.17г, потребность в которых подтверждена</t>
  </si>
  <si>
    <t>Кассовый расход МО в 2017 году остатков средств на 01.01.17г, потребность в которых подтверждена</t>
  </si>
  <si>
    <t xml:space="preserve"> РЕЗЕРВ  и прочие 2017 года </t>
  </si>
  <si>
    <t>Остаток на счете МО на 01.01.2017 г. остатков  средств на 01.01.16г, потребность в которых подтверждена</t>
  </si>
  <si>
    <t>МО Заневское г.п.</t>
  </si>
  <si>
    <t>МО"Советское г.п." Выборг.р-на (Реконструкция а/д "Подъезд к пос. Токарево") 1,8 км</t>
  </si>
  <si>
    <t>МО "Волховский р-н" (Строительство а/д "Подъезд к дер. Козарево") 5,667 км</t>
  </si>
  <si>
    <t>ПЛАН на 2017 год (утв. Обл. законом от 09.12.2016 № 90-оз прил.28)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</si>
  <si>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</si>
  <si>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40, от 12.05.17 № 157 (соц. а/д, проект. и стр. (рек-ция)), Пост. ПЛО от 12.12.16 № 478 "Развитие с/х ЛО"</t>
  </si>
  <si>
    <t>МО" Запорожское с.п. Приозерский р-н" ("Реконструкция а/д "Подъезд к пос. Луговое") 1,4259 км</t>
  </si>
  <si>
    <t>МО "Выборгский р-н" ("Подъезд к пос. Яшино")</t>
  </si>
  <si>
    <t>МО "Выборгский р-н" ("Подъезд к пос. Клеверное")</t>
  </si>
  <si>
    <t>МО "Выборгский р-н" ("Подъезд к пос. Сопки")</t>
  </si>
  <si>
    <t>МО "Каменногорское г.п. Выборгский р-н" ("Подъезд к пос. Маслово")</t>
  </si>
  <si>
    <t>МО "Приозерский р-н" ("Подъезд к дер. Силино")</t>
  </si>
  <si>
    <t>МО Аннинское г.п.</t>
  </si>
  <si>
    <t>МО Фёдоровское г.п.</t>
  </si>
  <si>
    <t>МО Виллозское г.п.</t>
  </si>
  <si>
    <t xml:space="preserve">Строительство (рек-ция), включая проектирование автомобильных дорог общего пользования местного значения  </t>
  </si>
  <si>
    <t>Ремонт автомобильных дорог общего пользования местного значения</t>
  </si>
  <si>
    <t>Капитальный ремонт и ремонт автомобильных дорогтобщего пользования местного значения, имеющих приоритетный соцально значимый характер</t>
  </si>
  <si>
    <t>Капитальный ремонт и ремонт автомобильных дорог общего пользования местного значения, имеющих приоритетный соцально значимый характер</t>
  </si>
  <si>
    <t>рассход 0 будут плптить в октябре из-за s</t>
  </si>
  <si>
    <t>оплата в конце месяца</t>
  </si>
  <si>
    <t>1ок</t>
  </si>
  <si>
    <t>опл после 1 октября поздно пришли деньги</t>
  </si>
  <si>
    <t>оплата после 1 октября</t>
  </si>
  <si>
    <t>ждем выписку из СУФД деньги не поступили</t>
  </si>
  <si>
    <t>средства не получены от нас ушли в конце месяца</t>
  </si>
  <si>
    <t>кас расх нет гл бух</t>
  </si>
  <si>
    <t>кассрасх нет</t>
  </si>
  <si>
    <t>Областной бюджет</t>
  </si>
  <si>
    <t>Местный бюджет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</si>
  <si>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строительство</t>
  </si>
  <si>
    <t>Плановое соотношение расходов по условиям соглашения (%)</t>
  </si>
  <si>
    <t>Исполнено                                                        строительство</t>
  </si>
  <si>
    <t>Фактическое соотношение расходов по условиям соглашения (%)</t>
  </si>
  <si>
    <t xml:space="preserve">Информация о соблюдении МО фактической доли расходов местного бюджета на финансирование обязательств, софинансируемых за счет субсидии из областного бюджета Ленинградской области 
</t>
  </si>
  <si>
    <t>Должно быть исполнено за счет средств областного бюджета</t>
  </si>
  <si>
    <t>Отклонение от установленного соотношения расходов по условиям соглашения</t>
  </si>
  <si>
    <t>(+) (-)</t>
  </si>
  <si>
    <t>Исполнено                                                       автодороги</t>
  </si>
  <si>
    <t>Исполнено                                                        соц.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</si>
  <si>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</si>
  <si>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соц. автодороги</t>
  </si>
  <si>
    <t>Минимальная доля софинансирования для МО</t>
  </si>
  <si>
    <t xml:space="preserve">Лимиты финансирования на 2019 год в соответствии с заключенными Соглашениями  
</t>
  </si>
  <si>
    <t>Соглашения и д/с 2019 года</t>
  </si>
  <si>
    <t>Соглашение № 5 от 21.02.19</t>
  </si>
  <si>
    <t>Соглашение № 9 от 27.02.19</t>
  </si>
  <si>
    <t>Соглашение № 10 от 27.02.19</t>
  </si>
  <si>
    <t>Соглашение № 21 от 04.03.19</t>
  </si>
  <si>
    <t>Соглашение № 29 от 04.03.19</t>
  </si>
  <si>
    <t>Соглашение № 26 от 04.03.19</t>
  </si>
  <si>
    <t>Соглашение № 25 от 04.03.19</t>
  </si>
  <si>
    <t>Соглашение № 17 от 04.03.19</t>
  </si>
  <si>
    <t>Соглашение № 32 от 04.03.19</t>
  </si>
  <si>
    <t>Соглашение № 19 от 04.03.19</t>
  </si>
  <si>
    <t>Соглашение № 41 от 11.03.19</t>
  </si>
  <si>
    <t>Соглашение № 42 от 11.03.19</t>
  </si>
  <si>
    <t>Соглашение № 49 от 11.03.19</t>
  </si>
  <si>
    <t>Соглашение № 54 от 12.03.19</t>
  </si>
  <si>
    <t>Соглашение № 56 от 12.03.19</t>
  </si>
  <si>
    <t>Соглашение № 60 от 12.03.19</t>
  </si>
  <si>
    <t>Соглашение № 64 от 12.03.19</t>
  </si>
  <si>
    <t>Соглашение № 67 от 12.03.19</t>
  </si>
  <si>
    <t>Соглашение № 73 от 13.03.19</t>
  </si>
  <si>
    <t>Соглашение № 75 от 13.03.19</t>
  </si>
  <si>
    <t>Соглашение № 78 от 13.03.19</t>
  </si>
  <si>
    <t>Соглашение № 80 от 18.03.19</t>
  </si>
  <si>
    <t>Соглашение № 81 от 18.03.18</t>
  </si>
  <si>
    <t>Соглашение № 82 от 18.03.19</t>
  </si>
  <si>
    <t>Соглашение № 83 от 18.03.19</t>
  </si>
  <si>
    <t>Соглашение № 86 от 20.03.19</t>
  </si>
  <si>
    <t>Соглашение № 92 от 20.03.19</t>
  </si>
  <si>
    <t>Соглашение № 98 от 20.03.19</t>
  </si>
  <si>
    <t>Соглашение № 87 от 20.03.19</t>
  </si>
  <si>
    <t>Соглашение № 109 от 21.03.19</t>
  </si>
  <si>
    <t>Соглашение № 110 от 21.03.19</t>
  </si>
  <si>
    <t>Соглашение № 111 от 21.03.19</t>
  </si>
  <si>
    <t>Соглашение № 116 от 22.03.19</t>
  </si>
  <si>
    <t>Соглашение № 117 от 22.03.19</t>
  </si>
  <si>
    <t>Соглашение № 118 от 22.03.19</t>
  </si>
  <si>
    <t>Соглашение № 125 от 22.03.19</t>
  </si>
  <si>
    <t>Соглашение № 126 от 25.03.19</t>
  </si>
  <si>
    <t>Соглашение № 128 от 25.03.19</t>
  </si>
  <si>
    <t>Соглашение № 143 от 25.03.19</t>
  </si>
  <si>
    <t>Соглашение № 144 от 25.03.19</t>
  </si>
  <si>
    <t>Соглашение № 145 от 25.03.19</t>
  </si>
  <si>
    <t>Соглашение № 151 от 28.03.19</t>
  </si>
  <si>
    <t>Соглашение № 152 от 28.03.19</t>
  </si>
  <si>
    <t xml:space="preserve">Соглашение № 153 от 28.03.19 </t>
  </si>
  <si>
    <t>Соглашение № 154 от 28.03.19</t>
  </si>
  <si>
    <t>Соглашение № 156 от 28.03.19</t>
  </si>
  <si>
    <t>Соглашение № 158 от 28.03.19</t>
  </si>
  <si>
    <t>Соглашение № 161 от 28.03.19</t>
  </si>
  <si>
    <t>Соглашение № 162 от 28.03.19</t>
  </si>
  <si>
    <t>Соглашение № 163 от 28.03.19</t>
  </si>
  <si>
    <t>Соглашение № 166 от 28.03.19</t>
  </si>
  <si>
    <t>Соглашение № 174 от 29.03.19</t>
  </si>
  <si>
    <t>Соглашение № 177 от 29.03.19</t>
  </si>
  <si>
    <t>Соглашение № 179 от 29.03.19</t>
  </si>
  <si>
    <t>Соглашение № 76 от 13.03.19, д/с 1 от 29.03.19</t>
  </si>
  <si>
    <t>Соглашение № 180 от 29.03.19</t>
  </si>
  <si>
    <t>Соглашение № 182 от 29.03.19</t>
  </si>
  <si>
    <t xml:space="preserve">Всего Субсидий МО в рамках ГП ЛО   «Развитие транспортной системы Ленинградской области». </t>
  </si>
  <si>
    <t>ГП "Развитие сельского хозяйства ЛО"  Стр-во (рекон.) сельских а/дорог, всего:</t>
  </si>
  <si>
    <t>Соглашение № 18 от 04.03.19, д/с 1 от 13.05.19</t>
  </si>
  <si>
    <t>Соглашение № 36 от 11.03.19, д/с 1 от 20.05.19</t>
  </si>
  <si>
    <t>Соглашение № 183 от 29.05.19</t>
  </si>
  <si>
    <t>Резервный фонд Правительства ЛО</t>
  </si>
  <si>
    <t>ВСЕГО резервный фонд Прав. ЛО по МО</t>
  </si>
  <si>
    <t>Соглашение № 79 от 13.03.19, д/с 1 от 05.06.19</t>
  </si>
  <si>
    <t>Соглашение № 159 от 28.03.19, д/с 1 от 25.06 19</t>
  </si>
  <si>
    <t>Соглашение № 129 от 25.03.19, д/с 1 от 25.06.19</t>
  </si>
  <si>
    <t>Соглашение № 99 от 20.03.19, д/с 1 от 19.06.19</t>
  </si>
  <si>
    <t>Соглашение № 48 от 11.03.19, д/с 1 от 17.06.19</t>
  </si>
  <si>
    <t>Соглшение № 3 от 21.02.19, д/с 1 от 17.06.19</t>
  </si>
  <si>
    <t>Соглашение № 55 от 12.03.19, д/с 1 от 10.06.19</t>
  </si>
  <si>
    <t>Соглашение № 50 от 12.03.19, д/с 1 от 10.06.19</t>
  </si>
  <si>
    <t>Соглашение № 108 от 21.03.19, д/с 1 от 14.06.19</t>
  </si>
  <si>
    <t>Соглашение № 62 от 12.03.19, д/с 1 от 06.07.19</t>
  </si>
  <si>
    <t>Соглашение № 77 от 13.03.19, д/с 1 от 03.07.19</t>
  </si>
  <si>
    <t>Соглашение № 11 от 27.02.2019, д/с 1 от 03.07.19</t>
  </si>
  <si>
    <t>Соглашение № 95 от 20.03.19, д/с 1 от 03.07.19</t>
  </si>
  <si>
    <t>Соглашение № 27 от 04.03.19, д/с 1 от 03.07.19</t>
  </si>
  <si>
    <t>Соглашение № 61 от 12.03.19, д/с 1 от 03.07.19</t>
  </si>
  <si>
    <t>Соглашение № 93 от 20.03.19, д/с 1 от 09.07.19</t>
  </si>
  <si>
    <t>Соглашение № 30 от 04.03.19, д/с 1 от 09.07.19</t>
  </si>
  <si>
    <t>Соглашение № 147 от 27.03.19, д/с 1 от 09.07.19</t>
  </si>
  <si>
    <t>Соглашение № 53 от 12.03.19, д/с 1 от 09.07.19</t>
  </si>
  <si>
    <t>Соглашение № 112 от 21.03.19, д/с 1 от 09.07.19</t>
  </si>
  <si>
    <t>1</t>
  </si>
  <si>
    <t>Соглашение № 1 от 21.02.19, д/с1 от 11.07.19</t>
  </si>
  <si>
    <t>Соглашение № 121 от 22.03.19, д/с 1 от 11.07.19</t>
  </si>
  <si>
    <t>Соглашение № 90 от 20.03.19, д/с 1 от 11.07.19</t>
  </si>
  <si>
    <t>Соглашение № 148 от 27.03.19, д/с 1 от 11.07.19</t>
  </si>
  <si>
    <t>Соглашение № 37 от 11.03.19, д/с 1 от 11.07.19</t>
  </si>
  <si>
    <t>Соглашение № 6 от 21.02.19, д/с 1 от 11.07.19</t>
  </si>
  <si>
    <t>Соглашение № 91 от 20.03.19, д/с 1 от 12.07.19</t>
  </si>
  <si>
    <t>Соглашение № 173 от 28.03.19, д/с 1 от 12.07.19</t>
  </si>
  <si>
    <t>Соглашение № 107 от 21.03.19 (д/с 1 от 17.07.19)</t>
  </si>
  <si>
    <t>Соглашение № 89 от 20.03.19, д/с 1 от 21.08.19</t>
  </si>
  <si>
    <t>Согалшение № 132 от 25.03.19, д/с 1 от 21.08.19</t>
  </si>
  <si>
    <t>Соглашение № 24 от 04.03.19, д/с 1 от 09.08.19</t>
  </si>
  <si>
    <t>Соглашение № 127 от 25.03.19, д/с 1 от 09.08.19</t>
  </si>
  <si>
    <t>Соглашение № 157 от 28.03.19, д/с 1 от 09.08.19</t>
  </si>
  <si>
    <t>Соглашение № 96 от 20.03.19, д/с 1 от 09.08.19</t>
  </si>
  <si>
    <t>Соглашение № 105 от 21.03.19, д/с 1 от 08.08.19</t>
  </si>
  <si>
    <t>Соглашение № 120 от 22.03.19, д/с 1 от 08.08.19</t>
  </si>
  <si>
    <t>Соглашение № 175 от 29.03.19, д/с 1 от 06.08.19</t>
  </si>
  <si>
    <t>Соглашение № 103 от 21.03.19, д/с 1 от 06.08.19</t>
  </si>
  <si>
    <t>Соглашение № 88 от 20.03.19, д/с 1 от 06.08.19</t>
  </si>
  <si>
    <t>Соглашение № 84 от 18.03.19, д/с 1 от 06.08.19</t>
  </si>
  <si>
    <t>Соглашение № 15 (стр) от 04.03.19, д/с 1 от 24.04.19, д/с 2 от 29.04.19, д/с 3 от 06.08.19, Соглашение № 43 от 11.03.19, д/с 1 от 11.07.19</t>
  </si>
  <si>
    <t>Соглашение № 35 от 06.03.19, д/с 1 от 25.06.19, д/с 2 от 27.08.19</t>
  </si>
  <si>
    <t>Соглашение № 59 от 12.03.19, д/с 1 от 24.04.19, д/с 2 от 27.08.19</t>
  </si>
  <si>
    <t>МО Сертолово Всеволожский р-н</t>
  </si>
  <si>
    <t>Соглашение № 171 от 28.03.19, д/с 1 от 28.08.19</t>
  </si>
  <si>
    <t>Соглашение № 46 от 11.03.19, д/с 1 от 20.05.19, д/с 2 от 28.08.19</t>
  </si>
  <si>
    <t>Соглашение № 165 от 28.03.19, д/с 1 от 28.08.19</t>
  </si>
  <si>
    <t>Соглашение № 137 от 25.03.19, д/с 1 от 28.08.19</t>
  </si>
  <si>
    <t>Соглашение № 141 от 25.03.19, д/с 1 от 28.08.19</t>
  </si>
  <si>
    <t>Соглашение № 39 от 11.03.19, д/с 1 от 29.05.19, д/с 2 от 28.08.19</t>
  </si>
  <si>
    <t>Соглашение № 2 от 21.02.19, д/с 1 от 02.09.19</t>
  </si>
  <si>
    <t>Соглашение № 51 от 12.03.19, д/с 1 от 10.06.19, д/с 2 от 09.09.19</t>
  </si>
  <si>
    <t>Соглашение № 142 от 25.03.19, д/с 1 от 29.05.19, д/с 2 от 09.09.19</t>
  </si>
  <si>
    <t>Соглашение № 74 (стр) от 13.03.19, д/с 1 от 09.09.19; Соглашение № 149 от 27.03.19</t>
  </si>
  <si>
    <t>д/с 5 от 09.09.19,д/с 4 от 13.03.19 к согл. № 145 (стр.) от 30.03.18; Соглашение № 135 от 25.03.19, д/с 1 от 03.07.19</t>
  </si>
  <si>
    <t>Акт сверки на 01.10.19</t>
  </si>
  <si>
    <t>+</t>
  </si>
  <si>
    <t>бл</t>
  </si>
  <si>
    <t>к</t>
  </si>
  <si>
    <t>ориг</t>
  </si>
  <si>
    <t>Соглашение № 160 от 28.03.19, д/с 1 от 05.06.19, д/с 2 от 20.09.19</t>
  </si>
  <si>
    <t>Соглашение № 8 от 25.02.19, д/с 1 от 20.09.19</t>
  </si>
  <si>
    <t>Соглашение № 134 от 25.03.19, д/с1 от 20.09.19</t>
  </si>
  <si>
    <t>Соглашение № 34 от 05.03.19, д/с 1 от 29.05.19, д/с 2 от 25.06.19, д/с 3 от 20.09.19</t>
  </si>
  <si>
    <t>-</t>
  </si>
  <si>
    <t>ориг+бл</t>
  </si>
  <si>
    <t>с ош</t>
  </si>
  <si>
    <t>не платили по последней кс</t>
  </si>
  <si>
    <t>не успели перевести подрядчику</t>
  </si>
  <si>
    <t>ксош</t>
  </si>
  <si>
    <t>д/с 4 от 13.09.19, д/с 3 от 04.03.19 к Соглашению № 197 от 18.07.18</t>
  </si>
  <si>
    <t>Соглашение № 155 от 28.03.19, д/с 1 от 25.06.19, д/с2 от 14.10.19</t>
  </si>
  <si>
    <t>Соглашение № 186 от 13.09.19, д/с 1 от 14.10.19</t>
  </si>
  <si>
    <t>Соглашение № 16 от 04.03.19, д/с 1 от 19.06.19, д/с 2 от 14.10.19</t>
  </si>
  <si>
    <t>Соглашение № 45 от 11.03.19,д/с1 от 14.06.19, д/с 2 от 26.06.19, д/с 3 от 23.07.19, д/с 4 от 14.10.19</t>
  </si>
  <si>
    <t>Соглашение № 140 от 25.03.19, д/с 1 от 14.10.19</t>
  </si>
  <si>
    <t>Соглашение № 33 от 05.03.19, д/с 1 от 10.06.19, д/с2 от 22.07.19, д/с3 от 17.10.19</t>
  </si>
  <si>
    <t>Соглашение № 66 от 12.03.19, д/с 1 от 17.10.19</t>
  </si>
  <si>
    <t>Соглашение № 71 от 12.03.19, д/с 1 от 04.06.19, д/с 2 от 18.10.19</t>
  </si>
  <si>
    <t>Соглашение № 4 от 21.02.19, д/с 1 от 20.05.19, д/с 2 от 21.10.19</t>
  </si>
  <si>
    <t>Соглашение № 136 от 25.03.19, д/с 1 от 22.10.19</t>
  </si>
  <si>
    <t>Соглашение № 123 от 22.03.19, д/с 1 от 09.08.19, д/с 2 от 22.10.19</t>
  </si>
  <si>
    <t>Соглашение № 176 от 29.03.19, д/с 1 от 29.10.19</t>
  </si>
  <si>
    <t>Соглашение № 69 от 12.03.19, д/с 1 от 09.07.19, д/с2 от 20.11.19</t>
  </si>
  <si>
    <t>Соглашение № 13 от 04.03.19, д/с 1 от 20.11.19</t>
  </si>
  <si>
    <t>Соглашение № 138 от 25.03.19, д/с 1 от 20.11.19</t>
  </si>
  <si>
    <t>Соглашение № 150 от 28.03.19, д/с 1 от 20.11.19</t>
  </si>
  <si>
    <t>Соглашение № 133 от 25.03.19. д/с 1 от 20.11.19</t>
  </si>
  <si>
    <t>Соглашение № 184 от 04.06.18, д/с 1 от 22.07.19, д/с 2 от 21.11.19</t>
  </si>
  <si>
    <t>Соглашение № 101 от 21.03.19, д/с 1 от 21.11.19</t>
  </si>
  <si>
    <t>Соглашение № 185 от 03.07.19, д/с 1 от 21.11.19</t>
  </si>
  <si>
    <t>Соглашение № 72 от 13.03.19, д/с 1 от 21.11.19</t>
  </si>
  <si>
    <t>Соглашение № 20 от 04.03.19, д/с 1 от 29.05.19, д/с 2 от 22.11.19</t>
  </si>
  <si>
    <t>Соглашение № 164 от 28.03.19, д/с 1 от 22.11.19</t>
  </si>
  <si>
    <t>Соглашение № 52 от 12.03.19, д/с 1 от 05.06.19, д/с 2 от 28.08.19, д/с 3 от 05.12.19</t>
  </si>
  <si>
    <t>Солашение № 146 от 26.03.19, д/с 1 от 10.12.19</t>
  </si>
  <si>
    <t>Соглашение № 124 от 22.03.19, д/с 1 от 10.12.19</t>
  </si>
  <si>
    <t>Соглашение № 131 от 25.03.19, д/с 1 от 10.12.19</t>
  </si>
  <si>
    <t>Акт сверки на 01.01.20</t>
  </si>
  <si>
    <t>Соглашение № 44 от 11.03.19, д/с 1 от 12.12.19</t>
  </si>
  <si>
    <t>Соглашение № 115 от 22.03.19, д/с 1 от 05.06.19, д/с 2 от 12.12.19</t>
  </si>
  <si>
    <t>Соглашение № 47 от 11.03.19, д/с 1 от 12.12.19</t>
  </si>
  <si>
    <t>Соглашение № 122 от 22.03.19, д/с 1 от 12.12.19</t>
  </si>
  <si>
    <t>Соглашение № 57 от 12.03.19, д/с 1 от 04.06.19, д/с 2 от 22.07.19, д/с 3 от 12.12.19</t>
  </si>
  <si>
    <t>Соглашение № 106 от 21.03.19, д/с 1 от 09.09.19, д/с 2 от 12.12.19</t>
  </si>
  <si>
    <t>ор</t>
  </si>
  <si>
    <t>Соглашение № 168 от 28.03.19, д/с 1 от 16.12.19</t>
  </si>
  <si>
    <t>Согалашение № 102 от 21.03.19, д/с 1 от 16.12.19</t>
  </si>
  <si>
    <t>Соглашение № 63 от 12.03.19, д/с 1 от 27.08.19, д/с 2 от 16.12.19</t>
  </si>
  <si>
    <t>Соглашение № 22 от 04.03.19, д/с 1 от 09.08.19, д/с 2 от 16.12.19</t>
  </si>
  <si>
    <t>Соглашение № 100 от 21.03.19, д/с 1 от 16.12.19</t>
  </si>
  <si>
    <t>оригсош</t>
  </si>
  <si>
    <t>орсош</t>
  </si>
  <si>
    <t>Соглашение № 167 от 28.03.19, д/с 1 от 19.12.19</t>
  </si>
  <si>
    <t>Соглашение № 85 от 20.03.19, д/с 1 от 19.12.19</t>
  </si>
  <si>
    <t>Соглашение № 181 от 29.03.19, д/с 1 от 19.12.19</t>
  </si>
  <si>
    <t>02,10 без бух не знают</t>
  </si>
  <si>
    <t>Соглашение № 7 от 22.02.19, д/с 1 от 13.03.19, д/с 2 от 19.12.19</t>
  </si>
  <si>
    <t>Соглашение № 14 от 04.03.19, д/с 1 от 08.08.19, д/с 2 от 20.09.19, д/с 3 от 19.12.19</t>
  </si>
  <si>
    <t>Соглашение № 68 от 12.03.19, д/с 1 от 19.12.19</t>
  </si>
  <si>
    <t>Соглашение № 178 от 29.03.19, д/с 1 от 19.12.19</t>
  </si>
  <si>
    <t>Соглашение № 130 от 25.03.19, д/с 1 от 19.12.19</t>
  </si>
  <si>
    <t>Соглашение № 58 от 12.03.19, д/с 1 от 29.05.19, д/с 2 от 19.12.19</t>
  </si>
  <si>
    <t>Соглашение № 172 от 28.03.19, д/с 1 от 09.09.19, д/с 2 от 19.12.19</t>
  </si>
  <si>
    <t>Соглашение № 94 от 20.03.19, д/с 1 от 19.06.19, д/с 2 от 19.12.19</t>
  </si>
  <si>
    <t>Соглашение № 28 от 04.03.19, д/с 1 от 17.06.19, д/с 2 от 19.12.19</t>
  </si>
  <si>
    <t>Соглашение № 70 от 12.03.19, д/с 1 от 03.07.19, д/с 2 от 19.12.19</t>
  </si>
  <si>
    <t>Соглашение № 114 от 22.03.19, д/с 1 от 05.06.19, д/с 2 от 19.12.19</t>
  </si>
  <si>
    <t>Соглашение № 169 от 28.03.19, д/с 1 от 19.06.19, д/с 2 от 19.12.19</t>
  </si>
  <si>
    <t>Соглашение № 65 от 12.03.19, д/с 1 от 19.12.19</t>
  </si>
  <si>
    <t>Соглашение № 31 от 04.03.19, д/с 1 от 23.12.19</t>
  </si>
  <si>
    <t>Соглашение № 170 от 28.03.19, д/с 1 от 09.09.19, д/с 2 от 23.12.19</t>
  </si>
  <si>
    <t>Соглашение № 139 от 25.03.19, д/с 1 от 23.12.19</t>
  </si>
  <si>
    <t>Соглашение № 119 от 22.03.19, д/с1 от 23.12.19</t>
  </si>
  <si>
    <t>Соглашение № 38 от 11.03.19, д/с 1 от 10.06.19, д/с 2 от 23.12.19, Соглашение (стр) № 40 от 11.03.19, д/с 1 от 09.09.19, д/с 2 от 25.12.19.</t>
  </si>
  <si>
    <t>Соглашение № 23 (стр) от 04.03.19, д/с 1 от 09.09.19, д/с 2 от 25.12.19, Соглашение № 97 от 20.03.19, д/с 1 от 23.12.19</t>
  </si>
  <si>
    <t>Соглашение № 12 (стр.) от 01.03.19, д/с 1 от 25.12.19; Соглашение № 113 от 21.03.19, д/с 1 от 09.08.19</t>
  </si>
  <si>
    <t>Соглашение № 104 от 21.03.19, д/с 1 от 23.12.19</t>
  </si>
  <si>
    <t>пп</t>
  </si>
  <si>
    <t>блсош</t>
  </si>
  <si>
    <t>куст</t>
  </si>
  <si>
    <t>кнечитаемая</t>
  </si>
  <si>
    <t>орст бл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</si>
  <si>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01.01.2020 г.   (в тыс.руб.)</t>
  </si>
  <si>
    <t xml:space="preserve">План на 2019 год </t>
  </si>
  <si>
    <t>Расходы МО за счет субсидий из областного бюджета (кассовый расход)</t>
  </si>
  <si>
    <t>Выполнение (за счет средств областного бюджета)</t>
  </si>
  <si>
    <t>Выполнение (за счет средств местного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</si>
</sst>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"/>
    <numFmt numFmtId="165" formatCode="#,##0.00000"/>
    <numFmt numFmtId="166" formatCode="#,##0.0"/>
    <numFmt numFmtId="167" formatCode="0.00000"/>
    <numFmt numFmtId="168" formatCode="0.0%"/>
    <numFmt numFmtId="169" formatCode="#,##0.0000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i/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4"/>
      <name val="Arial Cyr"/>
      <charset val="204"/>
    </font>
    <font>
      <b/>
      <sz val="18"/>
      <name val="Arial CYR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6"/>
      <color rgb="FF0070C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C0000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 CYR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2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0" fillId="0" borderId="0"/>
    <xf numFmtId="9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0"/>
  </cellStyleXfs>
  <cellXfs count="699">
    <xf numFmtId="0" fontId="0" fillId="0" borderId="0" xfId="0"/>
    <xf numFmtId="1" fontId="7" fillId="2" borderId="1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65" fontId="7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2" xfId="0" applyNumberFormat="1" applyFont="1" applyFill="1" applyBorder="1" applyAlignment="1">
      <alignment horizontal="center" vertical="center" textRotation="90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5" fontId="0" fillId="2" borderId="0" xfId="0" applyNumberFormat="1" applyFont="1" applyFill="1" applyAlignment="1">
      <alignment horizontal="left"/>
    </xf>
    <xf numFmtId="165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65" fontId="0" fillId="2" borderId="0" xfId="0" applyNumberFormat="1" applyFont="1" applyFill="1" applyBorder="1" applyAlignment="1">
      <alignment horizontal="center"/>
    </xf>
    <xf numFmtId="164" fontId="15" fillId="2" borderId="0" xfId="0" applyNumberFormat="1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textRotation="90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textRotation="90" wrapText="1"/>
    </xf>
    <xf numFmtId="0" fontId="17" fillId="0" borderId="0" xfId="0" applyFont="1"/>
    <xf numFmtId="165" fontId="24" fillId="2" borderId="1" xfId="0" applyNumberFormat="1" applyFont="1" applyFill="1" applyBorder="1" applyAlignment="1">
      <alignment horizontal="center" vertical="center" textRotation="90" wrapText="1"/>
    </xf>
    <xf numFmtId="165" fontId="25" fillId="3" borderId="4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1" fontId="12" fillId="2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 vertical="center" wrapText="1"/>
    </xf>
    <xf numFmtId="165" fontId="0" fillId="3" borderId="0" xfId="0" applyNumberFormat="1" applyFont="1" applyFill="1" applyAlignment="1">
      <alignment horizontal="center"/>
    </xf>
    <xf numFmtId="165" fontId="2" fillId="3" borderId="13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textRotation="90" wrapText="1"/>
    </xf>
    <xf numFmtId="165" fontId="7" fillId="2" borderId="11" xfId="0" applyNumberFormat="1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textRotation="90" wrapText="1"/>
    </xf>
    <xf numFmtId="1" fontId="2" fillId="3" borderId="0" xfId="0" applyNumberFormat="1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/>
    <xf numFmtId="0" fontId="2" fillId="3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/>
    <xf numFmtId="164" fontId="2" fillId="3" borderId="1" xfId="0" applyNumberFormat="1" applyFont="1" applyFill="1" applyBorder="1" applyAlignment="1">
      <alignment horizontal="left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15" fillId="2" borderId="0" xfId="0" applyNumberFormat="1" applyFont="1" applyFill="1" applyAlignment="1">
      <alignment horizontal="center"/>
    </xf>
    <xf numFmtId="165" fontId="5" fillId="2" borderId="6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0" fillId="5" borderId="0" xfId="0" applyNumberFormat="1" applyFont="1" applyFill="1" applyAlignment="1">
      <alignment horizont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textRotation="90" wrapText="1"/>
    </xf>
    <xf numFmtId="165" fontId="7" fillId="4" borderId="2" xfId="0" applyNumberFormat="1" applyFont="1" applyFill="1" applyBorder="1" applyAlignment="1">
      <alignment horizontal="center" vertical="center" textRotation="90" wrapText="1"/>
    </xf>
    <xf numFmtId="165" fontId="3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12" xfId="0" applyFont="1" applyFill="1" applyBorder="1" applyAlignment="1">
      <alignment vertical="center" wrapText="1"/>
    </xf>
    <xf numFmtId="165" fontId="6" fillId="2" borderId="12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5" fontId="0" fillId="3" borderId="0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3" borderId="0" xfId="0" applyNumberFormat="1" applyFont="1" applyFill="1" applyBorder="1" applyAlignment="1">
      <alignment horizontal="center" vertical="center" wrapText="1"/>
    </xf>
    <xf numFmtId="165" fontId="3" fillId="5" borderId="3" xfId="0" applyNumberFormat="1" applyFont="1" applyFill="1" applyBorder="1" applyAlignment="1">
      <alignment horizontal="center"/>
    </xf>
    <xf numFmtId="165" fontId="0" fillId="5" borderId="0" xfId="0" applyNumberFormat="1" applyFont="1" applyFill="1" applyBorder="1" applyAlignment="1">
      <alignment horizontal="center"/>
    </xf>
    <xf numFmtId="0" fontId="23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165" fontId="2" fillId="3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textRotation="90" wrapText="1"/>
    </xf>
    <xf numFmtId="1" fontId="0" fillId="2" borderId="0" xfId="0" applyNumberFormat="1" applyFont="1" applyFill="1" applyAlignment="1">
      <alignment horizontal="center"/>
    </xf>
    <xf numFmtId="165" fontId="7" fillId="6" borderId="1" xfId="0" applyNumberFormat="1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textRotation="90" wrapText="1"/>
    </xf>
    <xf numFmtId="165" fontId="5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5" fontId="32" fillId="4" borderId="36" xfId="0" applyNumberFormat="1" applyFont="1" applyFill="1" applyBorder="1" applyAlignment="1">
      <alignment horizontal="center"/>
    </xf>
    <xf numFmtId="165" fontId="32" fillId="4" borderId="37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 vertical="center" wrapText="1"/>
    </xf>
    <xf numFmtId="165" fontId="0" fillId="7" borderId="0" xfId="0" applyNumberFormat="1" applyFont="1" applyFill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textRotation="90" wrapText="1"/>
    </xf>
    <xf numFmtId="0" fontId="21" fillId="3" borderId="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textRotation="90" wrapText="1"/>
    </xf>
    <xf numFmtId="165" fontId="7" fillId="3" borderId="2" xfId="0" applyNumberFormat="1" applyFont="1" applyFill="1" applyBorder="1" applyAlignment="1">
      <alignment horizontal="center" vertical="center" textRotation="90" wrapText="1"/>
    </xf>
    <xf numFmtId="165" fontId="3" fillId="3" borderId="1" xfId="2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/>
    <xf numFmtId="165" fontId="3" fillId="4" borderId="1" xfId="0" applyNumberFormat="1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center"/>
    </xf>
    <xf numFmtId="164" fontId="3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3" fillId="4" borderId="1" xfId="0" applyFont="1" applyFill="1" applyBorder="1"/>
    <xf numFmtId="1" fontId="2" fillId="4" borderId="13" xfId="0" applyNumberFormat="1" applyFont="1" applyFill="1" applyBorder="1" applyAlignment="1">
      <alignment horizontal="center" vertical="center" wrapText="1"/>
    </xf>
    <xf numFmtId="1" fontId="2" fillId="4" borderId="11" xfId="0" applyNumberFormat="1" applyFont="1" applyFill="1" applyBorder="1" applyAlignment="1">
      <alignment horizontal="center" vertical="center" wrapText="1"/>
    </xf>
    <xf numFmtId="1" fontId="2" fillId="4" borderId="0" xfId="0" applyNumberFormat="1" applyFont="1" applyFill="1" applyBorder="1" applyAlignment="1">
      <alignment horizontal="center" vertical="center" wrapText="1"/>
    </xf>
    <xf numFmtId="165" fontId="0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left" vertical="center" wrapText="1"/>
    </xf>
    <xf numFmtId="165" fontId="8" fillId="3" borderId="3" xfId="0" applyNumberFormat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7" fontId="7" fillId="3" borderId="1" xfId="0" applyNumberFormat="1" applyFont="1" applyFill="1" applyBorder="1" applyAlignment="1">
      <alignment horizontal="center" vertical="center" wrapText="1"/>
    </xf>
    <xf numFmtId="167" fontId="7" fillId="6" borderId="1" xfId="0" applyNumberFormat="1" applyFont="1" applyFill="1" applyBorder="1" applyAlignment="1">
      <alignment horizontal="center" vertical="center" wrapText="1"/>
    </xf>
    <xf numFmtId="167" fontId="7" fillId="3" borderId="3" xfId="0" applyNumberFormat="1" applyFont="1" applyFill="1" applyBorder="1" applyAlignment="1">
      <alignment horizontal="center" vertical="center" wrapText="1"/>
    </xf>
    <xf numFmtId="167" fontId="7" fillId="5" borderId="1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Border="1" applyAlignment="1">
      <alignment horizontal="center"/>
    </xf>
    <xf numFmtId="167" fontId="7" fillId="2" borderId="19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Alignment="1">
      <alignment horizontal="center"/>
    </xf>
    <xf numFmtId="167" fontId="3" fillId="4" borderId="1" xfId="0" applyNumberFormat="1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/>
    </xf>
    <xf numFmtId="167" fontId="3" fillId="3" borderId="3" xfId="0" applyNumberFormat="1" applyFont="1" applyFill="1" applyBorder="1" applyAlignment="1">
      <alignment horizontal="center"/>
    </xf>
    <xf numFmtId="167" fontId="0" fillId="3" borderId="1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 vertical="center" wrapText="1"/>
    </xf>
    <xf numFmtId="167" fontId="2" fillId="3" borderId="8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167" fontId="0" fillId="3" borderId="8" xfId="0" applyNumberFormat="1" applyFont="1" applyFill="1" applyBorder="1" applyAlignment="1">
      <alignment horizontal="center"/>
    </xf>
    <xf numFmtId="167" fontId="1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/>
    <xf numFmtId="0" fontId="21" fillId="3" borderId="3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left" vertical="center" wrapText="1"/>
    </xf>
    <xf numFmtId="0" fontId="34" fillId="3" borderId="3" xfId="0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1" fontId="2" fillId="3" borderId="40" xfId="0" applyNumberFormat="1" applyFont="1" applyFill="1" applyBorder="1" applyAlignment="1">
      <alignment horizontal="center" vertical="center" wrapText="1"/>
    </xf>
    <xf numFmtId="1" fontId="2" fillId="3" borderId="39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left" vertical="center" wrapText="1"/>
    </xf>
    <xf numFmtId="167" fontId="2" fillId="3" borderId="14" xfId="0" applyNumberFormat="1" applyFont="1" applyFill="1" applyBorder="1" applyAlignment="1">
      <alignment horizontal="center" vertical="center" wrapText="1"/>
    </xf>
    <xf numFmtId="167" fontId="2" fillId="3" borderId="7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left" vertical="center" wrapText="1"/>
    </xf>
    <xf numFmtId="0" fontId="33" fillId="3" borderId="13" xfId="0" applyNumberFormat="1" applyFont="1" applyFill="1" applyBorder="1" applyAlignment="1">
      <alignment horizontal="center" vertical="center" wrapText="1"/>
    </xf>
    <xf numFmtId="167" fontId="2" fillId="3" borderId="13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167" fontId="3" fillId="3" borderId="8" xfId="0" applyNumberFormat="1" applyFont="1" applyFill="1" applyBorder="1" applyAlignment="1">
      <alignment horizontal="center" vertical="center" wrapText="1"/>
    </xf>
    <xf numFmtId="167" fontId="15" fillId="2" borderId="8" xfId="0" applyNumberFormat="1" applyFont="1" applyFill="1" applyBorder="1" applyAlignment="1">
      <alignment horizontal="center"/>
    </xf>
    <xf numFmtId="167" fontId="5" fillId="2" borderId="8" xfId="0" applyNumberFormat="1" applyFont="1" applyFill="1" applyBorder="1" applyAlignment="1">
      <alignment horizontal="center"/>
    </xf>
    <xf numFmtId="165" fontId="3" fillId="3" borderId="8" xfId="0" applyNumberFormat="1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65" fontId="2" fillId="3" borderId="9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justify" vertical="center" wrapText="1"/>
    </xf>
    <xf numFmtId="164" fontId="3" fillId="3" borderId="1" xfId="1" applyNumberFormat="1" applyFont="1" applyFill="1" applyBorder="1"/>
    <xf numFmtId="164" fontId="2" fillId="3" borderId="1" xfId="0" applyNumberFormat="1" applyFont="1" applyFill="1" applyBorder="1" applyAlignment="1">
      <alignment wrapText="1"/>
    </xf>
    <xf numFmtId="0" fontId="35" fillId="3" borderId="1" xfId="0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/>
    </xf>
    <xf numFmtId="1" fontId="7" fillId="8" borderId="13" xfId="0" applyNumberFormat="1" applyFont="1" applyFill="1" applyBorder="1" applyAlignment="1">
      <alignment horizontal="center" vertical="center" wrapText="1"/>
    </xf>
    <xf numFmtId="1" fontId="7" fillId="8" borderId="1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164" fontId="7" fillId="8" borderId="1" xfId="0" applyNumberFormat="1" applyFont="1" applyFill="1" applyBorder="1"/>
    <xf numFmtId="0" fontId="12" fillId="8" borderId="15" xfId="0" applyFont="1" applyFill="1" applyBorder="1" applyAlignment="1">
      <alignment horizontal="center"/>
    </xf>
    <xf numFmtId="165" fontId="7" fillId="8" borderId="15" xfId="0" applyNumberFormat="1" applyFont="1" applyFill="1" applyBorder="1" applyAlignment="1">
      <alignment horizontal="left" vertical="center" wrapText="1"/>
    </xf>
    <xf numFmtId="0" fontId="12" fillId="8" borderId="0" xfId="0" applyFont="1" applyFill="1" applyAlignment="1">
      <alignment horizontal="center"/>
    </xf>
    <xf numFmtId="165" fontId="36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165" fontId="7" fillId="8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 vertical="center" wrapText="1"/>
    </xf>
    <xf numFmtId="165" fontId="0" fillId="4" borderId="0" xfId="0" applyNumberFormat="1" applyFont="1" applyFill="1" applyBorder="1" applyAlignment="1">
      <alignment horizontal="center"/>
    </xf>
    <xf numFmtId="165" fontId="3" fillId="3" borderId="1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5" fontId="0" fillId="3" borderId="3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/>
    </xf>
    <xf numFmtId="165" fontId="15" fillId="2" borderId="8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0" fillId="4" borderId="39" xfId="0" applyNumberFormat="1" applyFont="1" applyFill="1" applyBorder="1" applyAlignment="1">
      <alignment horizontal="center"/>
    </xf>
    <xf numFmtId="165" fontId="0" fillId="4" borderId="40" xfId="0" applyNumberFormat="1" applyFont="1" applyFill="1" applyBorder="1" applyAlignment="1">
      <alignment horizontal="center"/>
    </xf>
    <xf numFmtId="165" fontId="0" fillId="3" borderId="39" xfId="0" applyNumberFormat="1" applyFont="1" applyFill="1" applyBorder="1" applyAlignment="1">
      <alignment horizontal="center"/>
    </xf>
    <xf numFmtId="165" fontId="0" fillId="3" borderId="40" xfId="0" applyNumberFormat="1" applyFont="1" applyFill="1" applyBorder="1" applyAlignment="1">
      <alignment horizontal="center"/>
    </xf>
    <xf numFmtId="165" fontId="0" fillId="4" borderId="1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/>
    </xf>
    <xf numFmtId="165" fontId="32" fillId="3" borderId="39" xfId="0" applyNumberFormat="1" applyFont="1" applyFill="1" applyBorder="1" applyAlignment="1">
      <alignment horizontal="center"/>
    </xf>
    <xf numFmtId="165" fontId="0" fillId="4" borderId="36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textRotation="90" wrapText="1"/>
    </xf>
    <xf numFmtId="0" fontId="37" fillId="3" borderId="13" xfId="0" applyNumberFormat="1" applyFont="1" applyFill="1" applyBorder="1" applyAlignment="1">
      <alignment horizontal="center" vertical="center" wrapText="1"/>
    </xf>
    <xf numFmtId="0" fontId="37" fillId="3" borderId="3" xfId="0" applyNumberFormat="1" applyFont="1" applyFill="1" applyBorder="1" applyAlignment="1">
      <alignment horizontal="center" vertical="center" wrapText="1"/>
    </xf>
    <xf numFmtId="165" fontId="7" fillId="8" borderId="15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/>
    </xf>
    <xf numFmtId="165" fontId="17" fillId="0" borderId="0" xfId="0" applyNumberFormat="1" applyFont="1" applyAlignment="1">
      <alignment vertical="center" wrapText="1"/>
    </xf>
    <xf numFmtId="165" fontId="5" fillId="2" borderId="1" xfId="0" applyNumberFormat="1" applyFont="1" applyFill="1" applyBorder="1" applyAlignment="1">
      <alignment horizontal="center"/>
    </xf>
    <xf numFmtId="165" fontId="17" fillId="0" borderId="0" xfId="0" applyNumberFormat="1" applyFont="1" applyAlignment="1">
      <alignment horizontal="center" vertical="center" wrapText="1"/>
    </xf>
    <xf numFmtId="165" fontId="3" fillId="5" borderId="1" xfId="2" applyNumberFormat="1" applyFont="1" applyFill="1" applyBorder="1" applyAlignment="1">
      <alignment horizontal="center"/>
    </xf>
    <xf numFmtId="165" fontId="0" fillId="2" borderId="0" xfId="2" applyNumberFormat="1" applyFont="1" applyFill="1" applyAlignment="1">
      <alignment horizontal="center"/>
    </xf>
    <xf numFmtId="165" fontId="2" fillId="3" borderId="7" xfId="0" applyNumberFormat="1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horizontal="center" vertical="center" wrapText="1"/>
    </xf>
    <xf numFmtId="0" fontId="23" fillId="3" borderId="40" xfId="0" applyFont="1" applyFill="1" applyBorder="1" applyAlignment="1">
      <alignment horizontal="left" vertical="center" wrapText="1"/>
    </xf>
    <xf numFmtId="0" fontId="35" fillId="3" borderId="17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2" fillId="3" borderId="8" xfId="0" applyNumberFormat="1" applyFont="1" applyFill="1" applyBorder="1" applyAlignment="1">
      <alignment horizontal="left" vertical="center" wrapText="1"/>
    </xf>
    <xf numFmtId="165" fontId="3" fillId="4" borderId="24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8" fontId="3" fillId="4" borderId="1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/>
    </xf>
    <xf numFmtId="168" fontId="3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 wrapText="1"/>
    </xf>
    <xf numFmtId="168" fontId="0" fillId="3" borderId="1" xfId="0" applyNumberFormat="1" applyFont="1" applyFill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/>
    </xf>
    <xf numFmtId="169" fontId="3" fillId="4" borderId="1" xfId="0" applyNumberFormat="1" applyFont="1" applyFill="1" applyBorder="1" applyAlignment="1">
      <alignment horizontal="center" vertical="center" wrapText="1"/>
    </xf>
    <xf numFmtId="165" fontId="6" fillId="9" borderId="0" xfId="0" applyNumberFormat="1" applyFont="1" applyFill="1" applyBorder="1" applyAlignment="1">
      <alignment horizontal="center" vertical="center" wrapText="1"/>
    </xf>
    <xf numFmtId="165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center" vertical="center" wrapText="1"/>
    </xf>
    <xf numFmtId="165" fontId="2" fillId="9" borderId="8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165" fontId="2" fillId="9" borderId="3" xfId="0" applyNumberFormat="1" applyFont="1" applyFill="1" applyBorder="1" applyAlignment="1">
      <alignment horizontal="center" vertical="center" wrapText="1"/>
    </xf>
    <xf numFmtId="169" fontId="2" fillId="9" borderId="3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/>
    </xf>
    <xf numFmtId="165" fontId="2" fillId="9" borderId="3" xfId="0" applyNumberFormat="1" applyFont="1" applyFill="1" applyBorder="1" applyAlignment="1">
      <alignment horizontal="center"/>
    </xf>
    <xf numFmtId="169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/>
    </xf>
    <xf numFmtId="165" fontId="2" fillId="9" borderId="1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 wrapText="1"/>
    </xf>
    <xf numFmtId="165" fontId="8" fillId="9" borderId="3" xfId="0" applyNumberFormat="1" applyFont="1" applyFill="1" applyBorder="1" applyAlignment="1">
      <alignment horizontal="center" vertical="center" wrapText="1"/>
    </xf>
    <xf numFmtId="169" fontId="0" fillId="9" borderId="1" xfId="0" applyNumberFormat="1" applyFont="1" applyFill="1" applyBorder="1" applyAlignment="1">
      <alignment horizontal="center" vertical="center"/>
    </xf>
    <xf numFmtId="169" fontId="2" fillId="9" borderId="1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 wrapText="1"/>
    </xf>
    <xf numFmtId="169" fontId="2" fillId="9" borderId="1" xfId="0" applyNumberFormat="1" applyFont="1" applyFill="1" applyBorder="1" applyAlignment="1">
      <alignment horizontal="center" vertical="center"/>
    </xf>
    <xf numFmtId="165" fontId="36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/>
    </xf>
    <xf numFmtId="165" fontId="7" fillId="9" borderId="1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 wrapText="1"/>
    </xf>
    <xf numFmtId="165" fontId="2" fillId="9" borderId="14" xfId="0" applyNumberFormat="1" applyFont="1" applyFill="1" applyBorder="1" applyAlignment="1">
      <alignment horizontal="center" vertical="center" wrapText="1"/>
    </xf>
    <xf numFmtId="165" fontId="2" fillId="9" borderId="7" xfId="0" applyNumberFormat="1" applyFont="1" applyFill="1" applyBorder="1" applyAlignment="1">
      <alignment horizontal="center" vertical="center" wrapText="1"/>
    </xf>
    <xf numFmtId="165" fontId="2" fillId="9" borderId="9" xfId="0" applyNumberFormat="1" applyFont="1" applyFill="1" applyBorder="1" applyAlignment="1">
      <alignment horizontal="center" vertical="center" wrapText="1"/>
    </xf>
    <xf numFmtId="165" fontId="3" fillId="9" borderId="0" xfId="0" applyNumberFormat="1" applyFont="1" applyFill="1" applyBorder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center"/>
    </xf>
    <xf numFmtId="165" fontId="3" fillId="9" borderId="8" xfId="0" applyNumberFormat="1" applyFont="1" applyFill="1" applyBorder="1" applyAlignment="1">
      <alignment horizontal="center" vertical="center" wrapText="1"/>
    </xf>
    <xf numFmtId="165" fontId="5" fillId="9" borderId="8" xfId="0" applyNumberFormat="1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 vertical="center" wrapText="1"/>
    </xf>
    <xf numFmtId="165" fontId="2" fillId="9" borderId="2" xfId="0" applyNumberFormat="1" applyFont="1" applyFill="1" applyBorder="1" applyAlignment="1">
      <alignment horizontal="center" vertical="center" wrapText="1"/>
    </xf>
    <xf numFmtId="165" fontId="5" fillId="9" borderId="2" xfId="0" applyNumberFormat="1" applyFont="1" applyFill="1" applyBorder="1" applyAlignment="1">
      <alignment horizontal="center"/>
    </xf>
    <xf numFmtId="165" fontId="2" fillId="9" borderId="13" xfId="0" applyNumberFormat="1" applyFont="1" applyFill="1" applyBorder="1" applyAlignment="1">
      <alignment horizontal="center" vertical="center" wrapText="1"/>
    </xf>
    <xf numFmtId="165" fontId="2" fillId="9" borderId="11" xfId="0" applyNumberFormat="1" applyFont="1" applyFill="1" applyBorder="1" applyAlignment="1">
      <alignment horizontal="center" vertical="center" wrapText="1"/>
    </xf>
    <xf numFmtId="165" fontId="2" fillId="9" borderId="0" xfId="0" applyNumberFormat="1" applyFont="1" applyFill="1" applyBorder="1" applyAlignment="1">
      <alignment horizontal="center" vertical="center" wrapText="1"/>
    </xf>
    <xf numFmtId="165" fontId="2" fillId="9" borderId="6" xfId="0" applyNumberFormat="1" applyFont="1" applyFill="1" applyBorder="1" applyAlignment="1">
      <alignment horizontal="center" vertical="center" wrapText="1"/>
    </xf>
    <xf numFmtId="165" fontId="0" fillId="9" borderId="1" xfId="0" applyNumberFormat="1" applyFont="1" applyFill="1" applyBorder="1" applyAlignment="1">
      <alignment horizontal="center"/>
    </xf>
    <xf numFmtId="165" fontId="0" fillId="9" borderId="0" xfId="0" applyNumberFormat="1" applyFont="1" applyFill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 vertical="center" wrapText="1"/>
    </xf>
    <xf numFmtId="165" fontId="6" fillId="10" borderId="0" xfId="0" applyNumberFormat="1" applyFont="1" applyFill="1" applyBorder="1" applyAlignment="1">
      <alignment horizontal="center" vertical="center" wrapText="1"/>
    </xf>
    <xf numFmtId="165" fontId="2" fillId="10" borderId="8" xfId="0" applyNumberFormat="1" applyFont="1" applyFill="1" applyBorder="1" applyAlignment="1">
      <alignment horizontal="center" vertical="center" wrapText="1"/>
    </xf>
    <xf numFmtId="165" fontId="7" fillId="10" borderId="1" xfId="0" applyNumberFormat="1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/>
    </xf>
    <xf numFmtId="165" fontId="2" fillId="10" borderId="3" xfId="0" applyNumberFormat="1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/>
    </xf>
    <xf numFmtId="165" fontId="2" fillId="10" borderId="1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 wrapText="1"/>
    </xf>
    <xf numFmtId="165" fontId="36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/>
    </xf>
    <xf numFmtId="165" fontId="7" fillId="10" borderId="1" xfId="0" applyNumberFormat="1" applyFont="1" applyFill="1" applyBorder="1" applyAlignment="1">
      <alignment horizontal="center"/>
    </xf>
    <xf numFmtId="165" fontId="3" fillId="10" borderId="2" xfId="0" applyNumberFormat="1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 wrapText="1"/>
    </xf>
    <xf numFmtId="165" fontId="2" fillId="10" borderId="14" xfId="0" applyNumberFormat="1" applyFont="1" applyFill="1" applyBorder="1" applyAlignment="1">
      <alignment horizontal="center" vertical="center" wrapText="1"/>
    </xf>
    <xf numFmtId="165" fontId="2" fillId="10" borderId="7" xfId="0" applyNumberFormat="1" applyFont="1" applyFill="1" applyBorder="1" applyAlignment="1">
      <alignment horizontal="center" vertical="center" wrapText="1"/>
    </xf>
    <xf numFmtId="165" fontId="2" fillId="10" borderId="9" xfId="0" applyNumberFormat="1" applyFont="1" applyFill="1" applyBorder="1" applyAlignment="1">
      <alignment horizontal="center" vertical="center" wrapText="1"/>
    </xf>
    <xf numFmtId="165" fontId="3" fillId="10" borderId="0" xfId="0" applyNumberFormat="1" applyFont="1" applyFill="1" applyBorder="1" applyAlignment="1">
      <alignment horizontal="center" vertical="center" wrapText="1"/>
    </xf>
    <xf numFmtId="165" fontId="3" fillId="10" borderId="8" xfId="0" applyNumberFormat="1" applyFont="1" applyFill="1" applyBorder="1" applyAlignment="1">
      <alignment horizontal="center" vertical="center" wrapText="1"/>
    </xf>
    <xf numFmtId="165" fontId="5" fillId="10" borderId="8" xfId="0" applyNumberFormat="1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 vertical="center" wrapText="1"/>
    </xf>
    <xf numFmtId="165" fontId="5" fillId="10" borderId="1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 vertical="center" wrapText="1"/>
    </xf>
    <xf numFmtId="165" fontId="5" fillId="10" borderId="2" xfId="0" applyNumberFormat="1" applyFont="1" applyFill="1" applyBorder="1" applyAlignment="1">
      <alignment horizontal="center"/>
    </xf>
    <xf numFmtId="165" fontId="2" fillId="10" borderId="13" xfId="0" applyNumberFormat="1" applyFont="1" applyFill="1" applyBorder="1" applyAlignment="1">
      <alignment horizontal="center" vertical="center" wrapText="1"/>
    </xf>
    <xf numFmtId="165" fontId="2" fillId="10" borderId="11" xfId="0" applyNumberFormat="1" applyFont="1" applyFill="1" applyBorder="1" applyAlignment="1">
      <alignment horizontal="center" vertical="center" wrapText="1"/>
    </xf>
    <xf numFmtId="165" fontId="2" fillId="10" borderId="0" xfId="0" applyNumberFormat="1" applyFont="1" applyFill="1" applyBorder="1" applyAlignment="1">
      <alignment horizontal="center" vertical="center" wrapText="1"/>
    </xf>
    <xf numFmtId="165" fontId="2" fillId="10" borderId="6" xfId="0" applyNumberFormat="1" applyFont="1" applyFill="1" applyBorder="1" applyAlignment="1">
      <alignment horizontal="center" vertical="center" wrapText="1"/>
    </xf>
    <xf numFmtId="165" fontId="0" fillId="10" borderId="0" xfId="0" applyNumberFormat="1" applyFont="1" applyFill="1" applyAlignment="1">
      <alignment horizontal="center"/>
    </xf>
    <xf numFmtId="0" fontId="0" fillId="10" borderId="1" xfId="0" applyFont="1" applyFill="1" applyBorder="1" applyAlignment="1">
      <alignment horizontal="center" vertical="center" wrapText="1"/>
    </xf>
    <xf numFmtId="165" fontId="0" fillId="10" borderId="1" xfId="0" applyNumberFormat="1" applyFont="1" applyFill="1" applyBorder="1" applyAlignment="1">
      <alignment horizontal="center"/>
    </xf>
    <xf numFmtId="0" fontId="2" fillId="9" borderId="3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/>
    </xf>
    <xf numFmtId="165" fontId="8" fillId="10" borderId="3" xfId="0" applyNumberFormat="1" applyFont="1" applyFill="1" applyBorder="1" applyAlignment="1">
      <alignment horizontal="center" vertical="center"/>
    </xf>
    <xf numFmtId="10" fontId="2" fillId="10" borderId="3" xfId="0" applyNumberFormat="1" applyFont="1" applyFill="1" applyBorder="1" applyAlignment="1">
      <alignment horizontal="center" vertical="center" wrapText="1"/>
    </xf>
    <xf numFmtId="10" fontId="7" fillId="10" borderId="1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0" fontId="2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 wrapText="1"/>
    </xf>
    <xf numFmtId="10" fontId="2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 wrapText="1"/>
    </xf>
    <xf numFmtId="10" fontId="2" fillId="9" borderId="3" xfId="0" applyNumberFormat="1" applyFont="1" applyFill="1" applyBorder="1" applyAlignment="1">
      <alignment horizontal="center" vertical="center" wrapText="1"/>
    </xf>
    <xf numFmtId="10" fontId="2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 wrapText="1"/>
    </xf>
    <xf numFmtId="10" fontId="0" fillId="9" borderId="1" xfId="0" applyNumberFormat="1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 wrapText="1"/>
    </xf>
    <xf numFmtId="10" fontId="2" fillId="9" borderId="1" xfId="0" applyNumberFormat="1" applyFont="1" applyFill="1" applyBorder="1" applyAlignment="1">
      <alignment horizontal="center" vertical="center"/>
    </xf>
    <xf numFmtId="10" fontId="3" fillId="9" borderId="1" xfId="0" applyNumberFormat="1" applyFont="1" applyFill="1" applyBorder="1" applyAlignment="1">
      <alignment horizontal="center" vertical="center"/>
    </xf>
    <xf numFmtId="165" fontId="0" fillId="3" borderId="10" xfId="0" applyNumberFormat="1" applyFont="1" applyFill="1" applyBorder="1" applyAlignment="1">
      <alignment horizontal="center"/>
    </xf>
    <xf numFmtId="165" fontId="0" fillId="9" borderId="0" xfId="0" applyNumberFormat="1" applyFont="1" applyFill="1" applyBorder="1" applyAlignment="1">
      <alignment horizontal="center"/>
    </xf>
    <xf numFmtId="165" fontId="0" fillId="10" borderId="0" xfId="0" applyNumberFormat="1" applyFont="1" applyFill="1" applyBorder="1" applyAlignment="1">
      <alignment horizontal="center"/>
    </xf>
    <xf numFmtId="0" fontId="0" fillId="10" borderId="14" xfId="0" applyFill="1" applyBorder="1" applyAlignment="1">
      <alignment horizontal="center" vertical="center" wrapText="1"/>
    </xf>
    <xf numFmtId="164" fontId="7" fillId="10" borderId="8" xfId="0" applyNumberFormat="1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6" fontId="2" fillId="3" borderId="3" xfId="0" applyNumberFormat="1" applyFont="1" applyFill="1" applyBorder="1" applyAlignment="1">
      <alignment horizontal="left" vertical="center" wrapText="1"/>
    </xf>
    <xf numFmtId="166" fontId="2" fillId="3" borderId="1" xfId="0" applyNumberFormat="1" applyFont="1" applyFill="1" applyBorder="1" applyAlignment="1">
      <alignment horizontal="left" vertical="center" wrapText="1"/>
    </xf>
    <xf numFmtId="166" fontId="2" fillId="4" borderId="3" xfId="0" applyNumberFormat="1" applyFont="1" applyFill="1" applyBorder="1" applyAlignment="1">
      <alignment horizontal="left" vertical="center" wrapText="1"/>
    </xf>
    <xf numFmtId="166" fontId="3" fillId="3" borderId="1" xfId="0" applyNumberFormat="1" applyFont="1" applyFill="1" applyBorder="1" applyAlignment="1">
      <alignment horizontal="left" vertical="center" wrapText="1"/>
    </xf>
    <xf numFmtId="167" fontId="3" fillId="4" borderId="1" xfId="0" applyNumberFormat="1" applyFont="1" applyFill="1" applyBorder="1" applyAlignment="1">
      <alignment horizontal="left" vertical="center" wrapText="1"/>
    </xf>
    <xf numFmtId="167" fontId="3" fillId="3" borderId="1" xfId="0" applyNumberFormat="1" applyFont="1" applyFill="1" applyBorder="1" applyAlignment="1">
      <alignment horizontal="left" vertical="center" wrapText="1"/>
    </xf>
    <xf numFmtId="165" fontId="3" fillId="3" borderId="7" xfId="0" applyNumberFormat="1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 wrapText="1"/>
    </xf>
    <xf numFmtId="167" fontId="15" fillId="2" borderId="8" xfId="0" applyNumberFormat="1" applyFont="1" applyFill="1" applyBorder="1" applyAlignment="1">
      <alignment horizontal="left" vertical="center"/>
    </xf>
    <xf numFmtId="167" fontId="15" fillId="2" borderId="1" xfId="0" applyNumberFormat="1" applyFont="1" applyFill="1" applyBorder="1" applyAlignment="1">
      <alignment horizontal="left" vertical="center"/>
    </xf>
    <xf numFmtId="167" fontId="3" fillId="3" borderId="7" xfId="0" applyNumberFormat="1" applyFont="1" applyFill="1" applyBorder="1" applyAlignment="1">
      <alignment horizontal="left" vertical="center" wrapText="1"/>
    </xf>
    <xf numFmtId="167" fontId="2" fillId="3" borderId="2" xfId="0" applyNumberFormat="1" applyFon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>
      <alignment horizontal="left" vertical="center" wrapText="1"/>
    </xf>
    <xf numFmtId="165" fontId="15" fillId="2" borderId="0" xfId="0" applyNumberFormat="1" applyFont="1" applyFill="1" applyAlignment="1">
      <alignment horizontal="left" vertical="center"/>
    </xf>
    <xf numFmtId="165" fontId="15" fillId="2" borderId="6" xfId="0" applyNumberFormat="1" applyFont="1" applyFill="1" applyBorder="1" applyAlignment="1">
      <alignment horizontal="left" vertical="center"/>
    </xf>
    <xf numFmtId="166" fontId="2" fillId="0" borderId="3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left" vertical="center" wrapText="1"/>
    </xf>
    <xf numFmtId="168" fontId="0" fillId="2" borderId="0" xfId="0" applyNumberFormat="1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2" fillId="3" borderId="13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7" fillId="8" borderId="6" xfId="0" applyNumberFormat="1" applyFont="1" applyFill="1" applyBorder="1" applyAlignment="1">
      <alignment horizontal="center" vertical="center" wrapText="1"/>
    </xf>
    <xf numFmtId="165" fontId="33" fillId="3" borderId="13" xfId="0" applyNumberFormat="1" applyFont="1" applyFill="1" applyBorder="1" applyAlignment="1">
      <alignment horizontal="center" vertical="center" wrapText="1"/>
    </xf>
    <xf numFmtId="165" fontId="33" fillId="3" borderId="3" xfId="0" applyNumberFormat="1" applyFont="1" applyFill="1" applyBorder="1" applyAlignment="1">
      <alignment horizontal="center" vertical="center" wrapText="1"/>
    </xf>
    <xf numFmtId="165" fontId="40" fillId="2" borderId="0" xfId="0" applyNumberFormat="1" applyFont="1" applyFill="1" applyAlignment="1">
      <alignment horizontal="center" vertical="center"/>
    </xf>
    <xf numFmtId="165" fontId="2" fillId="4" borderId="24" xfId="0" applyNumberFormat="1" applyFont="1" applyFill="1" applyBorder="1" applyAlignment="1">
      <alignment horizontal="center" vertical="center" wrapText="1"/>
    </xf>
    <xf numFmtId="165" fontId="40" fillId="3" borderId="1" xfId="0" applyNumberFormat="1" applyFont="1" applyFill="1" applyBorder="1" applyAlignment="1">
      <alignment horizontal="center" vertical="center" wrapText="1"/>
    </xf>
    <xf numFmtId="165" fontId="40" fillId="3" borderId="7" xfId="0" applyNumberFormat="1" applyFont="1" applyFill="1" applyBorder="1" applyAlignment="1">
      <alignment horizontal="center" vertical="center" wrapText="1"/>
    </xf>
    <xf numFmtId="165" fontId="40" fillId="3" borderId="17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165" fontId="33" fillId="3" borderId="40" xfId="0" applyNumberFormat="1" applyFont="1" applyFill="1" applyBorder="1" applyAlignment="1">
      <alignment horizontal="center" vertical="center" wrapText="1"/>
    </xf>
    <xf numFmtId="165" fontId="33" fillId="3" borderId="14" xfId="0" applyNumberFormat="1" applyFont="1" applyFill="1" applyBorder="1" applyAlignment="1">
      <alignment horizontal="center" vertical="center" wrapText="1"/>
    </xf>
    <xf numFmtId="165" fontId="33" fillId="4" borderId="1" xfId="0" applyNumberFormat="1" applyFont="1" applyFill="1" applyBorder="1" applyAlignment="1">
      <alignment horizontal="center" vertical="center" wrapText="1"/>
    </xf>
    <xf numFmtId="165" fontId="33" fillId="3" borderId="0" xfId="0" applyNumberFormat="1" applyFont="1" applyFill="1" applyBorder="1" applyAlignment="1">
      <alignment horizontal="center" vertical="center" wrapText="1"/>
    </xf>
    <xf numFmtId="165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 vertical="center"/>
    </xf>
    <xf numFmtId="165" fontId="0" fillId="9" borderId="1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/>
    </xf>
    <xf numFmtId="165" fontId="2" fillId="11" borderId="3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left" vertical="center" wrapText="1"/>
    </xf>
    <xf numFmtId="165" fontId="33" fillId="3" borderId="1" xfId="0" applyNumberFormat="1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  <xf numFmtId="0" fontId="0" fillId="2" borderId="3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166" fontId="3" fillId="4" borderId="3" xfId="0" applyNumberFormat="1" applyFont="1" applyFill="1" applyBorder="1" applyAlignment="1">
      <alignment horizontal="left" vertical="center"/>
    </xf>
    <xf numFmtId="166" fontId="3" fillId="4" borderId="3" xfId="0" applyNumberFormat="1" applyFont="1" applyFill="1" applyBorder="1" applyAlignment="1">
      <alignment horizontal="center" vertical="center" wrapText="1"/>
    </xf>
    <xf numFmtId="166" fontId="0" fillId="4" borderId="0" xfId="0" applyNumberFormat="1" applyFont="1" applyFill="1" applyBorder="1" applyAlignment="1">
      <alignment horizontal="center"/>
    </xf>
    <xf numFmtId="166" fontId="3" fillId="4" borderId="19" xfId="0" applyNumberFormat="1" applyFont="1" applyFill="1" applyBorder="1" applyAlignment="1">
      <alignment horizontal="center" vertical="center" wrapText="1"/>
    </xf>
    <xf numFmtId="166" fontId="0" fillId="4" borderId="0" xfId="0" applyNumberFormat="1" applyFont="1" applyFill="1" applyAlignment="1">
      <alignment horizontal="center"/>
    </xf>
    <xf numFmtId="166" fontId="30" fillId="4" borderId="0" xfId="0" applyNumberFormat="1" applyFont="1" applyFill="1" applyAlignment="1">
      <alignment horizontal="center"/>
    </xf>
    <xf numFmtId="166" fontId="2" fillId="3" borderId="3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/>
    </xf>
    <xf numFmtId="166" fontId="2" fillId="3" borderId="1" xfId="0" applyNumberFormat="1" applyFont="1" applyFill="1" applyBorder="1"/>
    <xf numFmtId="166" fontId="2" fillId="0" borderId="1" xfId="0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1" xfId="0" applyNumberFormat="1" applyFont="1" applyFill="1" applyBorder="1" applyAlignment="1">
      <alignment horizontal="center" vertical="center" wrapText="1"/>
    </xf>
    <xf numFmtId="166" fontId="0" fillId="3" borderId="0" xfId="0" applyNumberFormat="1" applyFont="1" applyFill="1" applyBorder="1" applyAlignment="1">
      <alignment horizontal="center"/>
    </xf>
    <xf numFmtId="166" fontId="2" fillId="3" borderId="19" xfId="0" applyNumberFormat="1" applyFont="1" applyFill="1" applyBorder="1" applyAlignment="1">
      <alignment horizontal="center" vertical="center" wrapText="1"/>
    </xf>
    <xf numFmtId="166" fontId="0" fillId="3" borderId="0" xfId="0" applyNumberFormat="1" applyFont="1" applyFill="1" applyAlignment="1">
      <alignment horizontal="center"/>
    </xf>
    <xf numFmtId="166" fontId="8" fillId="3" borderId="1" xfId="0" applyNumberFormat="1" applyFont="1" applyFill="1" applyBorder="1" applyAlignment="1">
      <alignment horizontal="center"/>
    </xf>
    <xf numFmtId="166" fontId="2" fillId="0" borderId="3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0" xfId="0" applyNumberFormat="1" applyFont="1" applyFill="1" applyAlignment="1">
      <alignment horizontal="left" vertical="center"/>
    </xf>
    <xf numFmtId="166" fontId="0" fillId="3" borderId="1" xfId="0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166" fontId="3" fillId="3" borderId="1" xfId="0" applyNumberFormat="1" applyFont="1" applyFill="1" applyBorder="1" applyAlignment="1">
      <alignment horizontal="center"/>
    </xf>
    <xf numFmtId="166" fontId="3" fillId="3" borderId="3" xfId="0" applyNumberFormat="1" applyFont="1" applyFill="1" applyBorder="1" applyAlignment="1">
      <alignment horizontal="center"/>
    </xf>
    <xf numFmtId="166" fontId="3" fillId="3" borderId="3" xfId="0" applyNumberFormat="1" applyFont="1" applyFill="1" applyBorder="1" applyAlignment="1">
      <alignment horizontal="center" vertical="center"/>
    </xf>
    <xf numFmtId="166" fontId="3" fillId="3" borderId="19" xfId="0" applyNumberFormat="1" applyFont="1" applyFill="1" applyBorder="1" applyAlignment="1">
      <alignment horizontal="center"/>
    </xf>
    <xf numFmtId="166" fontId="3" fillId="3" borderId="3" xfId="0" applyNumberFormat="1" applyFont="1" applyFill="1" applyBorder="1" applyAlignment="1">
      <alignment horizontal="left" vertical="center"/>
    </xf>
    <xf numFmtId="166" fontId="3" fillId="0" borderId="3" xfId="0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 vertical="center"/>
    </xf>
    <xf numFmtId="166" fontId="2" fillId="3" borderId="19" xfId="0" applyNumberFormat="1" applyFont="1" applyFill="1" applyBorder="1" applyAlignment="1">
      <alignment horizontal="center"/>
    </xf>
    <xf numFmtId="166" fontId="8" fillId="3" borderId="3" xfId="0" applyNumberFormat="1" applyFont="1" applyFill="1" applyBorder="1" applyAlignment="1">
      <alignment horizontal="center"/>
    </xf>
    <xf numFmtId="166" fontId="8" fillId="3" borderId="3" xfId="0" applyNumberFormat="1" applyFont="1" applyFill="1" applyBorder="1" applyAlignment="1">
      <alignment horizontal="left" vertical="center"/>
    </xf>
    <xf numFmtId="166" fontId="8" fillId="3" borderId="3" xfId="0" applyNumberFormat="1" applyFont="1" applyFill="1" applyBorder="1" applyAlignment="1">
      <alignment horizontal="center" vertical="center"/>
    </xf>
    <xf numFmtId="166" fontId="13" fillId="3" borderId="0" xfId="0" applyNumberFormat="1" applyFont="1" applyFill="1" applyBorder="1" applyAlignment="1">
      <alignment horizontal="center"/>
    </xf>
    <xf numFmtId="166" fontId="8" fillId="3" borderId="19" xfId="0" applyNumberFormat="1" applyFont="1" applyFill="1" applyBorder="1" applyAlignment="1">
      <alignment horizontal="center"/>
    </xf>
    <xf numFmtId="166" fontId="13" fillId="3" borderId="0" xfId="0" applyNumberFormat="1" applyFont="1" applyFill="1" applyAlignment="1">
      <alignment horizontal="center"/>
    </xf>
    <xf numFmtId="166" fontId="8" fillId="0" borderId="3" xfId="0" applyNumberFormat="1" applyFont="1" applyFill="1" applyBorder="1" applyAlignment="1">
      <alignment horizontal="center"/>
    </xf>
    <xf numFmtId="166" fontId="8" fillId="3" borderId="3" xfId="0" applyNumberFormat="1" applyFont="1" applyFill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166" fontId="8" fillId="3" borderId="19" xfId="0" applyNumberFormat="1" applyFont="1" applyFill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left" vertical="center" wrapText="1"/>
    </xf>
    <xf numFmtId="166" fontId="8" fillId="0" borderId="1" xfId="0" applyNumberFormat="1" applyFont="1" applyFill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/>
    <xf numFmtId="166" fontId="2" fillId="7" borderId="3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left" vertical="center" wrapText="1"/>
    </xf>
    <xf numFmtId="166" fontId="3" fillId="4" borderId="24" xfId="0" applyNumberFormat="1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66" fontId="7" fillId="8" borderId="15" xfId="0" applyNumberFormat="1" applyFont="1" applyFill="1" applyBorder="1" applyAlignment="1">
      <alignment horizontal="center" vertical="center" wrapText="1"/>
    </xf>
    <xf numFmtId="166" fontId="7" fillId="8" borderId="1" xfId="0" applyNumberFormat="1" applyFont="1" applyFill="1" applyBorder="1" applyAlignment="1">
      <alignment horizontal="center" vertical="center" wrapText="1"/>
    </xf>
    <xf numFmtId="166" fontId="7" fillId="8" borderId="16" xfId="0" applyNumberFormat="1" applyFont="1" applyFill="1" applyBorder="1" applyAlignment="1">
      <alignment horizontal="center" vertical="center" wrapText="1"/>
    </xf>
    <xf numFmtId="166" fontId="36" fillId="8" borderId="15" xfId="0" applyNumberFormat="1" applyFont="1" applyFill="1" applyBorder="1" applyAlignment="1">
      <alignment horizontal="left" vertical="center" wrapText="1"/>
    </xf>
    <xf numFmtId="166" fontId="36" fillId="8" borderId="15" xfId="0" applyNumberFormat="1" applyFont="1" applyFill="1" applyBorder="1" applyAlignment="1">
      <alignment horizontal="center" vertical="center" wrapText="1"/>
    </xf>
    <xf numFmtId="166" fontId="7" fillId="8" borderId="3" xfId="0" applyNumberFormat="1" applyFont="1" applyFill="1" applyBorder="1" applyAlignment="1">
      <alignment horizontal="center" vertical="center" wrapText="1"/>
    </xf>
    <xf numFmtId="166" fontId="36" fillId="8" borderId="16" xfId="0" applyNumberFormat="1" applyFont="1" applyFill="1" applyBorder="1" applyAlignment="1">
      <alignment horizontal="center" vertical="center" wrapText="1"/>
    </xf>
    <xf numFmtId="166" fontId="12" fillId="8" borderId="0" xfId="0" applyNumberFormat="1" applyFont="1" applyFill="1" applyBorder="1" applyAlignment="1">
      <alignment horizontal="center"/>
    </xf>
    <xf numFmtId="166" fontId="36" fillId="8" borderId="20" xfId="0" applyNumberFormat="1" applyFont="1" applyFill="1" applyBorder="1" applyAlignment="1">
      <alignment horizontal="center" vertical="center" wrapText="1"/>
    </xf>
    <xf numFmtId="166" fontId="36" fillId="8" borderId="7" xfId="0" applyNumberFormat="1" applyFont="1" applyFill="1" applyBorder="1" applyAlignment="1">
      <alignment horizontal="center" vertical="center" wrapText="1"/>
    </xf>
    <xf numFmtId="166" fontId="12" fillId="8" borderId="0" xfId="0" applyNumberFormat="1" applyFont="1" applyFill="1" applyAlignment="1">
      <alignment horizontal="center"/>
    </xf>
    <xf numFmtId="166" fontId="36" fillId="8" borderId="1" xfId="0" applyNumberFormat="1" applyFont="1" applyFill="1" applyBorder="1" applyAlignment="1">
      <alignment horizontal="center" vertical="center" wrapText="1"/>
    </xf>
    <xf numFmtId="166" fontId="36" fillId="8" borderId="2" xfId="0" applyNumberFormat="1" applyFont="1" applyFill="1" applyBorder="1" applyAlignment="1">
      <alignment horizontal="center" vertical="center" wrapText="1"/>
    </xf>
    <xf numFmtId="166" fontId="3" fillId="4" borderId="18" xfId="0" applyNumberFormat="1" applyFont="1" applyFill="1" applyBorder="1" applyAlignment="1">
      <alignment horizontal="center" vertical="center" wrapText="1"/>
    </xf>
    <xf numFmtId="166" fontId="3" fillId="4" borderId="18" xfId="0" applyNumberFormat="1" applyFont="1" applyFill="1" applyBorder="1" applyAlignment="1">
      <alignment horizontal="left" vertical="center" wrapText="1"/>
    </xf>
    <xf numFmtId="166" fontId="2" fillId="4" borderId="18" xfId="0" applyNumberFormat="1" applyFont="1" applyFill="1" applyBorder="1" applyAlignment="1">
      <alignment horizontal="center" vertical="center" wrapText="1"/>
    </xf>
    <xf numFmtId="166" fontId="3" fillId="4" borderId="21" xfId="0" applyNumberFormat="1" applyFont="1" applyFill="1" applyBorder="1" applyAlignment="1">
      <alignment horizontal="center" vertical="center" wrapText="1"/>
    </xf>
    <xf numFmtId="166" fontId="3" fillId="4" borderId="38" xfId="0" applyNumberFormat="1" applyFont="1" applyFill="1" applyBorder="1" applyAlignment="1">
      <alignment horizontal="center" vertical="center" wrapText="1"/>
    </xf>
    <xf numFmtId="166" fontId="3" fillId="4" borderId="15" xfId="0" applyNumberFormat="1" applyFont="1" applyFill="1" applyBorder="1" applyAlignment="1">
      <alignment horizontal="center" vertical="center" wrapText="1"/>
    </xf>
    <xf numFmtId="166" fontId="0" fillId="4" borderId="10" xfId="0" applyNumberFormat="1" applyFont="1" applyFill="1" applyBorder="1" applyAlignment="1">
      <alignment horizontal="center"/>
    </xf>
    <xf numFmtId="166" fontId="2" fillId="3" borderId="8" xfId="0" applyNumberFormat="1" applyFont="1" applyFill="1" applyBorder="1" applyAlignment="1">
      <alignment horizontal="center" vertical="center" wrapText="1"/>
    </xf>
    <xf numFmtId="166" fontId="2" fillId="3" borderId="13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left" vertical="center" wrapText="1"/>
    </xf>
    <xf numFmtId="166" fontId="2" fillId="3" borderId="8" xfId="0" applyNumberFormat="1" applyFont="1" applyFill="1" applyBorder="1" applyAlignment="1">
      <alignment horizontal="center"/>
    </xf>
    <xf numFmtId="166" fontId="2" fillId="3" borderId="22" xfId="0" applyNumberFormat="1" applyFont="1" applyFill="1" applyBorder="1" applyAlignment="1">
      <alignment horizontal="center" vertical="center" wrapText="1"/>
    </xf>
    <xf numFmtId="166" fontId="2" fillId="3" borderId="11" xfId="0" applyNumberFormat="1" applyFont="1" applyFill="1" applyBorder="1" applyAlignment="1">
      <alignment horizontal="center" vertical="center" wrapText="1"/>
    </xf>
    <xf numFmtId="166" fontId="3" fillId="3" borderId="2" xfId="0" applyNumberFormat="1" applyFont="1" applyFill="1" applyBorder="1" applyAlignment="1">
      <alignment horizontal="center"/>
    </xf>
    <xf numFmtId="166" fontId="2" fillId="3" borderId="23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center" vertical="center" wrapText="1"/>
    </xf>
    <xf numFmtId="166" fontId="7" fillId="8" borderId="1" xfId="0" applyNumberFormat="1" applyFont="1" applyFill="1" applyBorder="1" applyAlignment="1">
      <alignment horizontal="left" vertical="center" wrapText="1"/>
    </xf>
    <xf numFmtId="166" fontId="7" fillId="8" borderId="1" xfId="0" applyNumberFormat="1" applyFont="1" applyFill="1" applyBorder="1" applyAlignment="1">
      <alignment horizontal="center"/>
    </xf>
    <xf numFmtId="166" fontId="7" fillId="8" borderId="3" xfId="0" applyNumberFormat="1" applyFont="1" applyFill="1" applyBorder="1" applyAlignment="1">
      <alignment horizontal="center"/>
    </xf>
    <xf numFmtId="166" fontId="7" fillId="8" borderId="0" xfId="0" applyNumberFormat="1" applyFont="1" applyFill="1" applyBorder="1" applyAlignment="1">
      <alignment horizontal="center"/>
    </xf>
    <xf numFmtId="166" fontId="7" fillId="8" borderId="0" xfId="0" applyNumberFormat="1" applyFont="1" applyFill="1" applyAlignment="1">
      <alignment horizontal="center"/>
    </xf>
    <xf numFmtId="166" fontId="7" fillId="8" borderId="39" xfId="0" applyNumberFormat="1" applyFont="1" applyFill="1" applyBorder="1" applyAlignment="1">
      <alignment horizontal="center"/>
    </xf>
    <xf numFmtId="166" fontId="7" fillId="8" borderId="40" xfId="0" applyNumberFormat="1" applyFont="1" applyFill="1" applyBorder="1" applyAlignment="1">
      <alignment horizontal="center"/>
    </xf>
    <xf numFmtId="166" fontId="7" fillId="8" borderId="2" xfId="0" applyNumberFormat="1" applyFont="1" applyFill="1" applyBorder="1" applyAlignment="1">
      <alignment horizontal="center"/>
    </xf>
    <xf numFmtId="166" fontId="0" fillId="4" borderId="39" xfId="0" applyNumberFormat="1" applyFont="1" applyFill="1" applyBorder="1" applyAlignment="1">
      <alignment horizontal="center"/>
    </xf>
    <xf numFmtId="166" fontId="0" fillId="4" borderId="40" xfId="0" applyNumberFormat="1" applyFont="1" applyFill="1" applyBorder="1" applyAlignment="1">
      <alignment horizontal="center"/>
    </xf>
    <xf numFmtId="166" fontId="3" fillId="3" borderId="1" xfId="0" applyNumberFormat="1" applyFont="1" applyFill="1" applyBorder="1" applyAlignment="1">
      <alignment horizontal="center" vertical="center" wrapText="1"/>
    </xf>
    <xf numFmtId="166" fontId="3" fillId="3" borderId="3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166" fontId="0" fillId="3" borderId="7" xfId="0" applyNumberFormat="1" applyFont="1" applyFill="1" applyBorder="1" applyAlignment="1">
      <alignment horizontal="center"/>
    </xf>
    <xf numFmtId="166" fontId="0" fillId="4" borderId="1" xfId="0" applyNumberFormat="1" applyFont="1" applyFill="1" applyBorder="1" applyAlignment="1">
      <alignment horizontal="center"/>
    </xf>
    <xf numFmtId="166" fontId="0" fillId="3" borderId="17" xfId="0" applyNumberFormat="1" applyFont="1" applyFill="1" applyBorder="1" applyAlignment="1">
      <alignment horizontal="center"/>
    </xf>
    <xf numFmtId="166" fontId="0" fillId="3" borderId="39" xfId="0" applyNumberFormat="1" applyFont="1" applyFill="1" applyBorder="1" applyAlignment="1">
      <alignment horizontal="center"/>
    </xf>
    <xf numFmtId="166" fontId="0" fillId="3" borderId="40" xfId="0" applyNumberFormat="1" applyFont="1" applyFill="1" applyBorder="1" applyAlignment="1">
      <alignment horizontal="center"/>
    </xf>
    <xf numFmtId="166" fontId="7" fillId="3" borderId="1" xfId="0" applyNumberFormat="1" applyFont="1" applyFill="1" applyBorder="1" applyAlignment="1">
      <alignment horizontal="left" vertical="center" wrapText="1"/>
    </xf>
    <xf numFmtId="166" fontId="5" fillId="3" borderId="0" xfId="0" applyNumberFormat="1" applyFont="1" applyFill="1" applyBorder="1" applyAlignment="1">
      <alignment horizontal="center" vertical="center"/>
    </xf>
    <xf numFmtId="166" fontId="5" fillId="3" borderId="0" xfId="0" applyNumberFormat="1" applyFont="1" applyFill="1" applyAlignment="1">
      <alignment horizontal="center" vertical="center"/>
    </xf>
    <xf numFmtId="166" fontId="5" fillId="3" borderId="17" xfId="0" applyNumberFormat="1" applyFont="1" applyFill="1" applyBorder="1" applyAlignment="1">
      <alignment horizontal="center" vertical="center"/>
    </xf>
    <xf numFmtId="166" fontId="5" fillId="3" borderId="39" xfId="0" applyNumberFormat="1" applyFont="1" applyFill="1" applyBorder="1" applyAlignment="1">
      <alignment horizontal="center" vertical="center"/>
    </xf>
    <xf numFmtId="166" fontId="5" fillId="3" borderId="40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/>
    </xf>
    <xf numFmtId="166" fontId="0" fillId="3" borderId="8" xfId="0" applyNumberFormat="1" applyFont="1" applyFill="1" applyBorder="1" applyAlignment="1">
      <alignment horizontal="center"/>
    </xf>
    <xf numFmtId="166" fontId="2" fillId="0" borderId="1" xfId="0" applyNumberFormat="1" applyFont="1" applyBorder="1" applyAlignment="1">
      <alignment horizontal="left" vertical="center" wrapText="1"/>
    </xf>
    <xf numFmtId="166" fontId="4" fillId="3" borderId="19" xfId="0" applyNumberFormat="1" applyFont="1" applyFill="1" applyBorder="1" applyAlignment="1">
      <alignment horizontal="center" vertical="center" wrapText="1"/>
    </xf>
    <xf numFmtId="166" fontId="4" fillId="3" borderId="3" xfId="0" applyNumberFormat="1" applyFont="1" applyFill="1" applyBorder="1" applyAlignment="1">
      <alignment horizontal="center" vertical="center" wrapText="1"/>
    </xf>
    <xf numFmtId="166" fontId="2" fillId="3" borderId="0" xfId="0" applyNumberFormat="1" applyFont="1" applyFill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164" fontId="2" fillId="3" borderId="1" xfId="1" applyNumberFormat="1" applyFont="1" applyFill="1" applyBorder="1" applyAlignment="1">
      <alignment horizontal="left" vertical="center" wrapText="1"/>
    </xf>
    <xf numFmtId="164" fontId="2" fillId="3" borderId="1" xfId="1" applyNumberFormat="1" applyFont="1" applyFill="1" applyBorder="1"/>
    <xf numFmtId="166" fontId="2" fillId="3" borderId="1" xfId="1" applyNumberFormat="1" applyFont="1" applyFill="1" applyBorder="1" applyAlignment="1">
      <alignment horizontal="center" vertical="center"/>
    </xf>
    <xf numFmtId="166" fontId="2" fillId="3" borderId="1" xfId="1" applyNumberFormat="1" applyFont="1" applyFill="1" applyBorder="1"/>
    <xf numFmtId="164" fontId="3" fillId="3" borderId="1" xfId="0" applyNumberFormat="1" applyFont="1" applyFill="1" applyBorder="1" applyAlignment="1">
      <alignment horizontal="right" vertical="center" wrapText="1"/>
    </xf>
    <xf numFmtId="166" fontId="41" fillId="3" borderId="19" xfId="3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66" fontId="2" fillId="3" borderId="0" xfId="0" applyNumberFormat="1" applyFont="1" applyFill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10" fontId="2" fillId="9" borderId="2" xfId="0" applyNumberFormat="1" applyFont="1" applyFill="1" applyBorder="1" applyAlignment="1">
      <alignment horizontal="center" vertical="center"/>
    </xf>
    <xf numFmtId="169" fontId="2" fillId="9" borderId="2" xfId="0" applyNumberFormat="1" applyFont="1" applyFill="1" applyBorder="1" applyAlignment="1">
      <alignment horizontal="center" vertical="center"/>
    </xf>
    <xf numFmtId="165" fontId="2" fillId="9" borderId="2" xfId="0" applyNumberFormat="1" applyFont="1" applyFill="1" applyBorder="1" applyAlignment="1">
      <alignment horizontal="center" vertical="center"/>
    </xf>
    <xf numFmtId="168" fontId="2" fillId="3" borderId="2" xfId="0" applyNumberFormat="1" applyFont="1" applyFill="1" applyBorder="1" applyAlignment="1">
      <alignment horizontal="center" vertical="center"/>
    </xf>
    <xf numFmtId="10" fontId="2" fillId="10" borderId="2" xfId="0" applyNumberFormat="1" applyFont="1" applyFill="1" applyBorder="1" applyAlignment="1">
      <alignment horizontal="center" vertical="center"/>
    </xf>
    <xf numFmtId="165" fontId="2" fillId="1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66" fontId="0" fillId="0" borderId="1" xfId="0" applyNumberFormat="1" applyFont="1" applyBorder="1" applyAlignment="1">
      <alignment horizontal="left" vertical="center" wrapText="1"/>
    </xf>
    <xf numFmtId="165" fontId="0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>
      <alignment horizontal="center" vertical="center" wrapText="1"/>
    </xf>
    <xf numFmtId="166" fontId="9" fillId="2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165" fontId="27" fillId="2" borderId="34" xfId="0" applyNumberFormat="1" applyFont="1" applyFill="1" applyBorder="1" applyAlignment="1">
      <alignment horizontal="center" vertical="center" textRotation="90" wrapText="1"/>
    </xf>
    <xf numFmtId="165" fontId="27" fillId="2" borderId="22" xfId="0" applyNumberFormat="1" applyFont="1" applyFill="1" applyBorder="1" applyAlignment="1">
      <alignment horizontal="center" vertical="center" textRotation="90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165" fontId="3" fillId="4" borderId="41" xfId="0" applyNumberFormat="1" applyFont="1" applyFill="1" applyBorder="1" applyAlignment="1">
      <alignment horizontal="center" vertical="center" wrapText="1"/>
    </xf>
    <xf numFmtId="165" fontId="3" fillId="4" borderId="4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6" fontId="7" fillId="2" borderId="8" xfId="0" applyNumberFormat="1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165" fontId="40" fillId="3" borderId="7" xfId="0" applyNumberFormat="1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165" fontId="9" fillId="3" borderId="30" xfId="0" applyNumberFormat="1" applyFont="1" applyFill="1" applyBorder="1" applyAlignment="1">
      <alignment horizontal="center" vertical="center" wrapText="1"/>
    </xf>
    <xf numFmtId="165" fontId="9" fillId="3" borderId="31" xfId="0" applyNumberFormat="1" applyFont="1" applyFill="1" applyBorder="1" applyAlignment="1">
      <alignment horizontal="center" vertical="center" wrapText="1"/>
    </xf>
    <xf numFmtId="165" fontId="9" fillId="3" borderId="32" xfId="0" applyNumberFormat="1" applyFont="1" applyFill="1" applyBorder="1" applyAlignment="1">
      <alignment horizontal="center" vertical="center" wrapText="1"/>
    </xf>
    <xf numFmtId="165" fontId="9" fillId="3" borderId="33" xfId="0" applyNumberFormat="1" applyFont="1" applyFill="1" applyBorder="1" applyAlignment="1">
      <alignment horizontal="center" vertical="center" wrapText="1"/>
    </xf>
    <xf numFmtId="165" fontId="9" fillId="4" borderId="25" xfId="0" applyNumberFormat="1" applyFont="1" applyFill="1" applyBorder="1" applyAlignment="1">
      <alignment horizontal="center" vertical="center" wrapText="1"/>
    </xf>
    <xf numFmtId="165" fontId="9" fillId="4" borderId="26" xfId="0" applyNumberFormat="1" applyFont="1" applyFill="1" applyBorder="1" applyAlignment="1">
      <alignment horizontal="center" vertical="center" wrapText="1"/>
    </xf>
    <xf numFmtId="165" fontId="9" fillId="4" borderId="27" xfId="0" applyNumberFormat="1" applyFont="1" applyFill="1" applyBorder="1" applyAlignment="1">
      <alignment horizontal="center" vertical="center" wrapText="1"/>
    </xf>
    <xf numFmtId="165" fontId="9" fillId="4" borderId="28" xfId="0" applyNumberFormat="1" applyFont="1" applyFill="1" applyBorder="1" applyAlignment="1">
      <alignment horizontal="center" vertical="center" wrapText="1"/>
    </xf>
    <xf numFmtId="165" fontId="9" fillId="3" borderId="29" xfId="0" applyNumberFormat="1" applyFont="1" applyFill="1" applyBorder="1" applyAlignment="1">
      <alignment horizontal="center" vertical="center" wrapText="1"/>
    </xf>
    <xf numFmtId="165" fontId="9" fillId="3" borderId="26" xfId="0" applyNumberFormat="1" applyFont="1" applyFill="1" applyBorder="1" applyAlignment="1">
      <alignment horizontal="center" vertical="center" wrapText="1"/>
    </xf>
    <xf numFmtId="165" fontId="9" fillId="3" borderId="27" xfId="0" applyNumberFormat="1" applyFont="1" applyFill="1" applyBorder="1" applyAlignment="1">
      <alignment horizontal="center" vertical="center" wrapText="1"/>
    </xf>
    <xf numFmtId="165" fontId="9" fillId="3" borderId="28" xfId="0" applyNumberFormat="1" applyFont="1" applyFill="1" applyBorder="1" applyAlignment="1">
      <alignment horizontal="center" vertical="center" wrapText="1"/>
    </xf>
    <xf numFmtId="165" fontId="16" fillId="3" borderId="35" xfId="0" applyNumberFormat="1" applyFont="1" applyFill="1" applyBorder="1" applyAlignment="1">
      <alignment horizontal="center" vertical="center" wrapText="1"/>
    </xf>
    <xf numFmtId="165" fontId="16" fillId="3" borderId="6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5" fontId="14" fillId="2" borderId="7" xfId="0" applyNumberFormat="1" applyFont="1" applyFill="1" applyBorder="1" applyAlignment="1">
      <alignment horizontal="center" vertical="center" textRotation="90" wrapText="1"/>
    </xf>
    <xf numFmtId="165" fontId="14" fillId="2" borderId="8" xfId="0" applyNumberFormat="1" applyFont="1" applyFill="1" applyBorder="1" applyAlignment="1">
      <alignment horizontal="center" vertical="center" textRotation="90" wrapText="1"/>
    </xf>
    <xf numFmtId="165" fontId="24" fillId="2" borderId="7" xfId="0" applyNumberFormat="1" applyFont="1" applyFill="1" applyBorder="1" applyAlignment="1">
      <alignment horizontal="center" vertical="center" textRotation="90" wrapText="1"/>
    </xf>
    <xf numFmtId="165" fontId="24" fillId="2" borderId="8" xfId="0" applyNumberFormat="1" applyFont="1" applyFill="1" applyBorder="1" applyAlignment="1">
      <alignment horizontal="center" vertical="center" textRotation="90" wrapText="1"/>
    </xf>
    <xf numFmtId="165" fontId="28" fillId="2" borderId="7" xfId="0" applyNumberFormat="1" applyFont="1" applyFill="1" applyBorder="1" applyAlignment="1">
      <alignment horizontal="center" vertical="center" textRotation="90" wrapText="1"/>
    </xf>
    <xf numFmtId="165" fontId="28" fillId="2" borderId="8" xfId="0" applyNumberFormat="1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19" fillId="3" borderId="1" xfId="1" applyFont="1" applyFill="1" applyBorder="1" applyAlignment="1">
      <alignment horizontal="left" wrapText="1"/>
    </xf>
    <xf numFmtId="0" fontId="3" fillId="3" borderId="1" xfId="0" applyFont="1" applyFill="1" applyBorder="1" applyAlignment="1"/>
    <xf numFmtId="0" fontId="0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0" fillId="10" borderId="2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39" xfId="0" applyFont="1" applyFill="1" applyBorder="1" applyAlignment="1">
      <alignment horizontal="center" vertical="justify" wrapText="1"/>
    </xf>
    <xf numFmtId="0" fontId="0" fillId="9" borderId="0" xfId="0" applyFill="1" applyBorder="1" applyAlignment="1">
      <alignment horizontal="center" vertical="justify" wrapText="1"/>
    </xf>
    <xf numFmtId="0" fontId="0" fillId="9" borderId="0" xfId="0" applyFill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164" fontId="7" fillId="10" borderId="7" xfId="0" applyNumberFormat="1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5">
    <cellStyle name="TableStyleLight1" xfId="4"/>
    <cellStyle name="Гиперссылка" xfId="3" builtinId="8"/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Q627"/>
  <sheetViews>
    <sheetView tabSelected="1" zoomScale="79" zoomScaleNormal="79" workbookViewId="0">
      <pane xSplit="14" ySplit="5" topLeftCell="BQ6" activePane="bottomRight" state="frozen"/>
      <selection activeCell="A2" sqref="A2"/>
      <selection pane="topRight" activeCell="H2" sqref="H2"/>
      <selection pane="bottomLeft" activeCell="A6" sqref="A6"/>
      <selection pane="bottomRight" activeCell="DW16" sqref="DW16"/>
    </sheetView>
  </sheetViews>
  <sheetFormatPr defaultColWidth="9.140625" defaultRowHeight="18.75" x14ac:dyDescent="0.3"/>
  <cols>
    <col min="1" max="1" width="7.42578125" style="37" hidden="1" customWidth="1"/>
    <col min="2" max="2" width="3.5703125" style="29" hidden="1" customWidth="1"/>
    <col min="3" max="3" width="3.85546875" style="30" hidden="1" customWidth="1"/>
    <col min="4" max="4" width="7.85546875" style="30" hidden="1" customWidth="1"/>
    <col min="5" max="8" width="4.5703125" style="37" hidden="1" customWidth="1"/>
    <col min="9" max="9" width="5.140625" style="37" hidden="1" customWidth="1"/>
    <col min="10" max="10" width="4.42578125" style="37" hidden="1" customWidth="1"/>
    <col min="11" max="11" width="9.140625" style="37" hidden="1" customWidth="1"/>
    <col min="12" max="12" width="8.140625" style="37" hidden="1" customWidth="1"/>
    <col min="13" max="13" width="4.5703125" style="37" customWidth="1"/>
    <col min="14" max="14" width="29" style="15" customWidth="1"/>
    <col min="15" max="15" width="1" style="15" hidden="1" customWidth="1"/>
    <col min="16" max="16" width="15.5703125" style="15" hidden="1" customWidth="1"/>
    <col min="17" max="18" width="3.28515625" style="15" hidden="1" customWidth="1"/>
    <col min="19" max="19" width="3.7109375" style="15" hidden="1" customWidth="1"/>
    <col min="20" max="20" width="4" style="15" hidden="1" customWidth="1"/>
    <col min="21" max="21" width="5.42578125" style="15" hidden="1" customWidth="1"/>
    <col min="22" max="22" width="4.28515625" style="15" hidden="1" customWidth="1"/>
    <col min="23" max="23" width="20.85546875" style="17" customWidth="1"/>
    <col min="24" max="24" width="20.42578125" style="17" customWidth="1"/>
    <col min="25" max="25" width="18.85546875" style="21" customWidth="1"/>
    <col min="26" max="26" width="17" style="21" customWidth="1"/>
    <col min="27" max="27" width="12.140625" style="21" hidden="1" customWidth="1"/>
    <col min="28" max="28" width="17.85546875" style="17" hidden="1" customWidth="1"/>
    <col min="29" max="29" width="15.42578125" style="17" hidden="1" customWidth="1"/>
    <col min="30" max="30" width="15.5703125" style="21" hidden="1" customWidth="1"/>
    <col min="31" max="31" width="14.42578125" style="21" hidden="1" customWidth="1"/>
    <col min="32" max="32" width="12.140625" style="21" hidden="1" customWidth="1"/>
    <col min="33" max="33" width="17.85546875" style="17" hidden="1" customWidth="1"/>
    <col min="34" max="34" width="15.42578125" style="17" hidden="1" customWidth="1"/>
    <col min="35" max="35" width="15.5703125" style="21" hidden="1" customWidth="1"/>
    <col min="36" max="36" width="14.42578125" style="21" hidden="1" customWidth="1"/>
    <col min="37" max="37" width="11.42578125" style="21" hidden="1" customWidth="1"/>
    <col min="38" max="38" width="14" style="17" hidden="1" customWidth="1"/>
    <col min="39" max="39" width="15.42578125" style="17" hidden="1" customWidth="1"/>
    <col min="40" max="40" width="15.5703125" style="21" hidden="1" customWidth="1"/>
    <col min="41" max="41" width="14.42578125" style="21" hidden="1" customWidth="1"/>
    <col min="42" max="42" width="11.42578125" style="21" hidden="1" customWidth="1"/>
    <col min="43" max="43" width="22" style="58" hidden="1" customWidth="1"/>
    <col min="44" max="44" width="21.140625" style="16" customWidth="1"/>
    <col min="45" max="45" width="16" style="45" customWidth="1"/>
    <col min="46" max="46" width="19.28515625" style="45" customWidth="1"/>
    <col min="47" max="47" width="21.85546875" style="45" customWidth="1"/>
    <col min="48" max="48" width="9.28515625" style="45" hidden="1" customWidth="1"/>
    <col min="49" max="49" width="15.85546875" style="45" hidden="1" customWidth="1"/>
    <col min="50" max="50" width="14.85546875" style="45" hidden="1" customWidth="1"/>
    <col min="51" max="52" width="14" style="45" hidden="1" customWidth="1"/>
    <col min="53" max="53" width="9.85546875" style="45" hidden="1" customWidth="1"/>
    <col min="54" max="54" width="16.42578125" style="45" hidden="1" customWidth="1"/>
    <col min="55" max="55" width="14.28515625" style="45" hidden="1" customWidth="1"/>
    <col min="56" max="56" width="16" style="45" hidden="1" customWidth="1"/>
    <col min="57" max="57" width="14.85546875" style="45" hidden="1" customWidth="1"/>
    <col min="58" max="58" width="13.7109375" style="45" hidden="1" customWidth="1"/>
    <col min="59" max="59" width="13.5703125" style="16" hidden="1" customWidth="1"/>
    <col min="60" max="60" width="2.7109375" style="86" hidden="1" customWidth="1"/>
    <col min="61" max="61" width="13.5703125" style="16" hidden="1" customWidth="1"/>
    <col min="62" max="62" width="13.85546875" style="16" hidden="1" customWidth="1"/>
    <col min="63" max="63" width="14.140625" style="16" hidden="1" customWidth="1"/>
    <col min="64" max="64" width="18.5703125" style="101" customWidth="1"/>
    <col min="65" max="65" width="18" style="101" customWidth="1"/>
    <col min="66" max="66" width="26.5703125" style="101" customWidth="1"/>
    <col min="67" max="67" width="28" style="101" customWidth="1"/>
    <col min="68" max="68" width="11.28515625" style="101" hidden="1" customWidth="1"/>
    <col min="69" max="69" width="20" style="16" customWidth="1"/>
    <col min="70" max="70" width="20.5703125" style="16" customWidth="1"/>
    <col min="71" max="71" width="18.42578125" style="16" customWidth="1"/>
    <col min="72" max="72" width="18.140625" style="16" customWidth="1"/>
    <col min="73" max="73" width="14.140625" style="16" hidden="1" customWidth="1"/>
    <col min="74" max="74" width="17.7109375" style="16" customWidth="1"/>
    <col min="75" max="75" width="18.5703125" style="16" customWidth="1"/>
    <col min="76" max="76" width="15.140625" style="16" customWidth="1"/>
    <col min="77" max="77" width="18.7109375" style="16" customWidth="1"/>
    <col min="78" max="78" width="11" style="16" hidden="1" customWidth="1"/>
    <col min="79" max="79" width="15.7109375" style="16" hidden="1" customWidth="1"/>
    <col min="80" max="80" width="16.42578125" style="16" hidden="1" customWidth="1"/>
    <col min="81" max="81" width="15.5703125" style="16" hidden="1" customWidth="1"/>
    <col min="82" max="82" width="16.28515625" style="16" hidden="1" customWidth="1"/>
    <col min="83" max="83" width="15.42578125" style="16" hidden="1" customWidth="1"/>
    <col min="84" max="84" width="9.42578125" style="16" hidden="1" customWidth="1"/>
    <col min="85" max="85" width="15" style="16" hidden="1" customWidth="1"/>
    <col min="86" max="86" width="16.42578125" style="16" hidden="1" customWidth="1"/>
    <col min="87" max="87" width="16.7109375" style="16" hidden="1" customWidth="1"/>
    <col min="88" max="88" width="16.28515625" style="16" hidden="1" customWidth="1"/>
    <col min="89" max="89" width="11.42578125" style="16" hidden="1" customWidth="1"/>
    <col min="90" max="90" width="0.42578125" style="20" hidden="1" customWidth="1"/>
    <col min="91" max="91" width="16" style="16" hidden="1" customWidth="1"/>
    <col min="92" max="92" width="18.140625" style="16" hidden="1" customWidth="1"/>
    <col min="93" max="93" width="14.7109375" style="16" hidden="1" customWidth="1"/>
    <col min="94" max="94" width="15" style="37" hidden="1" customWidth="1"/>
    <col min="95" max="95" width="14.28515625" style="37" hidden="1" customWidth="1"/>
    <col min="96" max="96" width="15" style="17" hidden="1" customWidth="1"/>
    <col min="97" max="97" width="13.85546875" style="37" hidden="1" customWidth="1"/>
    <col min="98" max="98" width="14" style="16" hidden="1" customWidth="1"/>
    <col min="99" max="99" width="16.28515625" style="16" hidden="1" customWidth="1"/>
    <col min="100" max="100" width="15.140625" style="16" hidden="1" customWidth="1"/>
    <col min="101" max="101" width="14.85546875" style="16" hidden="1" customWidth="1"/>
    <col min="102" max="102" width="16.42578125" style="16" hidden="1" customWidth="1"/>
    <col min="103" max="103" width="14.28515625" style="37" hidden="1" customWidth="1"/>
    <col min="104" max="104" width="14.5703125" style="37" hidden="1" customWidth="1"/>
    <col min="105" max="105" width="15.42578125" style="37" hidden="1" customWidth="1"/>
    <col min="106" max="106" width="15" style="37" hidden="1" customWidth="1"/>
    <col min="107" max="107" width="9.28515625" style="37" hidden="1" customWidth="1"/>
    <col min="108" max="108" width="12.42578125" style="37" hidden="1" customWidth="1"/>
    <col min="109" max="109" width="12.85546875" style="37" hidden="1" customWidth="1"/>
    <col min="110" max="110" width="10.5703125" style="17" hidden="1" customWidth="1"/>
    <col min="111" max="111" width="15.42578125" style="16" hidden="1" customWidth="1"/>
    <col min="112" max="112" width="1.42578125" style="37" hidden="1" customWidth="1"/>
    <col min="113" max="113" width="15.28515625" style="16" hidden="1" customWidth="1"/>
    <col min="114" max="114" width="14.7109375" style="16" hidden="1" customWidth="1"/>
    <col min="115" max="115" width="1.5703125" style="37" hidden="1" customWidth="1"/>
    <col min="116" max="116" width="15.28515625" style="16" hidden="1" customWidth="1"/>
    <col min="117" max="117" width="15.42578125" style="16" hidden="1" customWidth="1"/>
    <col min="118" max="118" width="1.5703125" style="37" hidden="1" customWidth="1"/>
    <col min="119" max="119" width="18.140625" style="16" hidden="1" customWidth="1"/>
    <col min="120" max="120" width="22.140625" style="37" hidden="1" customWidth="1"/>
    <col min="121" max="121" width="7.140625" style="37" hidden="1" customWidth="1"/>
    <col min="122" max="122" width="20.5703125" style="45" customWidth="1"/>
    <col min="123" max="125" width="16" style="45" customWidth="1"/>
    <col min="126" max="126" width="16" style="45" hidden="1" customWidth="1"/>
    <col min="127" max="130" width="16" style="45" customWidth="1"/>
    <col min="131" max="131" width="16" style="45" hidden="1" customWidth="1"/>
    <col min="132" max="132" width="16" style="315" hidden="1" customWidth="1"/>
    <col min="133" max="133" width="15.85546875" style="315" hidden="1" customWidth="1"/>
    <col min="134" max="134" width="13.28515625" style="315" hidden="1" customWidth="1"/>
    <col min="135" max="135" width="15.28515625" style="315" hidden="1" customWidth="1"/>
    <col min="136" max="136" width="13.7109375" style="315" hidden="1" customWidth="1"/>
    <col min="137" max="137" width="14.28515625" style="315" hidden="1" customWidth="1"/>
    <col min="138" max="138" width="15" style="315" hidden="1" customWidth="1"/>
    <col min="139" max="139" width="13.28515625" style="315" hidden="1" customWidth="1"/>
    <col min="140" max="140" width="12.7109375" style="315" hidden="1" customWidth="1"/>
    <col min="141" max="141" width="16.7109375" style="315" hidden="1" customWidth="1"/>
    <col min="142" max="142" width="12.28515625" style="315" hidden="1" customWidth="1"/>
    <col min="143" max="143" width="18.42578125" style="315" hidden="1" customWidth="1"/>
    <col min="144" max="144" width="19.7109375" style="315" hidden="1" customWidth="1"/>
    <col min="145" max="145" width="12.28515625" style="45" hidden="1" customWidth="1"/>
    <col min="146" max="146" width="16" style="352" hidden="1" customWidth="1"/>
    <col min="147" max="147" width="17.7109375" style="352" hidden="1" customWidth="1"/>
    <col min="148" max="148" width="14.7109375" style="352" hidden="1" customWidth="1"/>
    <col min="149" max="149" width="9.28515625" style="352" hidden="1" customWidth="1"/>
    <col min="150" max="150" width="12.42578125" style="352" hidden="1" customWidth="1"/>
    <col min="151" max="151" width="14.28515625" style="352" hidden="1" customWidth="1"/>
    <col min="152" max="152" width="15" style="352" hidden="1" customWidth="1"/>
    <col min="153" max="153" width="13.28515625" style="352" hidden="1" customWidth="1"/>
    <col min="154" max="154" width="12.28515625" style="352" hidden="1" customWidth="1"/>
    <col min="155" max="155" width="12.140625" style="352" hidden="1" customWidth="1"/>
    <col min="156" max="156" width="13.28515625" style="352" hidden="1" customWidth="1"/>
    <col min="157" max="158" width="14.7109375" style="352" hidden="1" customWidth="1"/>
    <col min="159" max="159" width="16" style="315" hidden="1" customWidth="1"/>
    <col min="160" max="160" width="17" style="315" hidden="1" customWidth="1"/>
    <col min="161" max="161" width="13.28515625" style="315" hidden="1" customWidth="1"/>
    <col min="162" max="162" width="9.28515625" style="315" hidden="1" customWidth="1"/>
    <col min="163" max="163" width="13.28515625" style="315" hidden="1" customWidth="1"/>
    <col min="164" max="164" width="14.28515625" style="315" hidden="1" customWidth="1"/>
    <col min="165" max="165" width="15" style="315" hidden="1" customWidth="1"/>
    <col min="166" max="166" width="13.28515625" style="315" hidden="1" customWidth="1"/>
    <col min="167" max="169" width="12.28515625" style="315" hidden="1" customWidth="1"/>
    <col min="170" max="170" width="14.7109375" style="315" hidden="1" customWidth="1"/>
    <col min="171" max="171" width="16.7109375" style="315" hidden="1" customWidth="1"/>
    <col min="172" max="172" width="0" style="37" hidden="1" customWidth="1"/>
    <col min="173" max="16384" width="9.140625" style="37"/>
  </cols>
  <sheetData>
    <row r="1" spans="2:173" ht="33" customHeight="1" thickBot="1" x14ac:dyDescent="0.25">
      <c r="B1" s="38"/>
      <c r="E1" s="73" t="s">
        <v>297</v>
      </c>
      <c r="F1" s="73"/>
      <c r="G1" s="73"/>
      <c r="H1" s="73"/>
      <c r="I1" s="73"/>
      <c r="J1" s="73"/>
      <c r="K1" s="73"/>
      <c r="L1" s="73"/>
      <c r="M1" s="585" t="s">
        <v>575</v>
      </c>
      <c r="N1" s="585"/>
      <c r="O1" s="585"/>
      <c r="P1" s="585"/>
      <c r="Q1" s="585"/>
      <c r="R1" s="585"/>
      <c r="S1" s="585"/>
      <c r="T1" s="585"/>
      <c r="U1" s="585"/>
      <c r="V1" s="585"/>
      <c r="W1" s="585"/>
      <c r="X1" s="585"/>
      <c r="Y1" s="585"/>
      <c r="Z1" s="585"/>
      <c r="AA1" s="585"/>
      <c r="AB1" s="585"/>
      <c r="AC1" s="585"/>
      <c r="AD1" s="585"/>
      <c r="AE1" s="585"/>
      <c r="AF1" s="585"/>
      <c r="AG1" s="585"/>
      <c r="AH1" s="585"/>
      <c r="AI1" s="585"/>
      <c r="AJ1" s="585"/>
      <c r="AK1" s="585"/>
      <c r="AL1" s="585"/>
      <c r="AM1" s="585"/>
      <c r="AN1" s="585"/>
      <c r="AO1" s="585"/>
      <c r="AP1" s="585"/>
      <c r="AQ1" s="585"/>
      <c r="AR1" s="585"/>
      <c r="AS1" s="585"/>
      <c r="AT1" s="585"/>
      <c r="AU1" s="585"/>
      <c r="AV1" s="585"/>
      <c r="AW1" s="585"/>
      <c r="AX1" s="585"/>
      <c r="AY1" s="585"/>
      <c r="AZ1" s="585"/>
      <c r="BA1" s="585"/>
      <c r="BB1" s="585"/>
      <c r="BC1" s="585"/>
      <c r="BD1" s="585"/>
      <c r="BE1" s="585"/>
      <c r="BF1" s="585"/>
      <c r="BG1" s="585"/>
      <c r="BH1" s="585"/>
      <c r="BI1" s="585"/>
      <c r="BJ1" s="585"/>
      <c r="BK1" s="585"/>
      <c r="BL1" s="585"/>
      <c r="BM1" s="585"/>
      <c r="BN1" s="585"/>
      <c r="BO1" s="585"/>
      <c r="BP1" s="585"/>
      <c r="BQ1" s="585"/>
      <c r="BR1" s="585"/>
      <c r="BS1" s="585"/>
      <c r="BT1" s="585"/>
      <c r="BU1" s="585"/>
      <c r="BV1" s="585"/>
      <c r="BW1" s="585"/>
      <c r="BX1" s="585"/>
      <c r="BY1" s="585"/>
      <c r="BZ1" s="585"/>
      <c r="CA1" s="585"/>
      <c r="CB1" s="585"/>
      <c r="CC1" s="585"/>
      <c r="CD1" s="585"/>
      <c r="CE1" s="585"/>
      <c r="CF1" s="585"/>
      <c r="CG1" s="585"/>
      <c r="CH1" s="585"/>
      <c r="CI1" s="585"/>
      <c r="CJ1" s="585"/>
      <c r="CK1" s="585"/>
      <c r="CL1" s="585"/>
      <c r="CM1" s="585"/>
      <c r="CN1" s="585"/>
      <c r="CO1" s="585"/>
      <c r="CP1" s="585"/>
      <c r="CQ1" s="585"/>
      <c r="CR1" s="585"/>
      <c r="CS1" s="585"/>
      <c r="CT1" s="585"/>
      <c r="CU1" s="585"/>
      <c r="CV1" s="585"/>
      <c r="CW1" s="585"/>
      <c r="CX1" s="585"/>
      <c r="CY1" s="585"/>
      <c r="CZ1" s="585"/>
      <c r="DA1" s="585"/>
      <c r="DB1" s="585"/>
      <c r="DC1" s="585"/>
      <c r="DD1" s="585"/>
      <c r="DE1" s="585"/>
      <c r="DF1" s="585"/>
      <c r="DG1" s="585"/>
      <c r="DH1" s="585"/>
      <c r="DI1" s="585"/>
      <c r="DJ1" s="585"/>
      <c r="DK1" s="585"/>
      <c r="DL1" s="585"/>
      <c r="DM1" s="585"/>
      <c r="DN1" s="585"/>
      <c r="DO1" s="585"/>
      <c r="DP1" s="585"/>
      <c r="DQ1" s="585"/>
      <c r="DR1" s="585"/>
      <c r="DS1" s="585"/>
      <c r="DT1" s="585"/>
      <c r="DU1" s="585"/>
      <c r="DV1" s="585"/>
      <c r="DW1" s="585"/>
      <c r="DX1" s="585"/>
      <c r="DY1" s="585"/>
      <c r="DZ1" s="585"/>
      <c r="EA1" s="90"/>
      <c r="EB1" s="685" t="s">
        <v>355</v>
      </c>
      <c r="EC1" s="686"/>
      <c r="ED1" s="686"/>
      <c r="EE1" s="686"/>
      <c r="EF1" s="687"/>
      <c r="EG1" s="687"/>
      <c r="EH1" s="687"/>
      <c r="EI1" s="687"/>
      <c r="EJ1" s="687"/>
      <c r="EK1" s="687"/>
      <c r="EL1" s="687"/>
      <c r="EM1" s="688"/>
      <c r="EN1" s="688"/>
      <c r="EO1" s="688"/>
      <c r="EP1" s="688"/>
      <c r="EQ1" s="688"/>
      <c r="ER1" s="688"/>
      <c r="ES1" s="688"/>
      <c r="ET1" s="688"/>
      <c r="EU1" s="688"/>
      <c r="EV1" s="688"/>
      <c r="EW1" s="688"/>
      <c r="EX1" s="688"/>
      <c r="EY1" s="688"/>
      <c r="EZ1" s="688"/>
      <c r="FA1" s="688"/>
      <c r="FB1" s="688"/>
      <c r="FC1" s="688"/>
      <c r="FD1" s="688"/>
      <c r="FE1" s="688"/>
      <c r="FF1" s="688"/>
      <c r="FG1" s="688"/>
      <c r="FH1" s="688"/>
      <c r="FI1" s="688"/>
      <c r="FJ1" s="688"/>
      <c r="FK1" s="688"/>
      <c r="FL1" s="688"/>
      <c r="FM1" s="688"/>
      <c r="FN1" s="688"/>
      <c r="FO1" s="688"/>
    </row>
    <row r="2" spans="2:173" ht="12.75" hidden="1" customHeight="1" thickBot="1" x14ac:dyDescent="0.25">
      <c r="B2" s="38"/>
      <c r="E2" s="73"/>
      <c r="F2" s="73"/>
      <c r="G2" s="73"/>
      <c r="H2" s="73"/>
      <c r="I2" s="11"/>
      <c r="J2" s="11"/>
      <c r="K2" s="11"/>
      <c r="L2" s="11"/>
      <c r="M2" s="102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6"/>
      <c r="BH2" s="106"/>
      <c r="BI2" s="106"/>
      <c r="BJ2" s="106"/>
      <c r="BK2" s="106"/>
      <c r="BL2" s="100"/>
      <c r="BM2" s="100"/>
      <c r="BN2" s="100"/>
      <c r="BO2" s="100"/>
      <c r="BP2" s="100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89"/>
      <c r="CB2" s="74"/>
      <c r="CC2" s="74"/>
      <c r="CD2" s="74"/>
      <c r="CE2" s="74"/>
      <c r="CF2" s="74"/>
      <c r="CG2" s="74"/>
      <c r="CH2" s="74"/>
      <c r="CI2" s="74"/>
      <c r="CJ2" s="75"/>
      <c r="CK2" s="75"/>
      <c r="CR2" s="37"/>
      <c r="DL2" s="75"/>
      <c r="DM2" s="75"/>
      <c r="DO2" s="75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274"/>
      <c r="EC2" s="274"/>
      <c r="ED2" s="274"/>
      <c r="EE2" s="274"/>
      <c r="EF2" s="274"/>
      <c r="EG2" s="274"/>
      <c r="EH2" s="274"/>
      <c r="EI2" s="274"/>
      <c r="EJ2" s="274"/>
      <c r="EK2" s="274"/>
      <c r="EL2" s="274"/>
      <c r="EM2" s="274"/>
      <c r="EN2" s="274"/>
      <c r="EO2" s="90"/>
      <c r="EP2" s="318"/>
      <c r="EQ2" s="318"/>
      <c r="ER2" s="318"/>
      <c r="ES2" s="318"/>
      <c r="ET2" s="318"/>
      <c r="EU2" s="318"/>
      <c r="EV2" s="318"/>
      <c r="EW2" s="318"/>
      <c r="EX2" s="318"/>
      <c r="EY2" s="318"/>
      <c r="EZ2" s="318"/>
      <c r="FA2" s="318"/>
      <c r="FB2" s="318"/>
      <c r="FC2" s="274"/>
      <c r="FD2" s="274"/>
      <c r="FE2" s="274"/>
      <c r="FF2" s="274"/>
      <c r="FG2" s="274"/>
      <c r="FH2" s="274"/>
      <c r="FI2" s="274"/>
      <c r="FJ2" s="274"/>
      <c r="FK2" s="274"/>
      <c r="FL2" s="274"/>
      <c r="FM2" s="274"/>
      <c r="FN2" s="274"/>
      <c r="FO2" s="274"/>
    </row>
    <row r="3" spans="2:173" ht="49.15" customHeight="1" thickBot="1" x14ac:dyDescent="0.3">
      <c r="B3" s="589" t="s">
        <v>252</v>
      </c>
      <c r="C3" s="590"/>
      <c r="D3" s="590"/>
      <c r="E3" s="591"/>
      <c r="F3" s="592" t="s">
        <v>254</v>
      </c>
      <c r="G3" s="593"/>
      <c r="H3" s="594"/>
      <c r="I3" s="49"/>
      <c r="J3" s="49"/>
      <c r="K3" s="49"/>
      <c r="L3" s="49"/>
      <c r="M3" s="595" t="s">
        <v>0</v>
      </c>
      <c r="N3" s="597" t="s">
        <v>1</v>
      </c>
      <c r="O3" s="256"/>
      <c r="P3" s="256"/>
      <c r="Q3" s="634" t="s">
        <v>530</v>
      </c>
      <c r="R3" s="256"/>
      <c r="S3" s="634" t="s">
        <v>487</v>
      </c>
      <c r="T3" s="256"/>
      <c r="U3" s="621" t="s">
        <v>309</v>
      </c>
      <c r="V3" s="621" t="s">
        <v>310</v>
      </c>
      <c r="W3" s="598" t="s">
        <v>576</v>
      </c>
      <c r="X3" s="599"/>
      <c r="Y3" s="599"/>
      <c r="Z3" s="599"/>
      <c r="AA3" s="600"/>
      <c r="AB3" s="598" t="s">
        <v>326</v>
      </c>
      <c r="AC3" s="599"/>
      <c r="AD3" s="599"/>
      <c r="AE3" s="599"/>
      <c r="AF3" s="600"/>
      <c r="AG3" s="598" t="s">
        <v>325</v>
      </c>
      <c r="AH3" s="599"/>
      <c r="AI3" s="599"/>
      <c r="AJ3" s="599"/>
      <c r="AK3" s="600"/>
      <c r="AL3" s="598" t="s">
        <v>324</v>
      </c>
      <c r="AM3" s="599"/>
      <c r="AN3" s="599"/>
      <c r="AO3" s="599"/>
      <c r="AP3" s="600"/>
      <c r="AQ3" s="601" t="s">
        <v>365</v>
      </c>
      <c r="AR3" s="605" t="s">
        <v>364</v>
      </c>
      <c r="AS3" s="605"/>
      <c r="AT3" s="605"/>
      <c r="AU3" s="605"/>
      <c r="AV3" s="605"/>
      <c r="AW3" s="606" t="s">
        <v>26</v>
      </c>
      <c r="AX3" s="606"/>
      <c r="AY3" s="606"/>
      <c r="AZ3" s="606"/>
      <c r="BA3" s="606"/>
      <c r="BB3" s="606" t="s">
        <v>294</v>
      </c>
      <c r="BC3" s="606"/>
      <c r="BD3" s="606"/>
      <c r="BE3" s="606"/>
      <c r="BF3" s="606"/>
      <c r="BG3" s="607" t="s">
        <v>314</v>
      </c>
      <c r="BH3" s="608"/>
      <c r="BI3" s="608"/>
      <c r="BJ3" s="608"/>
      <c r="BK3" s="609"/>
      <c r="BL3" s="606" t="s">
        <v>257</v>
      </c>
      <c r="BM3" s="606"/>
      <c r="BN3" s="606"/>
      <c r="BO3" s="610"/>
      <c r="BP3" s="606"/>
      <c r="BQ3" s="611" t="s">
        <v>577</v>
      </c>
      <c r="BR3" s="611"/>
      <c r="BS3" s="611"/>
      <c r="BT3" s="611"/>
      <c r="BU3" s="611"/>
      <c r="BV3" s="611" t="s">
        <v>159</v>
      </c>
      <c r="BW3" s="611"/>
      <c r="BX3" s="611"/>
      <c r="BY3" s="611"/>
      <c r="BZ3" s="611"/>
      <c r="CA3" s="612" t="s">
        <v>158</v>
      </c>
      <c r="CB3" s="586" t="s">
        <v>260</v>
      </c>
      <c r="CC3" s="587"/>
      <c r="CD3" s="587"/>
      <c r="CE3" s="587"/>
      <c r="CF3" s="588"/>
      <c r="CG3" s="605" t="s">
        <v>315</v>
      </c>
      <c r="CH3" s="605"/>
      <c r="CI3" s="605"/>
      <c r="CJ3" s="605"/>
      <c r="CK3" s="605"/>
      <c r="CM3" s="603" t="s">
        <v>316</v>
      </c>
      <c r="CN3" s="603" t="s">
        <v>302</v>
      </c>
      <c r="CO3" s="636" t="s">
        <v>317</v>
      </c>
      <c r="CP3" s="637"/>
      <c r="CQ3" s="637"/>
      <c r="CR3" s="638"/>
      <c r="CS3" s="639"/>
      <c r="CT3" s="640" t="s">
        <v>318</v>
      </c>
      <c r="CU3" s="641"/>
      <c r="CV3" s="641"/>
      <c r="CW3" s="642"/>
      <c r="CX3" s="643"/>
      <c r="CY3" s="644" t="s">
        <v>320</v>
      </c>
      <c r="CZ3" s="645"/>
      <c r="DA3" s="645"/>
      <c r="DB3" s="646"/>
      <c r="DC3" s="647"/>
      <c r="DD3" s="648" t="s">
        <v>319</v>
      </c>
      <c r="DE3" s="649"/>
      <c r="DF3" s="650"/>
      <c r="DG3" s="651" t="s">
        <v>298</v>
      </c>
      <c r="DH3" s="26"/>
      <c r="DI3" s="653" t="s">
        <v>305</v>
      </c>
      <c r="DJ3" s="653" t="s">
        <v>306</v>
      </c>
      <c r="DL3" s="655" t="s">
        <v>299</v>
      </c>
      <c r="DM3" s="655" t="s">
        <v>300</v>
      </c>
      <c r="DO3" s="655" t="s">
        <v>301</v>
      </c>
      <c r="DR3" s="606" t="s">
        <v>578</v>
      </c>
      <c r="DS3" s="606"/>
      <c r="DT3" s="606"/>
      <c r="DU3" s="606"/>
      <c r="DV3" s="606"/>
      <c r="DW3" s="606" t="s">
        <v>579</v>
      </c>
      <c r="DX3" s="606"/>
      <c r="DY3" s="606"/>
      <c r="DZ3" s="606"/>
      <c r="EA3" s="606"/>
      <c r="EB3" s="682" t="s">
        <v>351</v>
      </c>
      <c r="EC3" s="683"/>
      <c r="ED3" s="684"/>
      <c r="EE3" s="693" t="s">
        <v>352</v>
      </c>
      <c r="EF3" s="694"/>
      <c r="EG3" s="682" t="s">
        <v>353</v>
      </c>
      <c r="EH3" s="683"/>
      <c r="EI3" s="684"/>
      <c r="EJ3" s="693" t="s">
        <v>354</v>
      </c>
      <c r="EK3" s="694"/>
      <c r="EL3" s="697" t="s">
        <v>363</v>
      </c>
      <c r="EM3" s="695" t="s">
        <v>356</v>
      </c>
      <c r="EN3" s="693" t="s">
        <v>357</v>
      </c>
      <c r="EO3" s="694"/>
      <c r="EP3" s="679" t="s">
        <v>361</v>
      </c>
      <c r="EQ3" s="680"/>
      <c r="ER3" s="681"/>
      <c r="ES3" s="689" t="s">
        <v>352</v>
      </c>
      <c r="ET3" s="690"/>
      <c r="EU3" s="679" t="s">
        <v>359</v>
      </c>
      <c r="EV3" s="680"/>
      <c r="EW3" s="681"/>
      <c r="EX3" s="689" t="s">
        <v>354</v>
      </c>
      <c r="EY3" s="690"/>
      <c r="EZ3" s="377"/>
      <c r="FA3" s="691" t="s">
        <v>356</v>
      </c>
      <c r="FB3" s="353" t="s">
        <v>357</v>
      </c>
      <c r="FC3" s="682" t="s">
        <v>362</v>
      </c>
      <c r="FD3" s="683"/>
      <c r="FE3" s="684"/>
      <c r="FF3" s="693" t="s">
        <v>352</v>
      </c>
      <c r="FG3" s="694"/>
      <c r="FH3" s="682" t="s">
        <v>360</v>
      </c>
      <c r="FI3" s="683"/>
      <c r="FJ3" s="684"/>
      <c r="FK3" s="693" t="s">
        <v>354</v>
      </c>
      <c r="FL3" s="694"/>
      <c r="FM3" s="379"/>
      <c r="FN3" s="695" t="s">
        <v>356</v>
      </c>
      <c r="FO3" s="317" t="s">
        <v>357</v>
      </c>
      <c r="FQ3" s="450"/>
    </row>
    <row r="4" spans="2:173" ht="100.9" customHeight="1" x14ac:dyDescent="0.25">
      <c r="B4" s="95" t="s">
        <v>184</v>
      </c>
      <c r="C4" s="95" t="s">
        <v>183</v>
      </c>
      <c r="D4" s="95" t="s">
        <v>182</v>
      </c>
      <c r="E4" s="105" t="s">
        <v>0</v>
      </c>
      <c r="F4" s="95" t="s">
        <v>253</v>
      </c>
      <c r="G4" s="95" t="s">
        <v>183</v>
      </c>
      <c r="H4" s="95"/>
      <c r="I4" s="50"/>
      <c r="J4" s="50"/>
      <c r="K4" s="50"/>
      <c r="L4" s="50"/>
      <c r="M4" s="596"/>
      <c r="N4" s="597"/>
      <c r="O4" s="261"/>
      <c r="P4" s="261"/>
      <c r="Q4" s="635"/>
      <c r="R4" s="261"/>
      <c r="S4" s="635"/>
      <c r="T4" s="261"/>
      <c r="U4" s="622"/>
      <c r="V4" s="622"/>
      <c r="W4" s="22" t="s">
        <v>7</v>
      </c>
      <c r="X4" s="245" t="s">
        <v>336</v>
      </c>
      <c r="Y4" s="245" t="s">
        <v>337</v>
      </c>
      <c r="Z4" s="245" t="s">
        <v>338</v>
      </c>
      <c r="AA4" s="13" t="s">
        <v>165</v>
      </c>
      <c r="AB4" s="22" t="s">
        <v>7</v>
      </c>
      <c r="AC4" s="12" t="s">
        <v>163</v>
      </c>
      <c r="AD4" s="12" t="s">
        <v>263</v>
      </c>
      <c r="AE4" s="12" t="s">
        <v>259</v>
      </c>
      <c r="AF4" s="13" t="s">
        <v>165</v>
      </c>
      <c r="AG4" s="22" t="s">
        <v>7</v>
      </c>
      <c r="AH4" s="12" t="s">
        <v>163</v>
      </c>
      <c r="AI4" s="12" t="s">
        <v>263</v>
      </c>
      <c r="AJ4" s="12" t="s">
        <v>259</v>
      </c>
      <c r="AK4" s="13" t="s">
        <v>165</v>
      </c>
      <c r="AL4" s="22" t="s">
        <v>7</v>
      </c>
      <c r="AM4" s="12" t="s">
        <v>163</v>
      </c>
      <c r="AN4" s="12" t="s">
        <v>263</v>
      </c>
      <c r="AO4" s="12" t="s">
        <v>259</v>
      </c>
      <c r="AP4" s="13" t="s">
        <v>165</v>
      </c>
      <c r="AQ4" s="602"/>
      <c r="AR4" s="24" t="s">
        <v>23</v>
      </c>
      <c r="AS4" s="245" t="s">
        <v>336</v>
      </c>
      <c r="AT4" s="245" t="s">
        <v>337</v>
      </c>
      <c r="AU4" s="245" t="s">
        <v>339</v>
      </c>
      <c r="AV4" s="109" t="s">
        <v>185</v>
      </c>
      <c r="AW4" s="6" t="s">
        <v>24</v>
      </c>
      <c r="AX4" s="108" t="s">
        <v>160</v>
      </c>
      <c r="AY4" s="108" t="s">
        <v>161</v>
      </c>
      <c r="AZ4" s="108" t="s">
        <v>164</v>
      </c>
      <c r="BA4" s="109" t="s">
        <v>162</v>
      </c>
      <c r="BB4" s="24" t="s">
        <v>24</v>
      </c>
      <c r="BC4" s="108" t="s">
        <v>187</v>
      </c>
      <c r="BD4" s="108" t="s">
        <v>263</v>
      </c>
      <c r="BE4" s="108" t="s">
        <v>186</v>
      </c>
      <c r="BF4" s="108" t="s">
        <v>185</v>
      </c>
      <c r="BG4" s="68" t="s">
        <v>24</v>
      </c>
      <c r="BH4" s="85" t="s">
        <v>187</v>
      </c>
      <c r="BI4" s="69" t="s">
        <v>188</v>
      </c>
      <c r="BJ4" s="69" t="s">
        <v>186</v>
      </c>
      <c r="BK4" s="70" t="s">
        <v>185</v>
      </c>
      <c r="BL4" s="24" t="s">
        <v>24</v>
      </c>
      <c r="BM4" s="245" t="s">
        <v>336</v>
      </c>
      <c r="BN4" s="245" t="s">
        <v>337</v>
      </c>
      <c r="BO4" s="245" t="s">
        <v>339</v>
      </c>
      <c r="BP4" s="108" t="s">
        <v>185</v>
      </c>
      <c r="BQ4" s="24" t="s">
        <v>24</v>
      </c>
      <c r="BR4" s="245" t="s">
        <v>336</v>
      </c>
      <c r="BS4" s="245" t="s">
        <v>337</v>
      </c>
      <c r="BT4" s="245" t="s">
        <v>339</v>
      </c>
      <c r="BU4" s="23" t="s">
        <v>185</v>
      </c>
      <c r="BV4" s="2" t="s">
        <v>24</v>
      </c>
      <c r="BW4" s="245" t="s">
        <v>336</v>
      </c>
      <c r="BX4" s="245" t="s">
        <v>337</v>
      </c>
      <c r="BY4" s="245" t="s">
        <v>339</v>
      </c>
      <c r="BZ4" s="23" t="s">
        <v>185</v>
      </c>
      <c r="CA4" s="613"/>
      <c r="CB4" s="24" t="s">
        <v>24</v>
      </c>
      <c r="CC4" s="23" t="s">
        <v>187</v>
      </c>
      <c r="CD4" s="23" t="s">
        <v>188</v>
      </c>
      <c r="CE4" s="23" t="s">
        <v>186</v>
      </c>
      <c r="CF4" s="23" t="s">
        <v>185</v>
      </c>
      <c r="CG4" s="24" t="s">
        <v>24</v>
      </c>
      <c r="CH4" s="23" t="s">
        <v>187</v>
      </c>
      <c r="CI4" s="23" t="s">
        <v>263</v>
      </c>
      <c r="CJ4" s="23" t="s">
        <v>186</v>
      </c>
      <c r="CK4" s="23" t="s">
        <v>185</v>
      </c>
      <c r="CM4" s="604"/>
      <c r="CN4" s="604"/>
      <c r="CO4" s="46" t="s">
        <v>24</v>
      </c>
      <c r="CP4" s="103" t="s">
        <v>189</v>
      </c>
      <c r="CQ4" s="103" t="s">
        <v>188</v>
      </c>
      <c r="CR4" s="47" t="s">
        <v>186</v>
      </c>
      <c r="CS4" s="48" t="s">
        <v>185</v>
      </c>
      <c r="CT4" s="28" t="s">
        <v>24</v>
      </c>
      <c r="CU4" s="23" t="s">
        <v>189</v>
      </c>
      <c r="CV4" s="23" t="s">
        <v>188</v>
      </c>
      <c r="CW4" s="23" t="s">
        <v>186</v>
      </c>
      <c r="CX4" s="25" t="s">
        <v>185</v>
      </c>
      <c r="CY4" s="2" t="s">
        <v>24</v>
      </c>
      <c r="CZ4" s="23" t="s">
        <v>189</v>
      </c>
      <c r="DA4" s="23" t="s">
        <v>188</v>
      </c>
      <c r="DB4" s="23" t="s">
        <v>186</v>
      </c>
      <c r="DC4" s="25" t="s">
        <v>185</v>
      </c>
      <c r="DD4" s="23" t="s">
        <v>190</v>
      </c>
      <c r="DE4" s="27" t="s">
        <v>191</v>
      </c>
      <c r="DF4" s="12" t="s">
        <v>192</v>
      </c>
      <c r="DG4" s="652"/>
      <c r="DH4" s="26"/>
      <c r="DI4" s="654"/>
      <c r="DJ4" s="654"/>
      <c r="DL4" s="656"/>
      <c r="DM4" s="656"/>
      <c r="DO4" s="656"/>
      <c r="DR4" s="94" t="s">
        <v>24</v>
      </c>
      <c r="DS4" s="245" t="s">
        <v>336</v>
      </c>
      <c r="DT4" s="245" t="s">
        <v>337</v>
      </c>
      <c r="DU4" s="245" t="s">
        <v>339</v>
      </c>
      <c r="DV4" s="91" t="s">
        <v>185</v>
      </c>
      <c r="DW4" s="94" t="s">
        <v>24</v>
      </c>
      <c r="DX4" s="245" t="s">
        <v>336</v>
      </c>
      <c r="DY4" s="245" t="s">
        <v>337</v>
      </c>
      <c r="DZ4" s="245" t="s">
        <v>339</v>
      </c>
      <c r="EA4" s="108" t="s">
        <v>185</v>
      </c>
      <c r="EB4" s="277" t="s">
        <v>24</v>
      </c>
      <c r="EC4" s="275" t="s">
        <v>349</v>
      </c>
      <c r="ED4" s="276" t="s">
        <v>350</v>
      </c>
      <c r="EE4" s="275" t="s">
        <v>349</v>
      </c>
      <c r="EF4" s="276" t="s">
        <v>350</v>
      </c>
      <c r="EG4" s="277" t="s">
        <v>24</v>
      </c>
      <c r="EH4" s="275" t="s">
        <v>349</v>
      </c>
      <c r="EI4" s="276" t="s">
        <v>350</v>
      </c>
      <c r="EJ4" s="275" t="s">
        <v>349</v>
      </c>
      <c r="EK4" s="276" t="s">
        <v>350</v>
      </c>
      <c r="EL4" s="698"/>
      <c r="EM4" s="696"/>
      <c r="EN4" s="275" t="s">
        <v>358</v>
      </c>
      <c r="EO4" s="263" t="s">
        <v>350</v>
      </c>
      <c r="EP4" s="319" t="s">
        <v>24</v>
      </c>
      <c r="EQ4" s="320" t="s">
        <v>349</v>
      </c>
      <c r="ER4" s="321" t="s">
        <v>350</v>
      </c>
      <c r="ES4" s="320" t="s">
        <v>349</v>
      </c>
      <c r="ET4" s="321" t="s">
        <v>350</v>
      </c>
      <c r="EU4" s="319" t="s">
        <v>24</v>
      </c>
      <c r="EV4" s="320" t="s">
        <v>349</v>
      </c>
      <c r="EW4" s="321" t="s">
        <v>350</v>
      </c>
      <c r="EX4" s="320" t="s">
        <v>349</v>
      </c>
      <c r="EY4" s="321" t="s">
        <v>350</v>
      </c>
      <c r="EZ4" s="378" t="s">
        <v>363</v>
      </c>
      <c r="FA4" s="692"/>
      <c r="FB4" s="320" t="s">
        <v>358</v>
      </c>
      <c r="FC4" s="277" t="s">
        <v>24</v>
      </c>
      <c r="FD4" s="275" t="s">
        <v>349</v>
      </c>
      <c r="FE4" s="276" t="s">
        <v>350</v>
      </c>
      <c r="FF4" s="275" t="s">
        <v>349</v>
      </c>
      <c r="FG4" s="276" t="s">
        <v>350</v>
      </c>
      <c r="FH4" s="277" t="s">
        <v>24</v>
      </c>
      <c r="FI4" s="275" t="s">
        <v>349</v>
      </c>
      <c r="FJ4" s="276" t="s">
        <v>350</v>
      </c>
      <c r="FK4" s="275" t="s">
        <v>349</v>
      </c>
      <c r="FL4" s="276" t="s">
        <v>350</v>
      </c>
      <c r="FM4" s="380" t="s">
        <v>363</v>
      </c>
      <c r="FN4" s="696"/>
      <c r="FO4" s="275" t="s">
        <v>358</v>
      </c>
    </row>
    <row r="5" spans="2:173" s="39" customFormat="1" ht="17.25" hidden="1" customHeight="1" x14ac:dyDescent="0.2">
      <c r="B5" s="31"/>
      <c r="C5" s="31"/>
      <c r="D5" s="31"/>
      <c r="E5" s="1"/>
      <c r="F5" s="1"/>
      <c r="G5" s="1"/>
      <c r="H5" s="1"/>
      <c r="I5" s="1"/>
      <c r="J5" s="1"/>
      <c r="K5" s="1"/>
      <c r="L5" s="1"/>
      <c r="M5" s="1">
        <v>1</v>
      </c>
      <c r="N5" s="1">
        <v>2</v>
      </c>
      <c r="O5" s="1"/>
      <c r="P5" s="1"/>
      <c r="Q5" s="1"/>
      <c r="R5" s="1"/>
      <c r="S5" s="1"/>
      <c r="T5" s="1"/>
      <c r="U5" s="1"/>
      <c r="V5" s="1"/>
      <c r="W5" s="136">
        <v>3</v>
      </c>
      <c r="X5" s="136">
        <v>4</v>
      </c>
      <c r="Y5" s="136">
        <v>5</v>
      </c>
      <c r="Z5" s="136">
        <v>6</v>
      </c>
      <c r="AA5" s="136">
        <v>7</v>
      </c>
      <c r="AB5" s="136">
        <v>3</v>
      </c>
      <c r="AC5" s="136">
        <v>4</v>
      </c>
      <c r="AD5" s="136">
        <v>5</v>
      </c>
      <c r="AE5" s="136">
        <v>6</v>
      </c>
      <c r="AF5" s="136">
        <v>7</v>
      </c>
      <c r="AG5" s="136">
        <v>3</v>
      </c>
      <c r="AH5" s="136">
        <v>4</v>
      </c>
      <c r="AI5" s="136">
        <v>5</v>
      </c>
      <c r="AJ5" s="136">
        <v>6</v>
      </c>
      <c r="AK5" s="136">
        <v>7</v>
      </c>
      <c r="AL5" s="136">
        <v>3</v>
      </c>
      <c r="AM5" s="136">
        <v>4</v>
      </c>
      <c r="AN5" s="136">
        <v>5</v>
      </c>
      <c r="AO5" s="136">
        <v>6</v>
      </c>
      <c r="AP5" s="136">
        <v>7</v>
      </c>
      <c r="AQ5" s="382"/>
      <c r="AR5" s="137">
        <v>8</v>
      </c>
      <c r="AS5" s="137">
        <v>9</v>
      </c>
      <c r="AT5" s="137">
        <v>10</v>
      </c>
      <c r="AU5" s="137">
        <v>11</v>
      </c>
      <c r="AV5" s="137">
        <v>12</v>
      </c>
      <c r="AW5" s="137">
        <v>13</v>
      </c>
      <c r="AX5" s="137">
        <v>14</v>
      </c>
      <c r="AY5" s="137">
        <v>15</v>
      </c>
      <c r="AZ5" s="137">
        <v>16</v>
      </c>
      <c r="BA5" s="137">
        <v>17</v>
      </c>
      <c r="BB5" s="137">
        <v>18</v>
      </c>
      <c r="BC5" s="137">
        <v>19</v>
      </c>
      <c r="BD5" s="137">
        <v>20</v>
      </c>
      <c r="BE5" s="137">
        <v>21</v>
      </c>
      <c r="BF5" s="137">
        <v>22</v>
      </c>
      <c r="BG5" s="137"/>
      <c r="BH5" s="137"/>
      <c r="BI5" s="137"/>
      <c r="BJ5" s="137"/>
      <c r="BK5" s="137"/>
      <c r="BL5" s="137">
        <v>18</v>
      </c>
      <c r="BM5" s="137">
        <v>19</v>
      </c>
      <c r="BN5" s="137">
        <v>20</v>
      </c>
      <c r="BO5" s="137">
        <v>21</v>
      </c>
      <c r="BP5" s="137">
        <v>22</v>
      </c>
      <c r="BQ5" s="449"/>
      <c r="BR5" s="137"/>
      <c r="BS5" s="137"/>
      <c r="BT5" s="137"/>
      <c r="BU5" s="137"/>
      <c r="BV5" s="139"/>
      <c r="BW5" s="139"/>
      <c r="BX5" s="139"/>
      <c r="BY5" s="139"/>
      <c r="BZ5" s="139"/>
      <c r="CA5" s="137"/>
      <c r="CB5" s="137"/>
      <c r="CC5" s="137"/>
      <c r="CD5" s="137"/>
      <c r="CE5" s="137"/>
      <c r="CF5" s="137"/>
      <c r="CG5" s="140"/>
      <c r="CH5" s="137">
        <v>39</v>
      </c>
      <c r="CI5" s="137">
        <v>40</v>
      </c>
      <c r="CJ5" s="137">
        <v>41</v>
      </c>
      <c r="CK5" s="137">
        <v>42</v>
      </c>
      <c r="CL5" s="141"/>
      <c r="CM5" s="142">
        <v>11</v>
      </c>
      <c r="CN5" s="142">
        <v>11</v>
      </c>
      <c r="CO5" s="139">
        <v>11</v>
      </c>
      <c r="CP5" s="136">
        <v>11</v>
      </c>
      <c r="CQ5" s="136">
        <v>11</v>
      </c>
      <c r="CR5" s="136">
        <v>11</v>
      </c>
      <c r="CS5" s="143">
        <v>11</v>
      </c>
      <c r="CT5" s="138"/>
      <c r="CU5" s="139"/>
      <c r="CV5" s="137"/>
      <c r="CW5" s="137"/>
      <c r="CX5" s="137"/>
      <c r="CY5" s="140"/>
      <c r="CZ5" s="136"/>
      <c r="DA5" s="136"/>
      <c r="DB5" s="136"/>
      <c r="DC5" s="136"/>
      <c r="DD5" s="136"/>
      <c r="DE5" s="138"/>
      <c r="DF5" s="140"/>
      <c r="DG5" s="136"/>
      <c r="DH5" s="144"/>
      <c r="DI5" s="6"/>
      <c r="DJ5" s="84"/>
      <c r="DL5" s="87"/>
      <c r="DM5" s="88"/>
      <c r="DO5" s="6"/>
      <c r="DR5" s="6"/>
      <c r="DS5" s="6"/>
      <c r="DT5" s="6"/>
      <c r="DU5" s="6"/>
      <c r="DV5" s="10"/>
      <c r="DW5" s="6"/>
      <c r="DX5" s="6"/>
      <c r="DY5" s="6"/>
      <c r="DZ5" s="6"/>
      <c r="EA5" s="6"/>
      <c r="EB5" s="275"/>
      <c r="EC5" s="275"/>
      <c r="ED5" s="275"/>
      <c r="EE5" s="275"/>
      <c r="EF5" s="275"/>
      <c r="EG5" s="275"/>
      <c r="EH5" s="275"/>
      <c r="EI5" s="275"/>
      <c r="EJ5" s="275"/>
      <c r="EK5" s="275"/>
      <c r="EL5" s="275"/>
      <c r="EM5" s="275"/>
      <c r="EN5" s="275"/>
      <c r="EO5" s="6"/>
      <c r="EP5" s="320"/>
      <c r="EQ5" s="320"/>
      <c r="ER5" s="320"/>
      <c r="ES5" s="359"/>
      <c r="ET5" s="359"/>
      <c r="EU5" s="320"/>
      <c r="EV5" s="320"/>
      <c r="EW5" s="320"/>
      <c r="EX5" s="320"/>
      <c r="EY5" s="320"/>
      <c r="EZ5" s="320"/>
      <c r="FA5" s="320"/>
      <c r="FB5" s="320"/>
      <c r="FC5" s="275"/>
      <c r="FD5" s="275"/>
      <c r="FE5" s="275"/>
      <c r="FF5" s="275"/>
      <c r="FG5" s="275"/>
      <c r="FH5" s="275"/>
      <c r="FI5" s="275"/>
      <c r="FJ5" s="275"/>
      <c r="FK5" s="275"/>
      <c r="FL5" s="275"/>
      <c r="FM5" s="275"/>
      <c r="FN5" s="275"/>
      <c r="FO5" s="275"/>
    </row>
    <row r="6" spans="2:173" s="119" customFormat="1" ht="18" customHeight="1" x14ac:dyDescent="0.25">
      <c r="B6" s="113"/>
      <c r="C6" s="114"/>
      <c r="D6" s="114"/>
      <c r="E6" s="115"/>
      <c r="F6" s="115"/>
      <c r="G6" s="115"/>
      <c r="H6" s="115"/>
      <c r="I6" s="115"/>
      <c r="J6" s="116"/>
      <c r="K6" s="116"/>
      <c r="L6" s="117"/>
      <c r="M6" s="115"/>
      <c r="N6" s="118" t="s">
        <v>8</v>
      </c>
      <c r="O6" s="118"/>
      <c r="P6" s="118"/>
      <c r="Q6" s="118"/>
      <c r="R6" s="118"/>
      <c r="S6" s="118"/>
      <c r="T6" s="118"/>
      <c r="U6" s="163">
        <f>U7</f>
        <v>1</v>
      </c>
      <c r="V6" s="163">
        <f>V7</f>
        <v>1</v>
      </c>
      <c r="W6" s="452">
        <f t="shared" ref="W6:AA6" si="0">W7</f>
        <v>1107.2</v>
      </c>
      <c r="X6" s="452">
        <f t="shared" si="0"/>
        <v>0</v>
      </c>
      <c r="Y6" s="452">
        <f t="shared" si="0"/>
        <v>1107.2</v>
      </c>
      <c r="Z6" s="452">
        <f t="shared" si="0"/>
        <v>0</v>
      </c>
      <c r="AA6" s="452">
        <f t="shared" si="0"/>
        <v>0</v>
      </c>
      <c r="AB6" s="452">
        <f t="shared" ref="AB6:AF6" si="1">AB7</f>
        <v>18842.718000000001</v>
      </c>
      <c r="AC6" s="452">
        <f t="shared" si="1"/>
        <v>13101.817999999999</v>
      </c>
      <c r="AD6" s="452">
        <f t="shared" si="1"/>
        <v>1076.4000000000001</v>
      </c>
      <c r="AE6" s="452">
        <f t="shared" si="1"/>
        <v>4664.5</v>
      </c>
      <c r="AF6" s="452">
        <f t="shared" si="1"/>
        <v>0</v>
      </c>
      <c r="AG6" s="452">
        <f t="shared" ref="AG6:AK6" si="2">AG7</f>
        <v>16602.718000000001</v>
      </c>
      <c r="AH6" s="452">
        <f t="shared" si="2"/>
        <v>13101.817999999999</v>
      </c>
      <c r="AI6" s="452">
        <f t="shared" si="2"/>
        <v>1076.4000000000001</v>
      </c>
      <c r="AJ6" s="452">
        <f t="shared" si="2"/>
        <v>2424.5</v>
      </c>
      <c r="AK6" s="452">
        <f t="shared" si="2"/>
        <v>0</v>
      </c>
      <c r="AL6" s="452">
        <f t="shared" ref="AL6:AP6" si="3">AL7</f>
        <v>15994.317999999999</v>
      </c>
      <c r="AM6" s="452">
        <f t="shared" si="3"/>
        <v>13101.817999999999</v>
      </c>
      <c r="AN6" s="452">
        <f t="shared" si="3"/>
        <v>468</v>
      </c>
      <c r="AO6" s="452">
        <f t="shared" si="3"/>
        <v>2424.5</v>
      </c>
      <c r="AP6" s="452">
        <f t="shared" si="3"/>
        <v>0</v>
      </c>
      <c r="AQ6" s="453"/>
      <c r="AR6" s="452">
        <f t="shared" ref="AR6:CK6" si="4">AR7</f>
        <v>1107.2</v>
      </c>
      <c r="AS6" s="452">
        <f t="shared" si="4"/>
        <v>0</v>
      </c>
      <c r="AT6" s="452">
        <f t="shared" si="4"/>
        <v>1107.2</v>
      </c>
      <c r="AU6" s="452">
        <f t="shared" si="4"/>
        <v>0</v>
      </c>
      <c r="AV6" s="452">
        <f t="shared" si="4"/>
        <v>0</v>
      </c>
      <c r="AW6" s="452" t="e">
        <f t="shared" si="4"/>
        <v>#REF!</v>
      </c>
      <c r="AX6" s="452" t="e">
        <f t="shared" si="4"/>
        <v>#REF!</v>
      </c>
      <c r="AY6" s="452" t="e">
        <f t="shared" si="4"/>
        <v>#REF!</v>
      </c>
      <c r="AZ6" s="452" t="e">
        <f t="shared" si="4"/>
        <v>#REF!</v>
      </c>
      <c r="BA6" s="452" t="e">
        <f t="shared" si="4"/>
        <v>#REF!</v>
      </c>
      <c r="BB6" s="452">
        <f t="shared" si="4"/>
        <v>18842.718000000001</v>
      </c>
      <c r="BC6" s="452">
        <f t="shared" si="4"/>
        <v>13101.817999999999</v>
      </c>
      <c r="BD6" s="452">
        <f t="shared" si="4"/>
        <v>1076.4000000000001</v>
      </c>
      <c r="BE6" s="452">
        <f t="shared" si="4"/>
        <v>4664.5</v>
      </c>
      <c r="BF6" s="452">
        <f t="shared" si="4"/>
        <v>0</v>
      </c>
      <c r="BG6" s="452">
        <f t="shared" si="4"/>
        <v>0</v>
      </c>
      <c r="BH6" s="452">
        <f t="shared" si="4"/>
        <v>0</v>
      </c>
      <c r="BI6" s="452">
        <f t="shared" si="4"/>
        <v>0</v>
      </c>
      <c r="BJ6" s="452">
        <f t="shared" si="4"/>
        <v>0</v>
      </c>
      <c r="BK6" s="452">
        <f t="shared" si="4"/>
        <v>0</v>
      </c>
      <c r="BL6" s="452">
        <f t="shared" si="4"/>
        <v>1107.2</v>
      </c>
      <c r="BM6" s="452">
        <f t="shared" si="4"/>
        <v>0</v>
      </c>
      <c r="BN6" s="452">
        <f t="shared" si="4"/>
        <v>1107.2</v>
      </c>
      <c r="BO6" s="452">
        <f t="shared" si="4"/>
        <v>0</v>
      </c>
      <c r="BP6" s="452">
        <f t="shared" si="4"/>
        <v>0</v>
      </c>
      <c r="BQ6" s="452">
        <f t="shared" si="4"/>
        <v>1107.2</v>
      </c>
      <c r="BR6" s="452">
        <f t="shared" si="4"/>
        <v>0</v>
      </c>
      <c r="BS6" s="452">
        <f t="shared" si="4"/>
        <v>1107.2</v>
      </c>
      <c r="BT6" s="452">
        <f t="shared" si="4"/>
        <v>0</v>
      </c>
      <c r="BU6" s="452">
        <f t="shared" si="4"/>
        <v>0</v>
      </c>
      <c r="BV6" s="454">
        <f>BW6+BX6+BY6</f>
        <v>1081.0612900000001</v>
      </c>
      <c r="BW6" s="452">
        <f t="shared" ref="BW6:BY6" si="5">BW7</f>
        <v>0</v>
      </c>
      <c r="BX6" s="452">
        <f t="shared" si="5"/>
        <v>1081.0612900000001</v>
      </c>
      <c r="BY6" s="452">
        <f t="shared" si="5"/>
        <v>0</v>
      </c>
      <c r="BZ6" s="452">
        <f t="shared" si="4"/>
        <v>0</v>
      </c>
      <c r="CA6" s="452">
        <f t="shared" si="4"/>
        <v>2188.2612900000004</v>
      </c>
      <c r="CB6" s="452">
        <f t="shared" si="4"/>
        <v>2188.2612900000004</v>
      </c>
      <c r="CC6" s="452">
        <f t="shared" si="4"/>
        <v>0</v>
      </c>
      <c r="CD6" s="452">
        <f t="shared" si="4"/>
        <v>2188.2612900000004</v>
      </c>
      <c r="CE6" s="452">
        <f t="shared" si="4"/>
        <v>0</v>
      </c>
      <c r="CF6" s="452">
        <f t="shared" si="4"/>
        <v>0</v>
      </c>
      <c r="CG6" s="452">
        <f t="shared" si="4"/>
        <v>0</v>
      </c>
      <c r="CH6" s="452">
        <f t="shared" si="4"/>
        <v>0</v>
      </c>
      <c r="CI6" s="452">
        <f t="shared" si="4"/>
        <v>0</v>
      </c>
      <c r="CJ6" s="452">
        <f t="shared" si="4"/>
        <v>0</v>
      </c>
      <c r="CK6" s="452">
        <f t="shared" si="4"/>
        <v>0</v>
      </c>
      <c r="CL6" s="455">
        <f>CM6+CO6-BG6</f>
        <v>18842.718000000001</v>
      </c>
      <c r="CM6" s="456">
        <f t="shared" ref="CM6:DJ6" si="6">CM7</f>
        <v>18842.718000000001</v>
      </c>
      <c r="CN6" s="456">
        <f t="shared" si="6"/>
        <v>18842.718000000001</v>
      </c>
      <c r="CO6" s="452">
        <f t="shared" si="6"/>
        <v>0</v>
      </c>
      <c r="CP6" s="452">
        <f t="shared" si="6"/>
        <v>0</v>
      </c>
      <c r="CQ6" s="452">
        <f t="shared" si="6"/>
        <v>0</v>
      </c>
      <c r="CR6" s="452">
        <f t="shared" si="6"/>
        <v>0</v>
      </c>
      <c r="CS6" s="452">
        <f t="shared" si="6"/>
        <v>0</v>
      </c>
      <c r="CT6" s="452">
        <f t="shared" si="6"/>
        <v>0</v>
      </c>
      <c r="CU6" s="452">
        <f t="shared" si="6"/>
        <v>0</v>
      </c>
      <c r="CV6" s="452">
        <f t="shared" si="6"/>
        <v>0</v>
      </c>
      <c r="CW6" s="452">
        <f t="shared" si="6"/>
        <v>0</v>
      </c>
      <c r="CX6" s="452">
        <f t="shared" si="6"/>
        <v>0</v>
      </c>
      <c r="CY6" s="452">
        <f t="shared" si="6"/>
        <v>0</v>
      </c>
      <c r="CZ6" s="452">
        <f t="shared" si="6"/>
        <v>0</v>
      </c>
      <c r="DA6" s="452">
        <f t="shared" si="6"/>
        <v>0</v>
      </c>
      <c r="DB6" s="452">
        <f t="shared" si="6"/>
        <v>0</v>
      </c>
      <c r="DC6" s="452">
        <f t="shared" si="6"/>
        <v>0</v>
      </c>
      <c r="DD6" s="452">
        <f t="shared" si="6"/>
        <v>0</v>
      </c>
      <c r="DE6" s="452">
        <f t="shared" si="6"/>
        <v>0</v>
      </c>
      <c r="DF6" s="452">
        <f t="shared" si="6"/>
        <v>0</v>
      </c>
      <c r="DG6" s="452">
        <f t="shared" si="6"/>
        <v>0</v>
      </c>
      <c r="DH6" s="457"/>
      <c r="DI6" s="452">
        <f t="shared" si="6"/>
        <v>1107.2</v>
      </c>
      <c r="DJ6" s="452">
        <f t="shared" si="6"/>
        <v>1107.2</v>
      </c>
      <c r="DK6" s="457"/>
      <c r="DL6" s="452">
        <f t="shared" ref="DL6:EI6" si="7">DL7</f>
        <v>1107.2</v>
      </c>
      <c r="DM6" s="452">
        <f t="shared" si="7"/>
        <v>0</v>
      </c>
      <c r="DN6" s="457"/>
      <c r="DO6" s="452">
        <f t="shared" si="7"/>
        <v>17735.518</v>
      </c>
      <c r="DP6" s="458">
        <f>DG6-DO6</f>
        <v>-17735.518</v>
      </c>
      <c r="DQ6" s="458"/>
      <c r="DR6" s="452">
        <f t="shared" ref="DR6:DR69" si="8">DS6+DT6+DU6</f>
        <v>1107.2</v>
      </c>
      <c r="DS6" s="452">
        <f t="shared" ref="DS6:DU6" si="9">DS7</f>
        <v>0</v>
      </c>
      <c r="DT6" s="452">
        <f t="shared" si="9"/>
        <v>1107.2</v>
      </c>
      <c r="DU6" s="452">
        <f t="shared" si="9"/>
        <v>0</v>
      </c>
      <c r="DV6" s="452">
        <f t="shared" ref="DV6" si="10">DV7</f>
        <v>0</v>
      </c>
      <c r="DW6" s="452">
        <f t="shared" ref="DW6:DW69" si="11">DX6+DY6+DZ6</f>
        <v>1081.0612900000001</v>
      </c>
      <c r="DX6" s="452">
        <f t="shared" ref="DX6:DZ6" si="12">DX7</f>
        <v>0</v>
      </c>
      <c r="DY6" s="452">
        <f t="shared" si="12"/>
        <v>1081.0612900000001</v>
      </c>
      <c r="DZ6" s="452">
        <f t="shared" si="12"/>
        <v>0</v>
      </c>
      <c r="EA6" s="145">
        <f t="shared" si="7"/>
        <v>0</v>
      </c>
      <c r="EB6" s="57">
        <f t="shared" ref="EB6:EB57" si="13">EC6+ED6+EE6</f>
        <v>0</v>
      </c>
      <c r="EC6" s="57">
        <f t="shared" si="7"/>
        <v>0</v>
      </c>
      <c r="ED6" s="57">
        <f t="shared" si="7"/>
        <v>0</v>
      </c>
      <c r="EE6" s="360"/>
      <c r="EF6" s="360"/>
      <c r="EG6" s="57">
        <f t="shared" ref="EG6" si="14">EH6+EI6+EJ6</f>
        <v>0</v>
      </c>
      <c r="EH6" s="57">
        <f t="shared" si="7"/>
        <v>0</v>
      </c>
      <c r="EI6" s="57">
        <f t="shared" si="7"/>
        <v>0</v>
      </c>
      <c r="EJ6" s="360"/>
      <c r="EK6" s="360"/>
      <c r="EL6" s="360"/>
      <c r="EM6" s="273" t="e">
        <f t="shared" ref="EM6:EN6" si="15">EM7</f>
        <v>#DIV/0!</v>
      </c>
      <c r="EN6" s="57" t="e">
        <f t="shared" si="15"/>
        <v>#DIV/0!</v>
      </c>
      <c r="EO6" s="264"/>
      <c r="EP6" s="57">
        <f t="shared" ref="EP6" si="16">EQ6+ER6+ES6</f>
        <v>2188.2612900000004</v>
      </c>
      <c r="EQ6" s="57">
        <f t="shared" ref="EQ6:ER6" si="17">EQ7</f>
        <v>1107.2</v>
      </c>
      <c r="ER6" s="57">
        <f t="shared" si="17"/>
        <v>1081.0612900000001</v>
      </c>
      <c r="ES6" s="360"/>
      <c r="ET6" s="360"/>
      <c r="EU6" s="57">
        <f t="shared" ref="EU6" si="18">EV6+EW6+EX6</f>
        <v>2188.2612900000004</v>
      </c>
      <c r="EV6" s="57">
        <f t="shared" ref="EV6:EW6" si="19">EV7</f>
        <v>1107.2</v>
      </c>
      <c r="EW6" s="57">
        <f t="shared" si="19"/>
        <v>1081.0612900000001</v>
      </c>
      <c r="EX6" s="360"/>
      <c r="EY6" s="360"/>
      <c r="EZ6" s="360"/>
      <c r="FA6" s="57">
        <f t="shared" ref="FA6:FB6" si="20">FA7</f>
        <v>1107.2</v>
      </c>
      <c r="FB6" s="57">
        <f t="shared" si="20"/>
        <v>0</v>
      </c>
      <c r="FC6" s="57">
        <f t="shared" ref="FC6" si="21">FD6+FE6+FF6</f>
        <v>0</v>
      </c>
      <c r="FD6" s="57">
        <f t="shared" ref="FD6:FE6" si="22">FD7</f>
        <v>0</v>
      </c>
      <c r="FE6" s="57">
        <f t="shared" si="22"/>
        <v>0</v>
      </c>
      <c r="FF6" s="360"/>
      <c r="FG6" s="360"/>
      <c r="FH6" s="57">
        <f t="shared" ref="FH6" si="23">FI6+FJ6+FK6</f>
        <v>0</v>
      </c>
      <c r="FI6" s="57">
        <f t="shared" ref="FI6:FJ6" si="24">FI7</f>
        <v>0</v>
      </c>
      <c r="FJ6" s="57">
        <f t="shared" si="24"/>
        <v>0</v>
      </c>
      <c r="FK6" s="360"/>
      <c r="FL6" s="360"/>
      <c r="FM6" s="360"/>
      <c r="FN6" s="273" t="e">
        <f t="shared" ref="FN6:FO6" si="25">FN7</f>
        <v>#DIV/0!</v>
      </c>
      <c r="FO6" s="57" t="e">
        <f t="shared" si="25"/>
        <v>#DIV/0!</v>
      </c>
    </row>
    <row r="7" spans="2:173" s="40" customFormat="1" ht="15.6" customHeight="1" x14ac:dyDescent="0.25">
      <c r="B7" s="32">
        <v>1</v>
      </c>
      <c r="C7" s="33"/>
      <c r="D7" s="33"/>
      <c r="E7" s="93">
        <v>1</v>
      </c>
      <c r="F7" s="93">
        <v>1</v>
      </c>
      <c r="G7" s="93"/>
      <c r="H7" s="93">
        <v>1</v>
      </c>
      <c r="I7" s="93"/>
      <c r="J7" s="203"/>
      <c r="K7" s="203"/>
      <c r="L7" s="52"/>
      <c r="M7" s="381">
        <v>1</v>
      </c>
      <c r="N7" s="204" t="s">
        <v>2</v>
      </c>
      <c r="O7" s="260"/>
      <c r="P7" s="24">
        <f>BL7-BQ7</f>
        <v>0</v>
      </c>
      <c r="Q7" s="411" t="s">
        <v>491</v>
      </c>
      <c r="R7" s="411" t="s">
        <v>488</v>
      </c>
      <c r="S7" s="407" t="s">
        <v>489</v>
      </c>
      <c r="T7" s="407" t="s">
        <v>488</v>
      </c>
      <c r="U7" s="161">
        <v>1</v>
      </c>
      <c r="V7" s="162">
        <v>1</v>
      </c>
      <c r="W7" s="459">
        <f>X7+Y7+Z7+AA7</f>
        <v>1107.2</v>
      </c>
      <c r="X7" s="459">
        <f>27609.446-27609.446</f>
        <v>0</v>
      </c>
      <c r="Y7" s="460">
        <v>1107.2</v>
      </c>
      <c r="Z7" s="459"/>
      <c r="AA7" s="461"/>
      <c r="AB7" s="459">
        <f>AC7+AD7+AE7+AF7</f>
        <v>18842.718000000001</v>
      </c>
      <c r="AC7" s="459">
        <v>13101.817999999999</v>
      </c>
      <c r="AD7" s="460">
        <v>1076.4000000000001</v>
      </c>
      <c r="AE7" s="459">
        <v>4664.5</v>
      </c>
      <c r="AF7" s="461"/>
      <c r="AG7" s="459">
        <f>AH7+AI7+AJ7+AK7</f>
        <v>16602.718000000001</v>
      </c>
      <c r="AH7" s="459">
        <v>13101.817999999999</v>
      </c>
      <c r="AI7" s="460">
        <v>1076.4000000000001</v>
      </c>
      <c r="AJ7" s="459">
        <v>2424.5</v>
      </c>
      <c r="AK7" s="461"/>
      <c r="AL7" s="459">
        <f>AM7+AN7+AO7+AP7</f>
        <v>15994.317999999999</v>
      </c>
      <c r="AM7" s="459">
        <v>13101.817999999999</v>
      </c>
      <c r="AN7" s="460">
        <v>468</v>
      </c>
      <c r="AO7" s="459">
        <v>2424.5</v>
      </c>
      <c r="AP7" s="461"/>
      <c r="AQ7" s="383" t="s">
        <v>518</v>
      </c>
      <c r="AR7" s="459">
        <f>AS7+AT7+AU7+AV7</f>
        <v>1107.2</v>
      </c>
      <c r="AS7" s="459"/>
      <c r="AT7" s="462">
        <v>1107.2</v>
      </c>
      <c r="AU7" s="459"/>
      <c r="AV7" s="461"/>
      <c r="AW7" s="459" t="e">
        <f>AX7+AY7+AZ7+BA7</f>
        <v>#REF!</v>
      </c>
      <c r="AX7" s="459" t="e">
        <f>#REF!-AS7</f>
        <v>#REF!</v>
      </c>
      <c r="AY7" s="459" t="e">
        <f>#REF!-AT7</f>
        <v>#REF!</v>
      </c>
      <c r="AZ7" s="459" t="e">
        <f>#REF!-AU7</f>
        <v>#REF!</v>
      </c>
      <c r="BA7" s="459" t="e">
        <f>#REF!-AV7</f>
        <v>#REF!</v>
      </c>
      <c r="BB7" s="459">
        <f>BC7+BD7+BE7+BF7</f>
        <v>18842.718000000001</v>
      </c>
      <c r="BC7" s="459">
        <v>13101.817999999999</v>
      </c>
      <c r="BD7" s="460">
        <f>468+608.4</f>
        <v>1076.4000000000001</v>
      </c>
      <c r="BE7" s="459">
        <f>2424.5+2240</f>
        <v>4664.5</v>
      </c>
      <c r="BF7" s="461"/>
      <c r="BG7" s="459">
        <f>BH7+BI7+BJ7+BK7</f>
        <v>0</v>
      </c>
      <c r="BH7" s="459"/>
      <c r="BI7" s="460"/>
      <c r="BJ7" s="459"/>
      <c r="BK7" s="461"/>
      <c r="BL7" s="459">
        <f>BM7+BN7+BO7+BP7</f>
        <v>1107.2</v>
      </c>
      <c r="BM7" s="459"/>
      <c r="BN7" s="460">
        <v>1107.2</v>
      </c>
      <c r="BO7" s="459"/>
      <c r="BP7" s="461"/>
      <c r="BQ7" s="459">
        <f>BR7+BS7+BT7+BU7</f>
        <v>1107.2</v>
      </c>
      <c r="BR7" s="459"/>
      <c r="BS7" s="460">
        <v>1107.2</v>
      </c>
      <c r="BT7" s="459"/>
      <c r="BU7" s="461"/>
      <c r="BV7" s="463">
        <f>BW7+BX7+BY7</f>
        <v>1081.0612900000001</v>
      </c>
      <c r="BW7" s="459"/>
      <c r="BX7" s="459">
        <v>1081.0612900000001</v>
      </c>
      <c r="BY7" s="459"/>
      <c r="BZ7" s="459"/>
      <c r="CA7" s="464">
        <f>CB7</f>
        <v>2188.2612900000004</v>
      </c>
      <c r="CB7" s="459">
        <f>CC7+CD7+CE7+CF7</f>
        <v>2188.2612900000004</v>
      </c>
      <c r="CC7" s="459">
        <f>BR7+BW7</f>
        <v>0</v>
      </c>
      <c r="CD7" s="459">
        <f>BS7+BX7</f>
        <v>2188.2612900000004</v>
      </c>
      <c r="CE7" s="459">
        <f>BT7+BY7</f>
        <v>0</v>
      </c>
      <c r="CF7" s="459">
        <f>BU7+BZ7</f>
        <v>0</v>
      </c>
      <c r="CG7" s="459">
        <f>CH7+CI7+CJ7+CK7</f>
        <v>0</v>
      </c>
      <c r="CH7" s="459">
        <f>BM7-BR7</f>
        <v>0</v>
      </c>
      <c r="CI7" s="459">
        <f t="shared" ref="CI7:CK7" si="26">BN7-BS7</f>
        <v>0</v>
      </c>
      <c r="CJ7" s="459">
        <f t="shared" si="26"/>
        <v>0</v>
      </c>
      <c r="CK7" s="459">
        <f t="shared" si="26"/>
        <v>0</v>
      </c>
      <c r="CL7" s="465"/>
      <c r="CM7" s="466">
        <f>BB7</f>
        <v>18842.718000000001</v>
      </c>
      <c r="CN7" s="466">
        <f>CM7</f>
        <v>18842.718000000001</v>
      </c>
      <c r="CO7" s="459">
        <f>CP7+CQ7+CR7+CS7</f>
        <v>0</v>
      </c>
      <c r="CP7" s="459"/>
      <c r="CQ7" s="460"/>
      <c r="CR7" s="459"/>
      <c r="CS7" s="461"/>
      <c r="CT7" s="459">
        <f>CU7+CV7+CW7+CX7</f>
        <v>0</v>
      </c>
      <c r="CU7" s="459"/>
      <c r="CV7" s="460"/>
      <c r="CW7" s="459"/>
      <c r="CX7" s="461"/>
      <c r="CY7" s="459">
        <f>CZ7+DA7+DB7+DC7</f>
        <v>0</v>
      </c>
      <c r="CZ7" s="459">
        <f>CP7-CU7</f>
        <v>0</v>
      </c>
      <c r="DA7" s="459">
        <f t="shared" ref="DA7:DC7" si="27">CQ7-CV7</f>
        <v>0</v>
      </c>
      <c r="DB7" s="459">
        <f t="shared" si="27"/>
        <v>0</v>
      </c>
      <c r="DC7" s="459">
        <f t="shared" si="27"/>
        <v>0</v>
      </c>
      <c r="DD7" s="459"/>
      <c r="DE7" s="459"/>
      <c r="DF7" s="459"/>
      <c r="DG7" s="459">
        <f>CG7+CY7+DF7</f>
        <v>0</v>
      </c>
      <c r="DH7" s="467"/>
      <c r="DI7" s="459">
        <f>BL7+CO7+DD7</f>
        <v>1107.2</v>
      </c>
      <c r="DJ7" s="459">
        <f>BQ7+CT7+DE7</f>
        <v>1107.2</v>
      </c>
      <c r="DK7" s="467"/>
      <c r="DL7" s="459">
        <f>DJ7</f>
        <v>1107.2</v>
      </c>
      <c r="DM7" s="459">
        <f>DG7</f>
        <v>0</v>
      </c>
      <c r="DN7" s="467"/>
      <c r="DO7" s="459">
        <f>CN7-DL7</f>
        <v>17735.518</v>
      </c>
      <c r="DP7" s="467"/>
      <c r="DQ7" s="467"/>
      <c r="DR7" s="459">
        <f t="shared" si="8"/>
        <v>1107.2</v>
      </c>
      <c r="DS7" s="459"/>
      <c r="DT7" s="460">
        <v>1107.2</v>
      </c>
      <c r="DU7" s="459"/>
      <c r="DV7" s="461"/>
      <c r="DW7" s="459">
        <f t="shared" si="11"/>
        <v>1081.0612900000001</v>
      </c>
      <c r="DX7" s="459"/>
      <c r="DY7" s="459">
        <v>1081.0612900000001</v>
      </c>
      <c r="DZ7" s="459"/>
      <c r="EA7" s="146"/>
      <c r="EB7" s="279">
        <f>EC7+ED7</f>
        <v>0</v>
      </c>
      <c r="EC7" s="279">
        <f t="shared" ref="EC7:EC62" si="28">AS7</f>
        <v>0</v>
      </c>
      <c r="ED7" s="279"/>
      <c r="EE7" s="366" t="e">
        <f>EC7/EB7</f>
        <v>#DIV/0!</v>
      </c>
      <c r="EF7" s="366" t="e">
        <f>ED7/EB7</f>
        <v>#DIV/0!</v>
      </c>
      <c r="EG7" s="279">
        <f>EH7+EI7</f>
        <v>0</v>
      </c>
      <c r="EH7" s="279">
        <f>DS7</f>
        <v>0</v>
      </c>
      <c r="EI7" s="279">
        <f>DX7</f>
        <v>0</v>
      </c>
      <c r="EJ7" s="366" t="e">
        <f>EH7/EG7</f>
        <v>#DIV/0!</v>
      </c>
      <c r="EK7" s="366" t="e">
        <f>EI7/EG7</f>
        <v>#DIV/0!</v>
      </c>
      <c r="EL7" s="366">
        <v>3.7999999999999999E-2</v>
      </c>
      <c r="EM7" s="280" t="e">
        <f>EG7*EE7</f>
        <v>#DIV/0!</v>
      </c>
      <c r="EN7" s="279" t="e">
        <f>EH7-EM7</f>
        <v>#DIV/0!</v>
      </c>
      <c r="EO7" s="265" t="e">
        <f>EM7/EJ7</f>
        <v>#DIV/0!</v>
      </c>
      <c r="EP7" s="323">
        <f>EQ7+ER7</f>
        <v>2188.2612900000004</v>
      </c>
      <c r="EQ7" s="323">
        <f>AT7</f>
        <v>1107.2</v>
      </c>
      <c r="ER7" s="323">
        <v>1081.0612900000001</v>
      </c>
      <c r="ES7" s="358">
        <f>EQ7/EP7</f>
        <v>0.50597248375215731</v>
      </c>
      <c r="ET7" s="358">
        <f>ER7/EP7</f>
        <v>0.49402751624784258</v>
      </c>
      <c r="EU7" s="323">
        <f>EV7+EW7</f>
        <v>2188.2612900000004</v>
      </c>
      <c r="EV7" s="323">
        <f>DT7</f>
        <v>1107.2</v>
      </c>
      <c r="EW7" s="323">
        <f>DY7</f>
        <v>1081.0612900000001</v>
      </c>
      <c r="EX7" s="358">
        <f>EV7/EU7</f>
        <v>0.50597248375215731</v>
      </c>
      <c r="EY7" s="358">
        <f>EW7/EU7</f>
        <v>0.49402751624784258</v>
      </c>
      <c r="EZ7" s="358">
        <v>1.6799999999999999E-2</v>
      </c>
      <c r="FA7" s="323">
        <f>EU7*ES7</f>
        <v>1107.2</v>
      </c>
      <c r="FB7" s="323">
        <f>EV7-FA7</f>
        <v>0</v>
      </c>
      <c r="FC7" s="279">
        <f>FD7+FE7</f>
        <v>0</v>
      </c>
      <c r="FD7" s="279">
        <f>AU7</f>
        <v>0</v>
      </c>
      <c r="FE7" s="279"/>
      <c r="FF7" s="366" t="e">
        <f>FD7/FC7</f>
        <v>#DIV/0!</v>
      </c>
      <c r="FG7" s="366" t="e">
        <f>FE7/FC7</f>
        <v>#DIV/0!</v>
      </c>
      <c r="FH7" s="279">
        <f>FI7+FJ7</f>
        <v>0</v>
      </c>
      <c r="FI7" s="279">
        <f>DU7</f>
        <v>0</v>
      </c>
      <c r="FJ7" s="279">
        <f>DZ7</f>
        <v>0</v>
      </c>
      <c r="FK7" s="366" t="e">
        <f>FI7/FH7</f>
        <v>#DIV/0!</v>
      </c>
      <c r="FL7" s="366" t="e">
        <f>FJ7/FH7</f>
        <v>#DIV/0!</v>
      </c>
      <c r="FM7" s="366">
        <v>1.6799999999999999E-2</v>
      </c>
      <c r="FN7" s="280" t="e">
        <f>FH7*FF7</f>
        <v>#DIV/0!</v>
      </c>
      <c r="FO7" s="279" t="e">
        <f>FI7-FN7</f>
        <v>#DIV/0!</v>
      </c>
    </row>
    <row r="8" spans="2:173" s="119" customFormat="1" ht="22.9" customHeight="1" x14ac:dyDescent="0.2">
      <c r="B8" s="113"/>
      <c r="C8" s="114"/>
      <c r="D8" s="114"/>
      <c r="E8" s="115"/>
      <c r="F8" s="115"/>
      <c r="G8" s="115"/>
      <c r="H8" s="115"/>
      <c r="M8" s="115"/>
      <c r="N8" s="118" t="s">
        <v>9</v>
      </c>
      <c r="O8" s="118"/>
      <c r="P8" s="68">
        <f t="shared" ref="P8:P71" si="29">BL8-BQ8</f>
        <v>0</v>
      </c>
      <c r="Q8" s="118"/>
      <c r="R8" s="118"/>
      <c r="S8" s="118"/>
      <c r="T8" s="118"/>
      <c r="U8" s="163">
        <f>U9+U10+U11+U12+U13+U14+U15+U16+U17+U18+U19</f>
        <v>7</v>
      </c>
      <c r="V8" s="163">
        <f>V9+V10+V11+V12+V13+V14+V15+V16+V17+V18+V19</f>
        <v>9</v>
      </c>
      <c r="W8" s="452">
        <f t="shared" ref="W8:AA8" si="30">SUM(W9:W19)-W10</f>
        <v>91089.467000000019</v>
      </c>
      <c r="X8" s="452">
        <f t="shared" si="30"/>
        <v>0</v>
      </c>
      <c r="Y8" s="452">
        <f t="shared" si="30"/>
        <v>16101.1</v>
      </c>
      <c r="Z8" s="452">
        <f t="shared" si="30"/>
        <v>74988.366999999998</v>
      </c>
      <c r="AA8" s="452">
        <f t="shared" si="30"/>
        <v>0</v>
      </c>
      <c r="AB8" s="452">
        <f t="shared" ref="AB8:AF8" si="31">SUM(AB9:AB19)-AB10</f>
        <v>17695.5</v>
      </c>
      <c r="AC8" s="452">
        <f t="shared" si="31"/>
        <v>0</v>
      </c>
      <c r="AD8" s="452">
        <f t="shared" si="31"/>
        <v>15058.099999999999</v>
      </c>
      <c r="AE8" s="452">
        <f t="shared" si="31"/>
        <v>2637.4</v>
      </c>
      <c r="AF8" s="452">
        <f t="shared" si="31"/>
        <v>0</v>
      </c>
      <c r="AG8" s="452">
        <f t="shared" ref="AG8:AK8" si="32">SUM(AG9:AG19)-AG10</f>
        <v>17695.5</v>
      </c>
      <c r="AH8" s="452">
        <f t="shared" si="32"/>
        <v>0</v>
      </c>
      <c r="AI8" s="452">
        <f t="shared" si="32"/>
        <v>15058.099999999999</v>
      </c>
      <c r="AJ8" s="452">
        <f t="shared" si="32"/>
        <v>2637.4</v>
      </c>
      <c r="AK8" s="452">
        <f t="shared" si="32"/>
        <v>0</v>
      </c>
      <c r="AL8" s="454">
        <f t="shared" ref="AL8:AP8" si="33">SUM(AL9:AL19)-AL10</f>
        <v>9184.4</v>
      </c>
      <c r="AM8" s="452">
        <f t="shared" si="33"/>
        <v>0</v>
      </c>
      <c r="AN8" s="452">
        <f t="shared" si="33"/>
        <v>6547</v>
      </c>
      <c r="AO8" s="452">
        <f t="shared" si="33"/>
        <v>2637.4</v>
      </c>
      <c r="AP8" s="452">
        <f t="shared" si="33"/>
        <v>0</v>
      </c>
      <c r="AQ8" s="453"/>
      <c r="AR8" s="452">
        <f t="shared" ref="AR8:AU8" si="34">SUM(AR9:AR19)-AR10</f>
        <v>88624.228490000023</v>
      </c>
      <c r="AS8" s="452">
        <f t="shared" si="34"/>
        <v>0</v>
      </c>
      <c r="AT8" s="452">
        <f>AT9+AT10+AT11+AT12+AT13+AT14+AT15+AT16+AT17+AT18+AT19</f>
        <v>15267.659260000002</v>
      </c>
      <c r="AU8" s="452">
        <f t="shared" si="34"/>
        <v>73356.569230000008</v>
      </c>
      <c r="AV8" s="452">
        <f>SUM(AV9:AV19)-AV10</f>
        <v>0</v>
      </c>
      <c r="AW8" s="452" t="e">
        <f t="shared" ref="AW8:BF8" si="35">SUM(AW9:AW19)-AW10</f>
        <v>#REF!</v>
      </c>
      <c r="AX8" s="452" t="e">
        <f t="shared" si="35"/>
        <v>#REF!</v>
      </c>
      <c r="AY8" s="452" t="e">
        <f t="shared" si="35"/>
        <v>#REF!</v>
      </c>
      <c r="AZ8" s="452" t="e">
        <f t="shared" si="35"/>
        <v>#REF!</v>
      </c>
      <c r="BA8" s="452" t="e">
        <f t="shared" si="35"/>
        <v>#REF!</v>
      </c>
      <c r="BB8" s="452">
        <f t="shared" si="35"/>
        <v>17695.45</v>
      </c>
      <c r="BC8" s="452">
        <f t="shared" si="35"/>
        <v>0</v>
      </c>
      <c r="BD8" s="452">
        <f t="shared" si="35"/>
        <v>15058.099999999999</v>
      </c>
      <c r="BE8" s="452">
        <f t="shared" si="35"/>
        <v>2637.35</v>
      </c>
      <c r="BF8" s="452">
        <f t="shared" si="35"/>
        <v>0</v>
      </c>
      <c r="BG8" s="452">
        <f t="shared" ref="BG8:CK8" si="36">SUM(BG9:BG19)-BG10</f>
        <v>0</v>
      </c>
      <c r="BH8" s="452">
        <f t="shared" si="36"/>
        <v>0</v>
      </c>
      <c r="BI8" s="452">
        <f t="shared" si="36"/>
        <v>0</v>
      </c>
      <c r="BJ8" s="452">
        <f t="shared" si="36"/>
        <v>0</v>
      </c>
      <c r="BK8" s="452">
        <f t="shared" si="36"/>
        <v>0</v>
      </c>
      <c r="BL8" s="452">
        <f t="shared" si="36"/>
        <v>88624.228490000009</v>
      </c>
      <c r="BM8" s="452">
        <f t="shared" si="36"/>
        <v>0</v>
      </c>
      <c r="BN8" s="452">
        <f t="shared" si="36"/>
        <v>15267.65926</v>
      </c>
      <c r="BO8" s="452">
        <f t="shared" si="36"/>
        <v>73356.569229999994</v>
      </c>
      <c r="BP8" s="452">
        <f t="shared" si="36"/>
        <v>0</v>
      </c>
      <c r="BQ8" s="452">
        <f t="shared" si="36"/>
        <v>88624.228490000023</v>
      </c>
      <c r="BR8" s="452">
        <f t="shared" si="36"/>
        <v>0</v>
      </c>
      <c r="BS8" s="452">
        <f t="shared" si="36"/>
        <v>15267.65926</v>
      </c>
      <c r="BT8" s="452">
        <f t="shared" si="36"/>
        <v>73356.569230000008</v>
      </c>
      <c r="BU8" s="452">
        <f t="shared" si="36"/>
        <v>0</v>
      </c>
      <c r="BV8" s="454">
        <f t="shared" si="36"/>
        <v>16496.059459999997</v>
      </c>
      <c r="BW8" s="452">
        <f t="shared" si="36"/>
        <v>0</v>
      </c>
      <c r="BX8" s="452">
        <f t="shared" si="36"/>
        <v>4161.2476100000003</v>
      </c>
      <c r="BY8" s="452">
        <f t="shared" si="36"/>
        <v>12334.811849999998</v>
      </c>
      <c r="BZ8" s="452">
        <f t="shared" si="36"/>
        <v>0</v>
      </c>
      <c r="CA8" s="452">
        <f t="shared" si="36"/>
        <v>105120.28795000001</v>
      </c>
      <c r="CB8" s="452">
        <f t="shared" si="36"/>
        <v>105120.28795000001</v>
      </c>
      <c r="CC8" s="452">
        <f t="shared" si="36"/>
        <v>0</v>
      </c>
      <c r="CD8" s="452">
        <f t="shared" si="36"/>
        <v>19428.906870000003</v>
      </c>
      <c r="CE8" s="452">
        <f t="shared" si="36"/>
        <v>85691.381080000006</v>
      </c>
      <c r="CF8" s="452">
        <f t="shared" si="36"/>
        <v>0</v>
      </c>
      <c r="CG8" s="452">
        <f t="shared" si="36"/>
        <v>0</v>
      </c>
      <c r="CH8" s="452">
        <f t="shared" si="36"/>
        <v>0</v>
      </c>
      <c r="CI8" s="452">
        <f t="shared" si="36"/>
        <v>0</v>
      </c>
      <c r="CJ8" s="452">
        <f t="shared" si="36"/>
        <v>0</v>
      </c>
      <c r="CK8" s="452">
        <f t="shared" si="36"/>
        <v>0</v>
      </c>
      <c r="CL8" s="455">
        <f>CM8+CO8-BG8</f>
        <v>17695.449999999997</v>
      </c>
      <c r="CM8" s="456">
        <f t="shared" ref="CM8:DG8" si="37">SUM(CM9:CM19)-CM10</f>
        <v>17695.449999999997</v>
      </c>
      <c r="CN8" s="456">
        <f t="shared" si="37"/>
        <v>17695.449999999997</v>
      </c>
      <c r="CO8" s="452">
        <f t="shared" si="37"/>
        <v>0</v>
      </c>
      <c r="CP8" s="452">
        <f t="shared" si="37"/>
        <v>0</v>
      </c>
      <c r="CQ8" s="452">
        <f t="shared" si="37"/>
        <v>0</v>
      </c>
      <c r="CR8" s="452">
        <f t="shared" si="37"/>
        <v>0</v>
      </c>
      <c r="CS8" s="452">
        <f t="shared" si="37"/>
        <v>0</v>
      </c>
      <c r="CT8" s="452">
        <f t="shared" si="37"/>
        <v>0</v>
      </c>
      <c r="CU8" s="452">
        <f t="shared" si="37"/>
        <v>0</v>
      </c>
      <c r="CV8" s="452">
        <f t="shared" si="37"/>
        <v>0</v>
      </c>
      <c r="CW8" s="452">
        <f t="shared" si="37"/>
        <v>0</v>
      </c>
      <c r="CX8" s="452">
        <f t="shared" si="37"/>
        <v>0</v>
      </c>
      <c r="CY8" s="454">
        <f t="shared" si="37"/>
        <v>0</v>
      </c>
      <c r="CZ8" s="454">
        <f t="shared" si="37"/>
        <v>0</v>
      </c>
      <c r="DA8" s="454">
        <f t="shared" si="37"/>
        <v>0</v>
      </c>
      <c r="DB8" s="454">
        <f t="shared" si="37"/>
        <v>0</v>
      </c>
      <c r="DC8" s="454">
        <f t="shared" si="37"/>
        <v>0</v>
      </c>
      <c r="DD8" s="452">
        <f t="shared" si="37"/>
        <v>0</v>
      </c>
      <c r="DE8" s="452">
        <f t="shared" si="37"/>
        <v>0</v>
      </c>
      <c r="DF8" s="452">
        <f t="shared" si="37"/>
        <v>0</v>
      </c>
      <c r="DG8" s="452">
        <f t="shared" si="37"/>
        <v>0</v>
      </c>
      <c r="DH8" s="457"/>
      <c r="DI8" s="452">
        <f>SUM(DI9:DI19)-DI10</f>
        <v>88624.228490000009</v>
      </c>
      <c r="DJ8" s="452">
        <f>SUM(DJ9:DJ19)-DJ10</f>
        <v>88624.228490000023</v>
      </c>
      <c r="DK8" s="457"/>
      <c r="DL8" s="452">
        <f>SUM(DL9:DL19)-DL10</f>
        <v>88624.228490000009</v>
      </c>
      <c r="DM8" s="452">
        <f>SUM(DM9:DM19)-DM10</f>
        <v>0</v>
      </c>
      <c r="DN8" s="457"/>
      <c r="DO8" s="452">
        <f>SUM(DO9:DO19)-DO10</f>
        <v>-70928.778490000012</v>
      </c>
      <c r="DP8" s="458">
        <f>DG8-DO8</f>
        <v>70928.778490000012</v>
      </c>
      <c r="DQ8" s="458"/>
      <c r="DR8" s="452">
        <f t="shared" si="8"/>
        <v>88624.228489999994</v>
      </c>
      <c r="DS8" s="452">
        <f t="shared" ref="DS8:DU8" si="38">SUM(DS9:DS19)-DS10</f>
        <v>0</v>
      </c>
      <c r="DT8" s="452">
        <f t="shared" si="38"/>
        <v>15267.65926</v>
      </c>
      <c r="DU8" s="452">
        <f t="shared" si="38"/>
        <v>73356.569229999994</v>
      </c>
      <c r="DV8" s="452">
        <f t="shared" ref="DV8" si="39">SUM(DV9:DV19)-DV10</f>
        <v>0</v>
      </c>
      <c r="DW8" s="452">
        <f t="shared" si="11"/>
        <v>16496.05946</v>
      </c>
      <c r="DX8" s="452">
        <f t="shared" ref="DX8:DZ8" si="40">SUM(DX9:DX19)-DX10</f>
        <v>0</v>
      </c>
      <c r="DY8" s="452">
        <f t="shared" si="40"/>
        <v>4161.2476100000003</v>
      </c>
      <c r="DZ8" s="452">
        <f t="shared" si="40"/>
        <v>12334.81185</v>
      </c>
      <c r="EA8" s="145">
        <f t="shared" ref="EA8" si="41">SUM(EA9:EA19)-EA10</f>
        <v>0</v>
      </c>
      <c r="EB8" s="57">
        <f t="shared" si="13"/>
        <v>0</v>
      </c>
      <c r="EC8" s="57">
        <f t="shared" si="28"/>
        <v>0</v>
      </c>
      <c r="ED8" s="57">
        <f t="shared" ref="ED8" si="42">SUM(ED9:ED19)-ED10</f>
        <v>0</v>
      </c>
      <c r="EE8" s="360"/>
      <c r="EF8" s="360"/>
      <c r="EG8" s="57">
        <f t="shared" ref="EG8:EG62" si="43">EH8+EI8</f>
        <v>0</v>
      </c>
      <c r="EH8" s="57">
        <f>SUM(EH9:EH19)</f>
        <v>0</v>
      </c>
      <c r="EI8" s="57">
        <f>SUM(EI9:EI19)</f>
        <v>0</v>
      </c>
      <c r="EJ8" s="360"/>
      <c r="EK8" s="360"/>
      <c r="EL8" s="360"/>
      <c r="EM8" s="273">
        <f t="shared" ref="EM8" si="44">SUM(EM9:EM19)</f>
        <v>0</v>
      </c>
      <c r="EN8" s="57">
        <f t="shared" ref="EN8:EN61" si="45">EM8-EJ8</f>
        <v>0</v>
      </c>
      <c r="EO8" s="264"/>
      <c r="EP8" s="57">
        <f t="shared" ref="EP8:EP71" si="46">EQ8+ER8</f>
        <v>19428.906870000003</v>
      </c>
      <c r="EQ8" s="57">
        <f t="shared" ref="EQ8" si="47">AT8</f>
        <v>15267.659260000002</v>
      </c>
      <c r="ER8" s="57">
        <f t="shared" ref="ER8" si="48">SUM(ER9:ER19)-ER10</f>
        <v>4161.2476100000003</v>
      </c>
      <c r="ES8" s="360"/>
      <c r="ET8" s="360"/>
      <c r="EU8" s="57">
        <f t="shared" ref="EU8:EU71" si="49">EV8+EW8</f>
        <v>19428.906869999999</v>
      </c>
      <c r="EV8" s="57">
        <f>SUM(EV9:EV19)</f>
        <v>15267.65926</v>
      </c>
      <c r="EW8" s="57">
        <f>SUM(EW9:EW19)</f>
        <v>4161.2476100000003</v>
      </c>
      <c r="EX8" s="360"/>
      <c r="EY8" s="360"/>
      <c r="EZ8" s="360"/>
      <c r="FA8" s="57">
        <f t="shared" ref="FA8" si="50">SUM(FA9:FA19)</f>
        <v>15267.65926</v>
      </c>
      <c r="FB8" s="57">
        <f t="shared" ref="FB8:FB71" si="51">EV8-FA8</f>
        <v>0</v>
      </c>
      <c r="FC8" s="57">
        <f t="shared" ref="FC8" si="52">FD8+FE8+FF8</f>
        <v>85691.381080000006</v>
      </c>
      <c r="FD8" s="57">
        <f t="shared" ref="FD8:FD66" si="53">AU8</f>
        <v>73356.569230000008</v>
      </c>
      <c r="FE8" s="57">
        <f t="shared" ref="FE8" si="54">SUM(FE9:FE19)-FE10</f>
        <v>12334.81185</v>
      </c>
      <c r="FF8" s="360"/>
      <c r="FG8" s="360"/>
      <c r="FH8" s="57">
        <f t="shared" ref="FH8:FH66" si="55">FI8+FJ8</f>
        <v>85691.381079999992</v>
      </c>
      <c r="FI8" s="57">
        <f>SUM(FI9:FI19)</f>
        <v>73356.569229999994</v>
      </c>
      <c r="FJ8" s="57">
        <f>SUM(FJ9:FJ19)</f>
        <v>12334.81185</v>
      </c>
      <c r="FK8" s="360"/>
      <c r="FL8" s="360"/>
      <c r="FM8" s="360"/>
      <c r="FN8" s="273">
        <f t="shared" ref="FN8" si="56">SUM(FN9:FN19)</f>
        <v>73356.569229999994</v>
      </c>
      <c r="FO8" s="57">
        <f t="shared" ref="FO8:FO66" si="57">FI8-FN8</f>
        <v>0</v>
      </c>
    </row>
    <row r="9" spans="2:173" s="40" customFormat="1" ht="15.75" customHeight="1" x14ac:dyDescent="0.25">
      <c r="B9" s="32">
        <v>1</v>
      </c>
      <c r="C9" s="33"/>
      <c r="D9" s="33"/>
      <c r="E9" s="93">
        <v>2</v>
      </c>
      <c r="F9" s="32">
        <v>1</v>
      </c>
      <c r="G9" s="33"/>
      <c r="H9" s="33">
        <v>1</v>
      </c>
      <c r="M9" s="93">
        <v>2</v>
      </c>
      <c r="N9" s="4" t="s">
        <v>193</v>
      </c>
      <c r="O9" s="132"/>
      <c r="P9" s="2">
        <f t="shared" si="29"/>
        <v>0</v>
      </c>
      <c r="Q9" s="132"/>
      <c r="R9" s="132"/>
      <c r="S9" s="132"/>
      <c r="T9" s="132"/>
      <c r="U9" s="132"/>
      <c r="V9" s="132"/>
      <c r="W9" s="459">
        <f t="shared" ref="W9:W19" si="58">X9+Y9+Z9+AA9</f>
        <v>0</v>
      </c>
      <c r="X9" s="459"/>
      <c r="Y9" s="460"/>
      <c r="Z9" s="459"/>
      <c r="AA9" s="464"/>
      <c r="AB9" s="459">
        <f t="shared" ref="AB9:AB19" si="59">AC9+AD9+AE9+AF9</f>
        <v>0</v>
      </c>
      <c r="AC9" s="459"/>
      <c r="AD9" s="460">
        <v>0</v>
      </c>
      <c r="AE9" s="459"/>
      <c r="AF9" s="464"/>
      <c r="AG9" s="459">
        <f t="shared" ref="AG9:AG19" si="60">AH9+AI9+AJ9+AK9</f>
        <v>0</v>
      </c>
      <c r="AH9" s="459"/>
      <c r="AI9" s="460">
        <v>0</v>
      </c>
      <c r="AJ9" s="459"/>
      <c r="AK9" s="464"/>
      <c r="AL9" s="459">
        <f t="shared" ref="AL9:AL19" si="61">AM9+AN9+AO9+AP9</f>
        <v>2916</v>
      </c>
      <c r="AM9" s="459"/>
      <c r="AN9" s="460">
        <v>2916</v>
      </c>
      <c r="AO9" s="459"/>
      <c r="AP9" s="459"/>
      <c r="AQ9" s="383"/>
      <c r="AR9" s="459">
        <f t="shared" ref="AR9:AR19" si="62">AS9+AT9+AU9+AV9</f>
        <v>0</v>
      </c>
      <c r="AS9" s="459"/>
      <c r="AT9" s="459"/>
      <c r="AU9" s="459"/>
      <c r="AV9" s="459"/>
      <c r="AW9" s="459" t="e">
        <f t="shared" ref="AW9:AW19" si="63">AX9+AY9+AZ9+BA9</f>
        <v>#REF!</v>
      </c>
      <c r="AX9" s="459" t="e">
        <f>#REF!-AS9</f>
        <v>#REF!</v>
      </c>
      <c r="AY9" s="459" t="e">
        <f>#REF!-AT9</f>
        <v>#REF!</v>
      </c>
      <c r="AZ9" s="459" t="e">
        <f>#REF!-AU9</f>
        <v>#REF!</v>
      </c>
      <c r="BA9" s="459" t="e">
        <f>#REF!-AV9</f>
        <v>#REF!</v>
      </c>
      <c r="BB9" s="459">
        <f t="shared" ref="BB9:BB19" si="64">BC9+BD9+BE9+BF9</f>
        <v>0</v>
      </c>
      <c r="BC9" s="459"/>
      <c r="BD9" s="459"/>
      <c r="BE9" s="459"/>
      <c r="BF9" s="459"/>
      <c r="BG9" s="459">
        <f t="shared" ref="BG9:BG19" si="65">BH9+BI9+BJ9+BK9</f>
        <v>0</v>
      </c>
      <c r="BH9" s="459"/>
      <c r="BI9" s="459"/>
      <c r="BJ9" s="459"/>
      <c r="BK9" s="459"/>
      <c r="BL9" s="459">
        <f t="shared" ref="BL9:BL19" si="66">BM9+BN9+BO9+BP9</f>
        <v>0</v>
      </c>
      <c r="BM9" s="459"/>
      <c r="BN9" s="459"/>
      <c r="BO9" s="459"/>
      <c r="BP9" s="459"/>
      <c r="BQ9" s="459">
        <f t="shared" ref="BQ9:BQ19" si="67">BR9+BS9+BT9+BU9</f>
        <v>0</v>
      </c>
      <c r="BR9" s="459"/>
      <c r="BS9" s="459"/>
      <c r="BT9" s="459"/>
      <c r="BU9" s="459"/>
      <c r="BV9" s="459">
        <f t="shared" ref="BV9:BV19" si="68">BW9+BX9+BY9+BZ9</f>
        <v>0</v>
      </c>
      <c r="BW9" s="459"/>
      <c r="BX9" s="459"/>
      <c r="BY9" s="459"/>
      <c r="BZ9" s="459"/>
      <c r="CA9" s="464">
        <f t="shared" ref="CA9:CA19" si="69">CB9</f>
        <v>0</v>
      </c>
      <c r="CB9" s="459">
        <f t="shared" ref="CB9:CB19" si="70">CC9+CD9+CE9+CF9</f>
        <v>0</v>
      </c>
      <c r="CC9" s="459">
        <f t="shared" ref="CC9:CF19" si="71">BR9+BW9</f>
        <v>0</v>
      </c>
      <c r="CD9" s="459">
        <f t="shared" si="71"/>
        <v>0</v>
      </c>
      <c r="CE9" s="459">
        <f t="shared" si="71"/>
        <v>0</v>
      </c>
      <c r="CF9" s="459">
        <f t="shared" si="71"/>
        <v>0</v>
      </c>
      <c r="CG9" s="459">
        <f t="shared" ref="CG9:CG19" si="72">CH9+CI9+CJ9+CK9</f>
        <v>0</v>
      </c>
      <c r="CH9" s="459">
        <f t="shared" ref="CH9:CK19" si="73">BM9-BR9</f>
        <v>0</v>
      </c>
      <c r="CI9" s="459">
        <f t="shared" si="73"/>
        <v>0</v>
      </c>
      <c r="CJ9" s="459">
        <f t="shared" si="73"/>
        <v>0</v>
      </c>
      <c r="CK9" s="459">
        <f t="shared" si="73"/>
        <v>0</v>
      </c>
      <c r="CL9" s="465"/>
      <c r="CM9" s="466">
        <f>BD9</f>
        <v>0</v>
      </c>
      <c r="CN9" s="466">
        <f>CM9-BG9</f>
        <v>0</v>
      </c>
      <c r="CO9" s="459">
        <f t="shared" ref="CO9:CO19" si="74">CP9+CQ9+CR9+CS9</f>
        <v>0</v>
      </c>
      <c r="CP9" s="459"/>
      <c r="CQ9" s="459"/>
      <c r="CR9" s="459"/>
      <c r="CS9" s="459"/>
      <c r="CT9" s="459">
        <f t="shared" ref="CT9:CT19" si="75">CU9+CV9+CW9+CX9</f>
        <v>0</v>
      </c>
      <c r="CU9" s="459"/>
      <c r="CV9" s="459"/>
      <c r="CW9" s="459"/>
      <c r="CX9" s="459"/>
      <c r="CY9" s="459">
        <f t="shared" ref="CY9:CY19" si="76">CZ9+DA9+DB9+DC9</f>
        <v>0</v>
      </c>
      <c r="CZ9" s="459">
        <f>CP9-CU9</f>
        <v>0</v>
      </c>
      <c r="DA9" s="459">
        <f t="shared" ref="DA9:DC19" si="77">CQ9-CV9</f>
        <v>0</v>
      </c>
      <c r="DB9" s="459">
        <f t="shared" si="77"/>
        <v>0</v>
      </c>
      <c r="DC9" s="459">
        <f t="shared" si="77"/>
        <v>0</v>
      </c>
      <c r="DD9" s="459"/>
      <c r="DE9" s="459"/>
      <c r="DF9" s="459"/>
      <c r="DG9" s="459">
        <f t="shared" ref="DG9:DG19" si="78">CG9+CY9+DF9</f>
        <v>0</v>
      </c>
      <c r="DH9" s="467"/>
      <c r="DI9" s="459">
        <f t="shared" ref="DI9:DI19" si="79">BL9+CO9+DD9</f>
        <v>0</v>
      </c>
      <c r="DJ9" s="459">
        <f t="shared" ref="DJ9:DJ19" si="80">BQ9+CT9+DE9</f>
        <v>0</v>
      </c>
      <c r="DK9" s="467"/>
      <c r="DL9" s="459">
        <f>DJ9</f>
        <v>0</v>
      </c>
      <c r="DM9" s="459">
        <f>DG9</f>
        <v>0</v>
      </c>
      <c r="DN9" s="467"/>
      <c r="DO9" s="459">
        <f>CN9-DL9</f>
        <v>0</v>
      </c>
      <c r="DP9" s="467"/>
      <c r="DQ9" s="467"/>
      <c r="DR9" s="459">
        <f t="shared" si="8"/>
        <v>0</v>
      </c>
      <c r="DS9" s="459"/>
      <c r="DT9" s="459"/>
      <c r="DU9" s="459"/>
      <c r="DV9" s="459"/>
      <c r="DW9" s="459">
        <f t="shared" si="11"/>
        <v>0</v>
      </c>
      <c r="DX9" s="459"/>
      <c r="DY9" s="459"/>
      <c r="DZ9" s="459"/>
      <c r="EA9" s="146"/>
      <c r="EB9" s="279"/>
      <c r="EC9" s="279"/>
      <c r="ED9" s="279"/>
      <c r="EE9" s="366"/>
      <c r="EF9" s="366"/>
      <c r="EG9" s="279"/>
      <c r="EH9" s="279"/>
      <c r="EI9" s="279"/>
      <c r="EJ9" s="366"/>
      <c r="EK9" s="366"/>
      <c r="EL9" s="366">
        <v>2.9700000000000001E-2</v>
      </c>
      <c r="EM9" s="280"/>
      <c r="EN9" s="279"/>
      <c r="EO9" s="265" t="e">
        <f t="shared" ref="EO9:EO19" si="81">EM9/EJ9</f>
        <v>#DIV/0!</v>
      </c>
      <c r="EP9" s="323"/>
      <c r="EQ9" s="323"/>
      <c r="ER9" s="323"/>
      <c r="ES9" s="358"/>
      <c r="ET9" s="358"/>
      <c r="EU9" s="323"/>
      <c r="EV9" s="323"/>
      <c r="EW9" s="323"/>
      <c r="EX9" s="358"/>
      <c r="EY9" s="358"/>
      <c r="EZ9" s="358"/>
      <c r="FA9" s="323"/>
      <c r="FB9" s="323">
        <f t="shared" si="51"/>
        <v>0</v>
      </c>
      <c r="FC9" s="279"/>
      <c r="FD9" s="279"/>
      <c r="FE9" s="279"/>
      <c r="FF9" s="366"/>
      <c r="FG9" s="366"/>
      <c r="FH9" s="279"/>
      <c r="FI9" s="279"/>
      <c r="FJ9" s="279"/>
      <c r="FK9" s="366"/>
      <c r="FL9" s="366"/>
      <c r="FM9" s="366"/>
      <c r="FN9" s="280"/>
      <c r="FO9" s="279"/>
    </row>
    <row r="10" spans="2:173" s="40" customFormat="1" ht="15.75" customHeight="1" x14ac:dyDescent="0.25">
      <c r="B10" s="32"/>
      <c r="C10" s="33"/>
      <c r="D10" s="33"/>
      <c r="E10" s="93"/>
      <c r="F10" s="32"/>
      <c r="G10" s="33"/>
      <c r="H10" s="33"/>
      <c r="M10" s="93"/>
      <c r="N10" s="19" t="s">
        <v>251</v>
      </c>
      <c r="O10" s="133"/>
      <c r="P10" s="2">
        <f t="shared" si="29"/>
        <v>0</v>
      </c>
      <c r="Q10" s="133"/>
      <c r="R10" s="133"/>
      <c r="S10" s="133"/>
      <c r="T10" s="133"/>
      <c r="U10" s="133"/>
      <c r="V10" s="133"/>
      <c r="W10" s="459">
        <f t="shared" si="58"/>
        <v>0</v>
      </c>
      <c r="X10" s="459"/>
      <c r="Y10" s="468"/>
      <c r="Z10" s="459"/>
      <c r="AA10" s="464"/>
      <c r="AB10" s="459">
        <f t="shared" si="59"/>
        <v>0</v>
      </c>
      <c r="AC10" s="459"/>
      <c r="AD10" s="468"/>
      <c r="AE10" s="459"/>
      <c r="AF10" s="464"/>
      <c r="AG10" s="459">
        <f t="shared" si="60"/>
        <v>0</v>
      </c>
      <c r="AH10" s="459"/>
      <c r="AI10" s="468"/>
      <c r="AJ10" s="459"/>
      <c r="AK10" s="464"/>
      <c r="AL10" s="459">
        <f t="shared" si="61"/>
        <v>0</v>
      </c>
      <c r="AM10" s="459"/>
      <c r="AN10" s="468"/>
      <c r="AO10" s="459"/>
      <c r="AP10" s="459"/>
      <c r="AQ10" s="383"/>
      <c r="AR10" s="459">
        <f t="shared" si="62"/>
        <v>0</v>
      </c>
      <c r="AS10" s="459"/>
      <c r="AT10" s="469"/>
      <c r="AU10" s="459"/>
      <c r="AV10" s="459"/>
      <c r="AW10" s="459" t="e">
        <f t="shared" si="63"/>
        <v>#REF!</v>
      </c>
      <c r="AX10" s="459" t="e">
        <f>#REF!-AS10</f>
        <v>#REF!</v>
      </c>
      <c r="AY10" s="459" t="e">
        <f>#REF!-AT10</f>
        <v>#REF!</v>
      </c>
      <c r="AZ10" s="459" t="e">
        <f>#REF!-AU10</f>
        <v>#REF!</v>
      </c>
      <c r="BA10" s="459" t="e">
        <f>#REF!-AV10</f>
        <v>#REF!</v>
      </c>
      <c r="BB10" s="459">
        <f t="shared" si="64"/>
        <v>0</v>
      </c>
      <c r="BC10" s="459"/>
      <c r="BD10" s="459"/>
      <c r="BE10" s="459"/>
      <c r="BF10" s="459"/>
      <c r="BG10" s="459">
        <f t="shared" si="65"/>
        <v>0</v>
      </c>
      <c r="BH10" s="459"/>
      <c r="BI10" s="459"/>
      <c r="BJ10" s="459"/>
      <c r="BK10" s="459"/>
      <c r="BL10" s="459">
        <f t="shared" si="66"/>
        <v>0</v>
      </c>
      <c r="BM10" s="459"/>
      <c r="BN10" s="459"/>
      <c r="BO10" s="459"/>
      <c r="BP10" s="459"/>
      <c r="BQ10" s="459">
        <f t="shared" si="67"/>
        <v>0</v>
      </c>
      <c r="BR10" s="459"/>
      <c r="BS10" s="459"/>
      <c r="BT10" s="459"/>
      <c r="BU10" s="459"/>
      <c r="BV10" s="459">
        <f t="shared" si="68"/>
        <v>0</v>
      </c>
      <c r="BW10" s="459"/>
      <c r="BX10" s="459"/>
      <c r="BY10" s="459"/>
      <c r="BZ10" s="459"/>
      <c r="CA10" s="464">
        <f t="shared" si="69"/>
        <v>0</v>
      </c>
      <c r="CB10" s="459">
        <f t="shared" si="70"/>
        <v>0</v>
      </c>
      <c r="CC10" s="459">
        <f t="shared" si="71"/>
        <v>0</v>
      </c>
      <c r="CD10" s="459">
        <f t="shared" si="71"/>
        <v>0</v>
      </c>
      <c r="CE10" s="459">
        <f t="shared" si="71"/>
        <v>0</v>
      </c>
      <c r="CF10" s="459">
        <f t="shared" si="71"/>
        <v>0</v>
      </c>
      <c r="CG10" s="459">
        <f t="shared" si="72"/>
        <v>0</v>
      </c>
      <c r="CH10" s="459">
        <f t="shared" si="73"/>
        <v>0</v>
      </c>
      <c r="CI10" s="459">
        <f t="shared" si="73"/>
        <v>0</v>
      </c>
      <c r="CJ10" s="459">
        <f t="shared" si="73"/>
        <v>0</v>
      </c>
      <c r="CK10" s="459">
        <f t="shared" si="73"/>
        <v>0</v>
      </c>
      <c r="CL10" s="465"/>
      <c r="CM10" s="466"/>
      <c r="CN10" s="466"/>
      <c r="CO10" s="459">
        <f t="shared" si="74"/>
        <v>0</v>
      </c>
      <c r="CP10" s="459"/>
      <c r="CQ10" s="459"/>
      <c r="CR10" s="459"/>
      <c r="CS10" s="459"/>
      <c r="CT10" s="459">
        <f t="shared" si="75"/>
        <v>0</v>
      </c>
      <c r="CU10" s="459"/>
      <c r="CV10" s="459"/>
      <c r="CW10" s="459"/>
      <c r="CX10" s="459"/>
      <c r="CY10" s="459">
        <f t="shared" si="76"/>
        <v>0</v>
      </c>
      <c r="CZ10" s="459">
        <f t="shared" ref="CZ10:CZ19" si="82">CP10-CU10</f>
        <v>0</v>
      </c>
      <c r="DA10" s="459">
        <f t="shared" si="77"/>
        <v>0</v>
      </c>
      <c r="DB10" s="459">
        <f t="shared" si="77"/>
        <v>0</v>
      </c>
      <c r="DC10" s="459">
        <f t="shared" si="77"/>
        <v>0</v>
      </c>
      <c r="DD10" s="459"/>
      <c r="DE10" s="459"/>
      <c r="DF10" s="459"/>
      <c r="DG10" s="459">
        <f t="shared" si="78"/>
        <v>0</v>
      </c>
      <c r="DH10" s="467"/>
      <c r="DI10" s="459">
        <f t="shared" si="79"/>
        <v>0</v>
      </c>
      <c r="DJ10" s="459">
        <f t="shared" si="80"/>
        <v>0</v>
      </c>
      <c r="DK10" s="467"/>
      <c r="DL10" s="459">
        <f>DJ10</f>
        <v>0</v>
      </c>
      <c r="DM10" s="459">
        <f>DG10</f>
        <v>0</v>
      </c>
      <c r="DN10" s="467"/>
      <c r="DO10" s="459"/>
      <c r="DP10" s="467"/>
      <c r="DQ10" s="467"/>
      <c r="DR10" s="459">
        <f t="shared" si="8"/>
        <v>0</v>
      </c>
      <c r="DS10" s="459"/>
      <c r="DT10" s="459"/>
      <c r="DU10" s="459"/>
      <c r="DV10" s="459"/>
      <c r="DW10" s="459">
        <f t="shared" si="11"/>
        <v>0</v>
      </c>
      <c r="DX10" s="459"/>
      <c r="DY10" s="459"/>
      <c r="DZ10" s="459"/>
      <c r="EA10" s="146"/>
      <c r="EB10" s="279"/>
      <c r="EC10" s="279"/>
      <c r="ED10" s="279"/>
      <c r="EE10" s="366"/>
      <c r="EF10" s="366"/>
      <c r="EG10" s="279"/>
      <c r="EH10" s="279"/>
      <c r="EI10" s="279"/>
      <c r="EJ10" s="366"/>
      <c r="EK10" s="366"/>
      <c r="EL10" s="366"/>
      <c r="EM10" s="280"/>
      <c r="EN10" s="279"/>
      <c r="EO10" s="265" t="e">
        <f t="shared" si="81"/>
        <v>#DIV/0!</v>
      </c>
      <c r="EP10" s="323"/>
      <c r="EQ10" s="323"/>
      <c r="ER10" s="323"/>
      <c r="ES10" s="358"/>
      <c r="ET10" s="358"/>
      <c r="EU10" s="323"/>
      <c r="EV10" s="323"/>
      <c r="EW10" s="323"/>
      <c r="EX10" s="358"/>
      <c r="EY10" s="358"/>
      <c r="EZ10" s="358"/>
      <c r="FA10" s="323"/>
      <c r="FB10" s="323">
        <f t="shared" si="51"/>
        <v>0</v>
      </c>
      <c r="FC10" s="279"/>
      <c r="FD10" s="279"/>
      <c r="FE10" s="279"/>
      <c r="FF10" s="366"/>
      <c r="FG10" s="366"/>
      <c r="FH10" s="279"/>
      <c r="FI10" s="279"/>
      <c r="FJ10" s="279"/>
      <c r="FK10" s="366"/>
      <c r="FL10" s="366"/>
      <c r="FM10" s="366"/>
      <c r="FN10" s="280"/>
      <c r="FO10" s="279"/>
    </row>
    <row r="11" spans="2:173" s="40" customFormat="1" ht="15.75" customHeight="1" x14ac:dyDescent="0.25">
      <c r="B11" s="32"/>
      <c r="C11" s="33">
        <v>1</v>
      </c>
      <c r="D11" s="33"/>
      <c r="E11" s="434">
        <v>3</v>
      </c>
      <c r="F11" s="32"/>
      <c r="G11" s="33">
        <v>1</v>
      </c>
      <c r="H11" s="33">
        <v>1</v>
      </c>
      <c r="I11" s="434"/>
      <c r="J11" s="435"/>
      <c r="K11" s="54"/>
      <c r="M11" s="451">
        <v>3</v>
      </c>
      <c r="N11" s="435" t="s">
        <v>34</v>
      </c>
      <c r="O11" s="435"/>
      <c r="P11" s="24">
        <f t="shared" si="29"/>
        <v>0</v>
      </c>
      <c r="Q11" s="435" t="s">
        <v>501</v>
      </c>
      <c r="R11" s="435" t="s">
        <v>488</v>
      </c>
      <c r="S11" s="435" t="s">
        <v>490</v>
      </c>
      <c r="T11" s="435" t="s">
        <v>488</v>
      </c>
      <c r="U11" s="434">
        <v>1</v>
      </c>
      <c r="V11" s="434">
        <v>4</v>
      </c>
      <c r="W11" s="459">
        <f t="shared" si="58"/>
        <v>65912.088000000003</v>
      </c>
      <c r="X11" s="459"/>
      <c r="Y11" s="459">
        <f>7793.6+953.8</f>
        <v>8747.4</v>
      </c>
      <c r="Z11" s="459">
        <f>42823.866+14340.822</f>
        <v>57164.688000000002</v>
      </c>
      <c r="AA11" s="461"/>
      <c r="AB11" s="459">
        <f t="shared" si="59"/>
        <v>0</v>
      </c>
      <c r="AC11" s="459"/>
      <c r="AD11" s="459">
        <v>0</v>
      </c>
      <c r="AE11" s="459"/>
      <c r="AF11" s="461"/>
      <c r="AG11" s="459">
        <f t="shared" si="60"/>
        <v>0</v>
      </c>
      <c r="AH11" s="459"/>
      <c r="AI11" s="459">
        <v>0</v>
      </c>
      <c r="AJ11" s="459"/>
      <c r="AK11" s="461"/>
      <c r="AL11" s="459">
        <f t="shared" si="61"/>
        <v>0</v>
      </c>
      <c r="AM11" s="459"/>
      <c r="AN11" s="459">
        <v>0</v>
      </c>
      <c r="AO11" s="459"/>
      <c r="AP11" s="461"/>
      <c r="AQ11" s="383" t="s">
        <v>506</v>
      </c>
      <c r="AR11" s="459">
        <f t="shared" si="62"/>
        <v>65396.134000000005</v>
      </c>
      <c r="AS11" s="459"/>
      <c r="AT11" s="469">
        <f>7793.6+953.799+0.001-515.954</f>
        <v>8231.4460000000017</v>
      </c>
      <c r="AU11" s="459">
        <f>42441.728+14722.96</f>
        <v>57164.688000000002</v>
      </c>
      <c r="AV11" s="461"/>
      <c r="AW11" s="459" t="e">
        <f t="shared" si="63"/>
        <v>#REF!</v>
      </c>
      <c r="AX11" s="459" t="e">
        <f>#REF!-AS11</f>
        <v>#REF!</v>
      </c>
      <c r="AY11" s="459" t="e">
        <f>#REF!-AT11</f>
        <v>#REF!</v>
      </c>
      <c r="AZ11" s="459" t="e">
        <f>#REF!-AU11</f>
        <v>#REF!</v>
      </c>
      <c r="BA11" s="459" t="e">
        <f>#REF!-AV11</f>
        <v>#REF!</v>
      </c>
      <c r="BB11" s="459">
        <f t="shared" si="64"/>
        <v>0</v>
      </c>
      <c r="BC11" s="459"/>
      <c r="BD11" s="459"/>
      <c r="BE11" s="459"/>
      <c r="BF11" s="461"/>
      <c r="BG11" s="459">
        <f t="shared" si="65"/>
        <v>0</v>
      </c>
      <c r="BH11" s="459"/>
      <c r="BI11" s="460"/>
      <c r="BJ11" s="459"/>
      <c r="BK11" s="461"/>
      <c r="BL11" s="459">
        <f t="shared" si="66"/>
        <v>65396.133999999991</v>
      </c>
      <c r="BM11" s="459"/>
      <c r="BN11" s="459">
        <f>2587.412+47.301+5596.733</f>
        <v>8231.4459999999999</v>
      </c>
      <c r="BO11" s="459">
        <f>17059.433+8215.69032+6507.54468+5088.513+6188.953-644.288+7582.312+7035.875+130.655</f>
        <v>57164.687999999995</v>
      </c>
      <c r="BP11" s="470"/>
      <c r="BQ11" s="459">
        <f t="shared" si="67"/>
        <v>65396.134000000005</v>
      </c>
      <c r="BR11" s="459"/>
      <c r="BS11" s="459">
        <f>2587.412+5596.733+47.301</f>
        <v>8231.4459999999999</v>
      </c>
      <c r="BT11" s="459">
        <f>17059.433+14723.235+5088.513+6188.953-644.288+7035.875+7641.063+71.904</f>
        <v>57164.688000000009</v>
      </c>
      <c r="BU11" s="461"/>
      <c r="BV11" s="459">
        <f t="shared" si="68"/>
        <v>11160.457949999998</v>
      </c>
      <c r="BW11" s="459"/>
      <c r="BX11" s="459">
        <f>8.74729+263.5262-71.52215+426.442</f>
        <v>627.19334000000003</v>
      </c>
      <c r="BY11" s="459">
        <f>2933.45085+2531.73298+874.99417+1064.22058-111.99794+633.72726+494.98703+139.00727+12.13029+1281.34774+679.66438</f>
        <v>10533.264609999998</v>
      </c>
      <c r="BZ11" s="459"/>
      <c r="CA11" s="464">
        <f t="shared" si="69"/>
        <v>76556.591950000002</v>
      </c>
      <c r="CB11" s="459">
        <f t="shared" si="70"/>
        <v>76556.591950000002</v>
      </c>
      <c r="CC11" s="459">
        <f t="shared" si="71"/>
        <v>0</v>
      </c>
      <c r="CD11" s="459">
        <f t="shared" si="71"/>
        <v>8858.6393399999997</v>
      </c>
      <c r="CE11" s="459">
        <f t="shared" si="71"/>
        <v>67697.952610000008</v>
      </c>
      <c r="CF11" s="459">
        <f t="shared" si="71"/>
        <v>0</v>
      </c>
      <c r="CG11" s="459">
        <f t="shared" si="72"/>
        <v>0</v>
      </c>
      <c r="CH11" s="459">
        <f t="shared" si="73"/>
        <v>0</v>
      </c>
      <c r="CI11" s="459">
        <f t="shared" si="73"/>
        <v>0</v>
      </c>
      <c r="CJ11" s="459">
        <f t="shared" si="73"/>
        <v>0</v>
      </c>
      <c r="CK11" s="459">
        <f t="shared" si="73"/>
        <v>0</v>
      </c>
      <c r="CL11" s="465"/>
      <c r="CM11" s="559">
        <f>BB11+BB14+BB17+AT299</f>
        <v>12134.05</v>
      </c>
      <c r="CN11" s="559">
        <f>CM11+CO17-BG17</f>
        <v>12134.05</v>
      </c>
      <c r="CO11" s="459">
        <f t="shared" si="74"/>
        <v>0</v>
      </c>
      <c r="CP11" s="459"/>
      <c r="CQ11" s="460"/>
      <c r="CR11" s="459"/>
      <c r="CS11" s="461"/>
      <c r="CT11" s="459">
        <f t="shared" si="75"/>
        <v>0</v>
      </c>
      <c r="CU11" s="459"/>
      <c r="CV11" s="460"/>
      <c r="CW11" s="459"/>
      <c r="CX11" s="461"/>
      <c r="CY11" s="459">
        <f t="shared" si="76"/>
        <v>0</v>
      </c>
      <c r="CZ11" s="459">
        <f t="shared" si="82"/>
        <v>0</v>
      </c>
      <c r="DA11" s="459">
        <f t="shared" si="77"/>
        <v>0</v>
      </c>
      <c r="DB11" s="459">
        <f t="shared" si="77"/>
        <v>0</v>
      </c>
      <c r="DC11" s="459">
        <f t="shared" si="77"/>
        <v>0</v>
      </c>
      <c r="DD11" s="459"/>
      <c r="DE11" s="459">
        <v>0</v>
      </c>
      <c r="DF11" s="459">
        <f>DD11-DE11</f>
        <v>0</v>
      </c>
      <c r="DG11" s="459">
        <f t="shared" si="78"/>
        <v>0</v>
      </c>
      <c r="DH11" s="467"/>
      <c r="DI11" s="459">
        <f t="shared" si="79"/>
        <v>65396.133999999991</v>
      </c>
      <c r="DJ11" s="459">
        <f t="shared" si="80"/>
        <v>65396.134000000005</v>
      </c>
      <c r="DK11" s="467"/>
      <c r="DL11" s="560">
        <f>DJ11+DJ14+DJ17</f>
        <v>84207.571430000011</v>
      </c>
      <c r="DM11" s="560">
        <f>DG11+DG14+DG17</f>
        <v>0</v>
      </c>
      <c r="DN11" s="467"/>
      <c r="DO11" s="560">
        <f>CN11-DL11</f>
        <v>-72073.521430000008</v>
      </c>
      <c r="DP11" s="467">
        <f>DO11-DM11</f>
        <v>-72073.521430000008</v>
      </c>
      <c r="DQ11" s="467"/>
      <c r="DR11" s="459">
        <f t="shared" si="8"/>
        <v>65396.133999999991</v>
      </c>
      <c r="DS11" s="459"/>
      <c r="DT11" s="459">
        <f>2587.412+47.301+5596.733</f>
        <v>8231.4459999999999</v>
      </c>
      <c r="DU11" s="459">
        <f>17059.433+8215.69032+6507.54468+5088.513+6188.953-644.288+7582.312+7035.875+130.655</f>
        <v>57164.687999999995</v>
      </c>
      <c r="DV11" s="461"/>
      <c r="DW11" s="459">
        <f t="shared" si="11"/>
        <v>11160.45795</v>
      </c>
      <c r="DX11" s="459"/>
      <c r="DY11" s="459">
        <v>627.19334000000003</v>
      </c>
      <c r="DZ11" s="459">
        <v>10533.26461</v>
      </c>
      <c r="EA11" s="146"/>
      <c r="EB11" s="279"/>
      <c r="EC11" s="279"/>
      <c r="ED11" s="279"/>
      <c r="EE11" s="366"/>
      <c r="EF11" s="366"/>
      <c r="EG11" s="279"/>
      <c r="EH11" s="279"/>
      <c r="EI11" s="279"/>
      <c r="EJ11" s="366"/>
      <c r="EK11" s="366"/>
      <c r="EL11" s="366">
        <v>2.12E-2</v>
      </c>
      <c r="EM11" s="280"/>
      <c r="EN11" s="279"/>
      <c r="EO11" s="265" t="e">
        <f t="shared" si="81"/>
        <v>#DIV/0!</v>
      </c>
      <c r="EP11" s="323">
        <f t="shared" si="46"/>
        <v>8858.6393400000015</v>
      </c>
      <c r="EQ11" s="323">
        <f t="shared" ref="EQ11:EQ74" si="83">AT11</f>
        <v>8231.4460000000017</v>
      </c>
      <c r="ER11" s="323">
        <v>627.19334000000003</v>
      </c>
      <c r="ES11" s="358">
        <f t="shared" ref="ES11:ES19" si="84">EQ11/EP11</f>
        <v>0.92919981094974802</v>
      </c>
      <c r="ET11" s="358">
        <f t="shared" ref="ET11:ET19" si="85">ER11/EP11</f>
        <v>7.0800189050252038E-2</v>
      </c>
      <c r="EU11" s="323">
        <f t="shared" si="49"/>
        <v>8858.6393399999997</v>
      </c>
      <c r="EV11" s="323">
        <f t="shared" ref="EV11:EV19" si="86">DT11</f>
        <v>8231.4459999999999</v>
      </c>
      <c r="EW11" s="323">
        <f t="shared" ref="EW11:EW19" si="87">DY11</f>
        <v>627.19334000000003</v>
      </c>
      <c r="EX11" s="358">
        <f t="shared" ref="EX11:EX19" si="88">EV11/EU11</f>
        <v>0.92919981094974802</v>
      </c>
      <c r="EY11" s="358">
        <f t="shared" ref="EY11:EY19" si="89">EW11/EU11</f>
        <v>7.0800189050252052E-2</v>
      </c>
      <c r="EZ11" s="358">
        <v>7.0800000000000002E-2</v>
      </c>
      <c r="FA11" s="323">
        <f t="shared" ref="FA11:FA38" si="90">EU11*ES11</f>
        <v>8231.4459999999999</v>
      </c>
      <c r="FB11" s="323">
        <f t="shared" si="51"/>
        <v>0</v>
      </c>
      <c r="FC11" s="279">
        <f t="shared" ref="FC11:FC17" si="91">FD11+FE11</f>
        <v>67697.952610000008</v>
      </c>
      <c r="FD11" s="279">
        <f t="shared" si="53"/>
        <v>57164.688000000002</v>
      </c>
      <c r="FE11" s="279">
        <v>10533.26461</v>
      </c>
      <c r="FF11" s="366">
        <f t="shared" ref="FF11:FF17" si="92">FD11/FC11</f>
        <v>0.8444079295768232</v>
      </c>
      <c r="FG11" s="366">
        <f t="shared" ref="FG11:FG17" si="93">FE11/FC11</f>
        <v>0.15559207042317671</v>
      </c>
      <c r="FH11" s="279">
        <f t="shared" si="55"/>
        <v>67697.952609999993</v>
      </c>
      <c r="FI11" s="279">
        <f t="shared" ref="FI11:FI17" si="94">DU11</f>
        <v>57164.687999999995</v>
      </c>
      <c r="FJ11" s="279">
        <f t="shared" ref="FJ11:FJ17" si="95">DZ11</f>
        <v>10533.26461</v>
      </c>
      <c r="FK11" s="366">
        <f t="shared" ref="FK11:FK17" si="96">FI11/FH11</f>
        <v>0.84440792957682331</v>
      </c>
      <c r="FL11" s="366">
        <f t="shared" ref="FL11:FL17" si="97">FJ11/FH11</f>
        <v>0.15559207042317674</v>
      </c>
      <c r="FM11" s="366">
        <v>7.0800000000000002E-2</v>
      </c>
      <c r="FN11" s="280">
        <f t="shared" ref="FN11:FN17" si="98">FH11*FF11</f>
        <v>57164.687999999987</v>
      </c>
      <c r="FO11" s="279">
        <f t="shared" si="57"/>
        <v>0</v>
      </c>
    </row>
    <row r="12" spans="2:173" s="40" customFormat="1" ht="15.75" customHeight="1" x14ac:dyDescent="0.25">
      <c r="B12" s="32"/>
      <c r="C12" s="33"/>
      <c r="D12" s="33">
        <v>1</v>
      </c>
      <c r="E12" s="434">
        <v>4</v>
      </c>
      <c r="F12" s="32"/>
      <c r="G12" s="33"/>
      <c r="H12" s="33">
        <v>1</v>
      </c>
      <c r="I12" s="434"/>
      <c r="J12" s="435"/>
      <c r="K12" s="54"/>
      <c r="M12" s="434">
        <v>4</v>
      </c>
      <c r="N12" s="435" t="s">
        <v>194</v>
      </c>
      <c r="O12" s="435"/>
      <c r="P12" s="24">
        <f t="shared" si="29"/>
        <v>0</v>
      </c>
      <c r="Q12" s="435"/>
      <c r="R12" s="435"/>
      <c r="S12" s="435" t="s">
        <v>491</v>
      </c>
      <c r="T12" s="435" t="s">
        <v>488</v>
      </c>
      <c r="U12" s="434">
        <v>1</v>
      </c>
      <c r="V12" s="434">
        <v>1</v>
      </c>
      <c r="W12" s="459">
        <f t="shared" si="58"/>
        <v>1107.2</v>
      </c>
      <c r="X12" s="459"/>
      <c r="Y12" s="460">
        <v>1107.2</v>
      </c>
      <c r="Z12" s="459"/>
      <c r="AA12" s="461"/>
      <c r="AB12" s="459">
        <f t="shared" si="59"/>
        <v>1117.8</v>
      </c>
      <c r="AC12" s="459"/>
      <c r="AD12" s="460">
        <v>1117.8</v>
      </c>
      <c r="AE12" s="459"/>
      <c r="AF12" s="461"/>
      <c r="AG12" s="459">
        <f t="shared" si="60"/>
        <v>1117.8</v>
      </c>
      <c r="AH12" s="459"/>
      <c r="AI12" s="460">
        <v>1117.8</v>
      </c>
      <c r="AJ12" s="459"/>
      <c r="AK12" s="461"/>
      <c r="AL12" s="459">
        <f t="shared" si="61"/>
        <v>486</v>
      </c>
      <c r="AM12" s="459"/>
      <c r="AN12" s="460">
        <v>486</v>
      </c>
      <c r="AO12" s="459"/>
      <c r="AP12" s="461"/>
      <c r="AQ12" s="383" t="s">
        <v>468</v>
      </c>
      <c r="AR12" s="459">
        <f t="shared" si="62"/>
        <v>955</v>
      </c>
      <c r="AS12" s="459"/>
      <c r="AT12" s="462">
        <f>1107.2-152.2</f>
        <v>955</v>
      </c>
      <c r="AU12" s="459"/>
      <c r="AV12" s="461"/>
      <c r="AW12" s="459" t="e">
        <f t="shared" si="63"/>
        <v>#REF!</v>
      </c>
      <c r="AX12" s="459" t="e">
        <f>#REF!-AS12</f>
        <v>#REF!</v>
      </c>
      <c r="AY12" s="459" t="e">
        <f>#REF!-AT12</f>
        <v>#REF!</v>
      </c>
      <c r="AZ12" s="459" t="e">
        <f>#REF!-AU12</f>
        <v>#REF!</v>
      </c>
      <c r="BA12" s="459" t="e">
        <f>#REF!-AV12</f>
        <v>#REF!</v>
      </c>
      <c r="BB12" s="459">
        <f t="shared" si="64"/>
        <v>1117.8</v>
      </c>
      <c r="BC12" s="459"/>
      <c r="BD12" s="460">
        <v>1117.8</v>
      </c>
      <c r="BE12" s="459"/>
      <c r="BF12" s="461"/>
      <c r="BG12" s="459">
        <f t="shared" si="65"/>
        <v>0</v>
      </c>
      <c r="BH12" s="459"/>
      <c r="BI12" s="460"/>
      <c r="BJ12" s="459"/>
      <c r="BK12" s="461"/>
      <c r="BL12" s="459">
        <f t="shared" si="66"/>
        <v>955</v>
      </c>
      <c r="BM12" s="459"/>
      <c r="BN12" s="462">
        <f>1107.2-152.2</f>
        <v>955</v>
      </c>
      <c r="BO12" s="459"/>
      <c r="BP12" s="470"/>
      <c r="BQ12" s="459">
        <f t="shared" si="67"/>
        <v>955</v>
      </c>
      <c r="BR12" s="459"/>
      <c r="BS12" s="462">
        <f>1107.2-152.2</f>
        <v>955</v>
      </c>
      <c r="BT12" s="459"/>
      <c r="BU12" s="461"/>
      <c r="BV12" s="459">
        <f t="shared" si="68"/>
        <v>82.049440000000004</v>
      </c>
      <c r="BW12" s="459"/>
      <c r="BX12" s="459">
        <v>82.049440000000004</v>
      </c>
      <c r="BY12" s="459"/>
      <c r="BZ12" s="459"/>
      <c r="CA12" s="464">
        <f t="shared" si="69"/>
        <v>1037.04944</v>
      </c>
      <c r="CB12" s="459">
        <f t="shared" si="70"/>
        <v>1037.04944</v>
      </c>
      <c r="CC12" s="459">
        <f t="shared" si="71"/>
        <v>0</v>
      </c>
      <c r="CD12" s="459">
        <f t="shared" si="71"/>
        <v>1037.04944</v>
      </c>
      <c r="CE12" s="459">
        <f t="shared" si="71"/>
        <v>0</v>
      </c>
      <c r="CF12" s="459">
        <f t="shared" si="71"/>
        <v>0</v>
      </c>
      <c r="CG12" s="459">
        <f t="shared" si="72"/>
        <v>0</v>
      </c>
      <c r="CH12" s="459">
        <f t="shared" si="73"/>
        <v>0</v>
      </c>
      <c r="CI12" s="459">
        <f t="shared" si="73"/>
        <v>0</v>
      </c>
      <c r="CJ12" s="459">
        <f t="shared" si="73"/>
        <v>0</v>
      </c>
      <c r="CK12" s="459">
        <f t="shared" si="73"/>
        <v>0</v>
      </c>
      <c r="CL12" s="465"/>
      <c r="CM12" s="466">
        <f>BB12+BB13+BB15+BB16+BB18+BB19</f>
        <v>5561.4</v>
      </c>
      <c r="CN12" s="466">
        <f>CM12-BG15</f>
        <v>5561.4</v>
      </c>
      <c r="CO12" s="459">
        <f t="shared" si="74"/>
        <v>0</v>
      </c>
      <c r="CP12" s="459"/>
      <c r="CQ12" s="460"/>
      <c r="CR12" s="459"/>
      <c r="CS12" s="461"/>
      <c r="CT12" s="459">
        <f t="shared" si="75"/>
        <v>0</v>
      </c>
      <c r="CU12" s="459"/>
      <c r="CV12" s="460"/>
      <c r="CW12" s="459"/>
      <c r="CX12" s="461"/>
      <c r="CY12" s="459">
        <f t="shared" si="76"/>
        <v>0</v>
      </c>
      <c r="CZ12" s="459">
        <f t="shared" si="82"/>
        <v>0</v>
      </c>
      <c r="DA12" s="459">
        <f t="shared" si="77"/>
        <v>0</v>
      </c>
      <c r="DB12" s="459">
        <f t="shared" si="77"/>
        <v>0</v>
      </c>
      <c r="DC12" s="459">
        <f t="shared" si="77"/>
        <v>0</v>
      </c>
      <c r="DD12" s="459"/>
      <c r="DE12" s="459"/>
      <c r="DF12" s="459"/>
      <c r="DG12" s="459">
        <f t="shared" si="78"/>
        <v>0</v>
      </c>
      <c r="DH12" s="467"/>
      <c r="DI12" s="459">
        <f t="shared" si="79"/>
        <v>955</v>
      </c>
      <c r="DJ12" s="459">
        <f t="shared" si="80"/>
        <v>955</v>
      </c>
      <c r="DK12" s="467"/>
      <c r="DL12" s="459">
        <f>DJ12+DJ13+DJ15+DJ16+DJ18+DJ19</f>
        <v>4416.6570599999995</v>
      </c>
      <c r="DM12" s="459">
        <f>DG12+DG13+DG15+DG16+DG18+DG19</f>
        <v>0</v>
      </c>
      <c r="DN12" s="467"/>
      <c r="DO12" s="459">
        <f>CN12-DL12</f>
        <v>1144.7429400000001</v>
      </c>
      <c r="DP12" s="467"/>
      <c r="DQ12" s="467"/>
      <c r="DR12" s="459">
        <f t="shared" si="8"/>
        <v>955</v>
      </c>
      <c r="DS12" s="459"/>
      <c r="DT12" s="462">
        <f>1107.2-152.2</f>
        <v>955</v>
      </c>
      <c r="DU12" s="459"/>
      <c r="DV12" s="461"/>
      <c r="DW12" s="459">
        <f t="shared" si="11"/>
        <v>82.049440000000004</v>
      </c>
      <c r="DX12" s="459"/>
      <c r="DY12" s="459">
        <v>82.049440000000004</v>
      </c>
      <c r="DZ12" s="459"/>
      <c r="EA12" s="146"/>
      <c r="EB12" s="279"/>
      <c r="EC12" s="279"/>
      <c r="ED12" s="279"/>
      <c r="EE12" s="366"/>
      <c r="EF12" s="366"/>
      <c r="EG12" s="279"/>
      <c r="EH12" s="279"/>
      <c r="EI12" s="279"/>
      <c r="EJ12" s="366"/>
      <c r="EK12" s="366"/>
      <c r="EL12" s="366">
        <v>2.3599999999999999E-2</v>
      </c>
      <c r="EM12" s="280"/>
      <c r="EN12" s="279"/>
      <c r="EO12" s="265" t="e">
        <f t="shared" si="81"/>
        <v>#DIV/0!</v>
      </c>
      <c r="EP12" s="323">
        <f t="shared" si="46"/>
        <v>1037.04944</v>
      </c>
      <c r="EQ12" s="323">
        <f t="shared" si="83"/>
        <v>955</v>
      </c>
      <c r="ER12" s="323">
        <v>82.049440000000004</v>
      </c>
      <c r="ES12" s="358">
        <f t="shared" si="84"/>
        <v>0.92088184339601009</v>
      </c>
      <c r="ET12" s="358">
        <f t="shared" si="85"/>
        <v>7.9118156603989881E-2</v>
      </c>
      <c r="EU12" s="323">
        <f t="shared" si="49"/>
        <v>1037.04944</v>
      </c>
      <c r="EV12" s="323">
        <f t="shared" si="86"/>
        <v>955</v>
      </c>
      <c r="EW12" s="323">
        <f t="shared" si="87"/>
        <v>82.049440000000004</v>
      </c>
      <c r="EX12" s="358">
        <f t="shared" si="88"/>
        <v>0.92088184339601009</v>
      </c>
      <c r="EY12" s="358">
        <f t="shared" si="89"/>
        <v>7.9118156603989881E-2</v>
      </c>
      <c r="EZ12" s="358">
        <v>7.85E-2</v>
      </c>
      <c r="FA12" s="323">
        <f t="shared" si="90"/>
        <v>955</v>
      </c>
      <c r="FB12" s="323">
        <f t="shared" si="51"/>
        <v>0</v>
      </c>
      <c r="FC12" s="279"/>
      <c r="FD12" s="279"/>
      <c r="FE12" s="279"/>
      <c r="FF12" s="366"/>
      <c r="FG12" s="366"/>
      <c r="FH12" s="279"/>
      <c r="FI12" s="279"/>
      <c r="FJ12" s="279"/>
      <c r="FK12" s="366"/>
      <c r="FL12" s="366"/>
      <c r="FM12" s="366">
        <v>7.85E-2</v>
      </c>
      <c r="FN12" s="280"/>
      <c r="FO12" s="279"/>
    </row>
    <row r="13" spans="2:173" s="40" customFormat="1" ht="15.75" customHeight="1" x14ac:dyDescent="0.25">
      <c r="B13" s="32"/>
      <c r="C13" s="33"/>
      <c r="D13" s="33">
        <v>1</v>
      </c>
      <c r="E13" s="434">
        <v>5</v>
      </c>
      <c r="F13" s="32"/>
      <c r="G13" s="33"/>
      <c r="H13" s="33">
        <v>1</v>
      </c>
      <c r="I13" s="434"/>
      <c r="J13" s="435"/>
      <c r="K13" s="54"/>
      <c r="M13" s="434">
        <v>5</v>
      </c>
      <c r="N13" s="435" t="s">
        <v>72</v>
      </c>
      <c r="O13" s="435"/>
      <c r="P13" s="24">
        <f t="shared" si="29"/>
        <v>0</v>
      </c>
      <c r="Q13" s="435"/>
      <c r="R13" s="435"/>
      <c r="S13" s="435"/>
      <c r="T13" s="435"/>
      <c r="U13" s="434"/>
      <c r="V13" s="434"/>
      <c r="W13" s="459">
        <f t="shared" si="58"/>
        <v>0</v>
      </c>
      <c r="X13" s="459"/>
      <c r="Y13" s="460">
        <f>503.5-503.5</f>
        <v>0</v>
      </c>
      <c r="Z13" s="459"/>
      <c r="AA13" s="461"/>
      <c r="AB13" s="459">
        <f t="shared" si="59"/>
        <v>473.8</v>
      </c>
      <c r="AC13" s="459"/>
      <c r="AD13" s="460">
        <v>473.8</v>
      </c>
      <c r="AE13" s="459"/>
      <c r="AF13" s="461"/>
      <c r="AG13" s="459">
        <f t="shared" si="60"/>
        <v>473.8</v>
      </c>
      <c r="AH13" s="459"/>
      <c r="AI13" s="460">
        <v>473.8</v>
      </c>
      <c r="AJ13" s="459"/>
      <c r="AK13" s="461"/>
      <c r="AL13" s="459">
        <f t="shared" si="61"/>
        <v>206</v>
      </c>
      <c r="AM13" s="459"/>
      <c r="AN13" s="460">
        <v>206</v>
      </c>
      <c r="AO13" s="459"/>
      <c r="AP13" s="461"/>
      <c r="AQ13" s="471"/>
      <c r="AR13" s="464">
        <f t="shared" si="62"/>
        <v>0</v>
      </c>
      <c r="AS13" s="459"/>
      <c r="AT13" s="462"/>
      <c r="AU13" s="459"/>
      <c r="AV13" s="461"/>
      <c r="AW13" s="459" t="e">
        <f t="shared" si="63"/>
        <v>#REF!</v>
      </c>
      <c r="AX13" s="459" t="e">
        <f>#REF!-AS13</f>
        <v>#REF!</v>
      </c>
      <c r="AY13" s="459" t="e">
        <f>#REF!-AT13</f>
        <v>#REF!</v>
      </c>
      <c r="AZ13" s="459" t="e">
        <f>#REF!-AU13</f>
        <v>#REF!</v>
      </c>
      <c r="BA13" s="459" t="e">
        <f>#REF!-AV13</f>
        <v>#REF!</v>
      </c>
      <c r="BB13" s="459">
        <f t="shared" si="64"/>
        <v>473.8</v>
      </c>
      <c r="BC13" s="459"/>
      <c r="BD13" s="460">
        <v>473.8</v>
      </c>
      <c r="BE13" s="459"/>
      <c r="BF13" s="461"/>
      <c r="BG13" s="459">
        <f t="shared" si="65"/>
        <v>0</v>
      </c>
      <c r="BH13" s="459"/>
      <c r="BI13" s="460"/>
      <c r="BJ13" s="459"/>
      <c r="BK13" s="461"/>
      <c r="BL13" s="459">
        <f t="shared" si="66"/>
        <v>0</v>
      </c>
      <c r="BM13" s="459"/>
      <c r="BN13" s="460"/>
      <c r="BO13" s="459"/>
      <c r="BP13" s="470"/>
      <c r="BQ13" s="459">
        <f t="shared" si="67"/>
        <v>0</v>
      </c>
      <c r="BR13" s="459"/>
      <c r="BS13" s="470"/>
      <c r="BT13" s="459"/>
      <c r="BU13" s="461"/>
      <c r="BV13" s="459">
        <f t="shared" si="68"/>
        <v>0</v>
      </c>
      <c r="BW13" s="459"/>
      <c r="BX13" s="459"/>
      <c r="BY13" s="459"/>
      <c r="BZ13" s="459"/>
      <c r="CA13" s="464">
        <f t="shared" si="69"/>
        <v>0</v>
      </c>
      <c r="CB13" s="459">
        <f t="shared" si="70"/>
        <v>0</v>
      </c>
      <c r="CC13" s="459">
        <f t="shared" si="71"/>
        <v>0</v>
      </c>
      <c r="CD13" s="459">
        <f t="shared" si="71"/>
        <v>0</v>
      </c>
      <c r="CE13" s="459">
        <f t="shared" si="71"/>
        <v>0</v>
      </c>
      <c r="CF13" s="459">
        <f t="shared" si="71"/>
        <v>0</v>
      </c>
      <c r="CG13" s="459">
        <f t="shared" si="72"/>
        <v>0</v>
      </c>
      <c r="CH13" s="459">
        <f t="shared" si="73"/>
        <v>0</v>
      </c>
      <c r="CI13" s="459">
        <f t="shared" si="73"/>
        <v>0</v>
      </c>
      <c r="CJ13" s="459">
        <f t="shared" si="73"/>
        <v>0</v>
      </c>
      <c r="CK13" s="459">
        <f t="shared" si="73"/>
        <v>0</v>
      </c>
      <c r="CL13" s="465"/>
      <c r="CM13" s="466"/>
      <c r="CN13" s="466"/>
      <c r="CO13" s="459">
        <f t="shared" si="74"/>
        <v>0</v>
      </c>
      <c r="CP13" s="459"/>
      <c r="CQ13" s="460"/>
      <c r="CR13" s="459"/>
      <c r="CS13" s="461"/>
      <c r="CT13" s="459">
        <f t="shared" si="75"/>
        <v>0</v>
      </c>
      <c r="CU13" s="459"/>
      <c r="CV13" s="460"/>
      <c r="CW13" s="459"/>
      <c r="CX13" s="461"/>
      <c r="CY13" s="459">
        <f t="shared" si="76"/>
        <v>0</v>
      </c>
      <c r="CZ13" s="459">
        <f t="shared" si="82"/>
        <v>0</v>
      </c>
      <c r="DA13" s="459">
        <f t="shared" si="77"/>
        <v>0</v>
      </c>
      <c r="DB13" s="459">
        <f t="shared" si="77"/>
        <v>0</v>
      </c>
      <c r="DC13" s="459">
        <f t="shared" si="77"/>
        <v>0</v>
      </c>
      <c r="DD13" s="459"/>
      <c r="DE13" s="459"/>
      <c r="DF13" s="459"/>
      <c r="DG13" s="459">
        <f t="shared" si="78"/>
        <v>0</v>
      </c>
      <c r="DH13" s="467"/>
      <c r="DI13" s="459">
        <f t="shared" si="79"/>
        <v>0</v>
      </c>
      <c r="DJ13" s="459">
        <f t="shared" si="80"/>
        <v>0</v>
      </c>
      <c r="DK13" s="467"/>
      <c r="DL13" s="459"/>
      <c r="DM13" s="459"/>
      <c r="DN13" s="467"/>
      <c r="DO13" s="459"/>
      <c r="DP13" s="467"/>
      <c r="DQ13" s="467"/>
      <c r="DR13" s="459">
        <f t="shared" si="8"/>
        <v>0</v>
      </c>
      <c r="DS13" s="459"/>
      <c r="DT13" s="470"/>
      <c r="DU13" s="459"/>
      <c r="DV13" s="461"/>
      <c r="DW13" s="459">
        <f t="shared" si="11"/>
        <v>0</v>
      </c>
      <c r="DX13" s="459"/>
      <c r="DY13" s="459"/>
      <c r="DZ13" s="459"/>
      <c r="EA13" s="146"/>
      <c r="EB13" s="279"/>
      <c r="EC13" s="279"/>
      <c r="ED13" s="279"/>
      <c r="EE13" s="366"/>
      <c r="EF13" s="366"/>
      <c r="EG13" s="279"/>
      <c r="EH13" s="279"/>
      <c r="EI13" s="279"/>
      <c r="EJ13" s="366"/>
      <c r="EK13" s="366"/>
      <c r="EL13" s="366">
        <v>2.1299999999999999E-2</v>
      </c>
      <c r="EM13" s="280"/>
      <c r="EN13" s="279"/>
      <c r="EO13" s="265" t="e">
        <f t="shared" si="81"/>
        <v>#DIV/0!</v>
      </c>
      <c r="EP13" s="323"/>
      <c r="EQ13" s="323"/>
      <c r="ER13" s="323"/>
      <c r="ES13" s="358"/>
      <c r="ET13" s="358"/>
      <c r="EU13" s="323"/>
      <c r="EV13" s="323"/>
      <c r="EW13" s="323"/>
      <c r="EX13" s="358"/>
      <c r="EY13" s="358"/>
      <c r="EZ13" s="358">
        <v>7.0999999999999994E-2</v>
      </c>
      <c r="FA13" s="323"/>
      <c r="FB13" s="323">
        <f t="shared" si="51"/>
        <v>0</v>
      </c>
      <c r="FC13" s="279"/>
      <c r="FD13" s="279"/>
      <c r="FE13" s="279"/>
      <c r="FF13" s="366"/>
      <c r="FG13" s="366"/>
      <c r="FH13" s="279"/>
      <c r="FI13" s="279"/>
      <c r="FJ13" s="279"/>
      <c r="FK13" s="366"/>
      <c r="FL13" s="366"/>
      <c r="FM13" s="366">
        <v>7.0999999999999994E-2</v>
      </c>
      <c r="FN13" s="280"/>
      <c r="FO13" s="279"/>
    </row>
    <row r="14" spans="2:173" s="40" customFormat="1" ht="15.75" customHeight="1" x14ac:dyDescent="0.25">
      <c r="B14" s="32"/>
      <c r="C14" s="33">
        <v>1</v>
      </c>
      <c r="D14" s="33"/>
      <c r="E14" s="434">
        <v>6</v>
      </c>
      <c r="F14" s="32"/>
      <c r="G14" s="33">
        <v>1</v>
      </c>
      <c r="H14" s="33">
        <v>1</v>
      </c>
      <c r="I14" s="434"/>
      <c r="J14" s="435"/>
      <c r="K14" s="54"/>
      <c r="M14" s="434">
        <v>6</v>
      </c>
      <c r="N14" s="435" t="s">
        <v>195</v>
      </c>
      <c r="O14" s="435"/>
      <c r="P14" s="24">
        <f t="shared" si="29"/>
        <v>0</v>
      </c>
      <c r="Q14" s="435"/>
      <c r="R14" s="435"/>
      <c r="S14" s="435" t="s">
        <v>490</v>
      </c>
      <c r="T14" s="435" t="s">
        <v>488</v>
      </c>
      <c r="U14" s="434">
        <v>1</v>
      </c>
      <c r="V14" s="434"/>
      <c r="W14" s="459">
        <f t="shared" si="58"/>
        <v>1876.8</v>
      </c>
      <c r="X14" s="459"/>
      <c r="Y14" s="460">
        <v>1876.8</v>
      </c>
      <c r="Z14" s="459"/>
      <c r="AA14" s="461"/>
      <c r="AB14" s="459">
        <f t="shared" si="59"/>
        <v>4532.6000000000004</v>
      </c>
      <c r="AC14" s="459"/>
      <c r="AD14" s="460">
        <v>1895.2</v>
      </c>
      <c r="AE14" s="459">
        <v>2637.4</v>
      </c>
      <c r="AF14" s="461"/>
      <c r="AG14" s="459">
        <f t="shared" si="60"/>
        <v>4532.6000000000004</v>
      </c>
      <c r="AH14" s="459"/>
      <c r="AI14" s="460">
        <v>1895.2</v>
      </c>
      <c r="AJ14" s="459">
        <v>2637.4</v>
      </c>
      <c r="AK14" s="461"/>
      <c r="AL14" s="459">
        <f t="shared" si="61"/>
        <v>3461.4</v>
      </c>
      <c r="AM14" s="459"/>
      <c r="AN14" s="460">
        <v>824</v>
      </c>
      <c r="AO14" s="459">
        <v>2637.4</v>
      </c>
      <c r="AP14" s="461"/>
      <c r="AQ14" s="398" t="s">
        <v>370</v>
      </c>
      <c r="AR14" s="459">
        <f t="shared" si="62"/>
        <v>1876.8</v>
      </c>
      <c r="AS14" s="459"/>
      <c r="AT14" s="462">
        <v>1876.8</v>
      </c>
      <c r="AU14" s="459"/>
      <c r="AV14" s="461"/>
      <c r="AW14" s="459" t="e">
        <f t="shared" si="63"/>
        <v>#REF!</v>
      </c>
      <c r="AX14" s="459" t="e">
        <f>#REF!-AS14</f>
        <v>#REF!</v>
      </c>
      <c r="AY14" s="459" t="e">
        <f>#REF!-AT14</f>
        <v>#REF!</v>
      </c>
      <c r="AZ14" s="459" t="e">
        <f>#REF!-AU14</f>
        <v>#REF!</v>
      </c>
      <c r="BA14" s="459" t="e">
        <f>#REF!-AV14</f>
        <v>#REF!</v>
      </c>
      <c r="BB14" s="459">
        <f t="shared" si="64"/>
        <v>4532.55</v>
      </c>
      <c r="BC14" s="459"/>
      <c r="BD14" s="460">
        <f>824+1071.2</f>
        <v>1895.2</v>
      </c>
      <c r="BE14" s="459">
        <v>2637.35</v>
      </c>
      <c r="BF14" s="461"/>
      <c r="BG14" s="459">
        <f t="shared" si="65"/>
        <v>0</v>
      </c>
      <c r="BH14" s="459"/>
      <c r="BI14" s="460"/>
      <c r="BJ14" s="459"/>
      <c r="BK14" s="461"/>
      <c r="BL14" s="459">
        <f t="shared" si="66"/>
        <v>1876.8</v>
      </c>
      <c r="BM14" s="459"/>
      <c r="BN14" s="462">
        <v>1876.8</v>
      </c>
      <c r="BO14" s="459"/>
      <c r="BP14" s="470"/>
      <c r="BQ14" s="459">
        <f t="shared" si="67"/>
        <v>1876.8</v>
      </c>
      <c r="BR14" s="459"/>
      <c r="BS14" s="462">
        <v>1876.8</v>
      </c>
      <c r="BT14" s="459"/>
      <c r="BU14" s="461"/>
      <c r="BV14" s="459">
        <f t="shared" si="68"/>
        <v>1734.6559999999999</v>
      </c>
      <c r="BW14" s="459"/>
      <c r="BX14" s="459">
        <v>1734.6559999999999</v>
      </c>
      <c r="BY14" s="459"/>
      <c r="BZ14" s="459"/>
      <c r="CA14" s="464">
        <f t="shared" si="69"/>
        <v>3611.4560000000001</v>
      </c>
      <c r="CB14" s="459">
        <f t="shared" si="70"/>
        <v>3611.4560000000001</v>
      </c>
      <c r="CC14" s="459">
        <f t="shared" si="71"/>
        <v>0</v>
      </c>
      <c r="CD14" s="459">
        <f t="shared" si="71"/>
        <v>3611.4560000000001</v>
      </c>
      <c r="CE14" s="459">
        <f t="shared" si="71"/>
        <v>0</v>
      </c>
      <c r="CF14" s="459">
        <f t="shared" si="71"/>
        <v>0</v>
      </c>
      <c r="CG14" s="459">
        <f t="shared" si="72"/>
        <v>0</v>
      </c>
      <c r="CH14" s="459">
        <f t="shared" si="73"/>
        <v>0</v>
      </c>
      <c r="CI14" s="459">
        <f t="shared" si="73"/>
        <v>0</v>
      </c>
      <c r="CJ14" s="459">
        <f t="shared" si="73"/>
        <v>0</v>
      </c>
      <c r="CK14" s="459">
        <f t="shared" si="73"/>
        <v>0</v>
      </c>
      <c r="CL14" s="465"/>
      <c r="CM14" s="466"/>
      <c r="CN14" s="466"/>
      <c r="CO14" s="459">
        <f t="shared" si="74"/>
        <v>0</v>
      </c>
      <c r="CP14" s="459"/>
      <c r="CQ14" s="460"/>
      <c r="CR14" s="459"/>
      <c r="CS14" s="461"/>
      <c r="CT14" s="459">
        <f t="shared" si="75"/>
        <v>0</v>
      </c>
      <c r="CU14" s="459"/>
      <c r="CV14" s="460"/>
      <c r="CW14" s="459"/>
      <c r="CX14" s="461"/>
      <c r="CY14" s="459">
        <f t="shared" si="76"/>
        <v>0</v>
      </c>
      <c r="CZ14" s="459">
        <f t="shared" si="82"/>
        <v>0</v>
      </c>
      <c r="DA14" s="459">
        <f t="shared" si="77"/>
        <v>0</v>
      </c>
      <c r="DB14" s="459">
        <f t="shared" si="77"/>
        <v>0</v>
      </c>
      <c r="DC14" s="459">
        <f t="shared" si="77"/>
        <v>0</v>
      </c>
      <c r="DD14" s="459"/>
      <c r="DE14" s="459"/>
      <c r="DF14" s="459"/>
      <c r="DG14" s="459">
        <f t="shared" si="78"/>
        <v>0</v>
      </c>
      <c r="DH14" s="467"/>
      <c r="DI14" s="459">
        <f t="shared" si="79"/>
        <v>1876.8</v>
      </c>
      <c r="DJ14" s="459">
        <f t="shared" si="80"/>
        <v>1876.8</v>
      </c>
      <c r="DK14" s="467"/>
      <c r="DL14" s="459"/>
      <c r="DM14" s="459"/>
      <c r="DN14" s="467"/>
      <c r="DO14" s="459"/>
      <c r="DP14" s="467"/>
      <c r="DQ14" s="467"/>
      <c r="DR14" s="459">
        <f t="shared" si="8"/>
        <v>1876.8</v>
      </c>
      <c r="DS14" s="459"/>
      <c r="DT14" s="460">
        <v>1876.8</v>
      </c>
      <c r="DU14" s="459"/>
      <c r="DV14" s="461"/>
      <c r="DW14" s="459">
        <f t="shared" si="11"/>
        <v>1734.6559999999999</v>
      </c>
      <c r="DX14" s="459"/>
      <c r="DY14" s="459">
        <v>1734.6559999999999</v>
      </c>
      <c r="DZ14" s="459"/>
      <c r="EA14" s="146"/>
      <c r="EB14" s="279"/>
      <c r="EC14" s="279"/>
      <c r="ED14" s="279"/>
      <c r="EE14" s="366"/>
      <c r="EF14" s="366"/>
      <c r="EG14" s="279"/>
      <c r="EH14" s="279"/>
      <c r="EI14" s="279"/>
      <c r="EJ14" s="366"/>
      <c r="EK14" s="366"/>
      <c r="EL14" s="366">
        <v>2.24E-2</v>
      </c>
      <c r="EM14" s="280"/>
      <c r="EN14" s="279"/>
      <c r="EO14" s="265" t="e">
        <f t="shared" si="81"/>
        <v>#DIV/0!</v>
      </c>
      <c r="EP14" s="323">
        <f t="shared" si="46"/>
        <v>3611.4560000000001</v>
      </c>
      <c r="EQ14" s="323">
        <f t="shared" si="83"/>
        <v>1876.8</v>
      </c>
      <c r="ER14" s="323">
        <v>1734.6559999999999</v>
      </c>
      <c r="ES14" s="358">
        <f t="shared" si="84"/>
        <v>0.51967959737014657</v>
      </c>
      <c r="ET14" s="358">
        <f t="shared" si="85"/>
        <v>0.48032040262985343</v>
      </c>
      <c r="EU14" s="323">
        <f t="shared" si="49"/>
        <v>3611.4560000000001</v>
      </c>
      <c r="EV14" s="323">
        <f t="shared" si="86"/>
        <v>1876.8</v>
      </c>
      <c r="EW14" s="323">
        <f t="shared" si="87"/>
        <v>1734.6559999999999</v>
      </c>
      <c r="EX14" s="358">
        <f t="shared" si="88"/>
        <v>0.51967959737014657</v>
      </c>
      <c r="EY14" s="358">
        <f t="shared" si="89"/>
        <v>0.48032040262985343</v>
      </c>
      <c r="EZ14" s="358">
        <v>7.4800000000000005E-2</v>
      </c>
      <c r="FA14" s="323">
        <f t="shared" si="90"/>
        <v>1876.8000000000002</v>
      </c>
      <c r="FB14" s="323">
        <f t="shared" si="51"/>
        <v>0</v>
      </c>
      <c r="FC14" s="279"/>
      <c r="FD14" s="279"/>
      <c r="FE14" s="279"/>
      <c r="FF14" s="366"/>
      <c r="FG14" s="366"/>
      <c r="FH14" s="279"/>
      <c r="FI14" s="279"/>
      <c r="FJ14" s="279"/>
      <c r="FK14" s="366"/>
      <c r="FL14" s="366"/>
      <c r="FM14" s="366">
        <v>7.4800000000000005E-2</v>
      </c>
      <c r="FN14" s="280"/>
      <c r="FO14" s="279"/>
    </row>
    <row r="15" spans="2:173" s="40" customFormat="1" ht="16.149999999999999" customHeight="1" x14ac:dyDescent="0.25">
      <c r="B15" s="32"/>
      <c r="C15" s="33"/>
      <c r="D15" s="33">
        <v>1</v>
      </c>
      <c r="E15" s="434">
        <v>7</v>
      </c>
      <c r="F15" s="32"/>
      <c r="G15" s="33"/>
      <c r="H15" s="33">
        <v>1</v>
      </c>
      <c r="M15" s="434">
        <v>7</v>
      </c>
      <c r="N15" s="435" t="s">
        <v>196</v>
      </c>
      <c r="O15" s="435"/>
      <c r="P15" s="24">
        <f t="shared" si="29"/>
        <v>0</v>
      </c>
      <c r="Q15" s="435" t="s">
        <v>491</v>
      </c>
      <c r="R15" s="435" t="s">
        <v>488</v>
      </c>
      <c r="S15" s="435" t="s">
        <v>491</v>
      </c>
      <c r="T15" s="435" t="s">
        <v>488</v>
      </c>
      <c r="U15" s="434">
        <v>1</v>
      </c>
      <c r="V15" s="434">
        <v>1</v>
      </c>
      <c r="W15" s="459">
        <f t="shared" si="58"/>
        <v>1713.1</v>
      </c>
      <c r="X15" s="459"/>
      <c r="Y15" s="460">
        <v>1713.1</v>
      </c>
      <c r="Z15" s="459"/>
      <c r="AA15" s="472"/>
      <c r="AB15" s="459">
        <f t="shared" si="59"/>
        <v>1729.6</v>
      </c>
      <c r="AC15" s="459"/>
      <c r="AD15" s="460">
        <v>1729.6</v>
      </c>
      <c r="AE15" s="459"/>
      <c r="AF15" s="472"/>
      <c r="AG15" s="459">
        <f t="shared" si="60"/>
        <v>1729.6</v>
      </c>
      <c r="AH15" s="459"/>
      <c r="AI15" s="460">
        <v>1729.6</v>
      </c>
      <c r="AJ15" s="459"/>
      <c r="AK15" s="472"/>
      <c r="AL15" s="459">
        <f t="shared" si="61"/>
        <v>752</v>
      </c>
      <c r="AM15" s="459"/>
      <c r="AN15" s="460">
        <v>752</v>
      </c>
      <c r="AO15" s="459"/>
      <c r="AP15" s="467"/>
      <c r="AQ15" s="399" t="s">
        <v>440</v>
      </c>
      <c r="AR15" s="459">
        <f t="shared" si="62"/>
        <v>1713.1</v>
      </c>
      <c r="AS15" s="459"/>
      <c r="AT15" s="462">
        <v>1713.1</v>
      </c>
      <c r="AU15" s="459"/>
      <c r="AV15" s="459"/>
      <c r="AW15" s="459" t="e">
        <f t="shared" si="63"/>
        <v>#REF!</v>
      </c>
      <c r="AX15" s="459" t="e">
        <f>#REF!-AS15</f>
        <v>#REF!</v>
      </c>
      <c r="AY15" s="459" t="e">
        <f>#REF!-AT15</f>
        <v>#REF!</v>
      </c>
      <c r="AZ15" s="459" t="e">
        <f>#REF!-AU15</f>
        <v>#REF!</v>
      </c>
      <c r="BA15" s="459" t="e">
        <f>#REF!-AV15</f>
        <v>#REF!</v>
      </c>
      <c r="BB15" s="459">
        <f t="shared" si="64"/>
        <v>1729.6</v>
      </c>
      <c r="BC15" s="459"/>
      <c r="BD15" s="460">
        <v>1729.6</v>
      </c>
      <c r="BE15" s="459"/>
      <c r="BF15" s="459"/>
      <c r="BG15" s="459">
        <f t="shared" si="65"/>
        <v>0</v>
      </c>
      <c r="BH15" s="459"/>
      <c r="BI15" s="460"/>
      <c r="BJ15" s="459"/>
      <c r="BK15" s="459"/>
      <c r="BL15" s="459">
        <f t="shared" si="66"/>
        <v>1713.1</v>
      </c>
      <c r="BM15" s="459"/>
      <c r="BN15" s="462">
        <v>1713.1</v>
      </c>
      <c r="BO15" s="459"/>
      <c r="BP15" s="459"/>
      <c r="BQ15" s="459">
        <f t="shared" si="67"/>
        <v>1713.1</v>
      </c>
      <c r="BR15" s="459"/>
      <c r="BS15" s="460">
        <v>1713.1</v>
      </c>
      <c r="BT15" s="459"/>
      <c r="BU15" s="459"/>
      <c r="BV15" s="459">
        <f t="shared" si="68"/>
        <v>804.61436000000003</v>
      </c>
      <c r="BW15" s="459"/>
      <c r="BX15" s="459">
        <v>804.61436000000003</v>
      </c>
      <c r="BY15" s="459"/>
      <c r="BZ15" s="459"/>
      <c r="CA15" s="464">
        <f t="shared" si="69"/>
        <v>2517.7143599999999</v>
      </c>
      <c r="CB15" s="459">
        <f t="shared" si="70"/>
        <v>2517.7143599999999</v>
      </c>
      <c r="CC15" s="459">
        <f t="shared" si="71"/>
        <v>0</v>
      </c>
      <c r="CD15" s="459">
        <f t="shared" si="71"/>
        <v>2517.7143599999999</v>
      </c>
      <c r="CE15" s="459">
        <f t="shared" si="71"/>
        <v>0</v>
      </c>
      <c r="CF15" s="459">
        <f t="shared" si="71"/>
        <v>0</v>
      </c>
      <c r="CG15" s="459">
        <f t="shared" si="72"/>
        <v>0</v>
      </c>
      <c r="CH15" s="459">
        <f t="shared" si="73"/>
        <v>0</v>
      </c>
      <c r="CI15" s="459">
        <f t="shared" si="73"/>
        <v>0</v>
      </c>
      <c r="CJ15" s="459">
        <f t="shared" si="73"/>
        <v>0</v>
      </c>
      <c r="CK15" s="459">
        <f t="shared" si="73"/>
        <v>0</v>
      </c>
      <c r="CL15" s="465"/>
      <c r="CM15" s="466"/>
      <c r="CN15" s="466"/>
      <c r="CO15" s="459">
        <f t="shared" si="74"/>
        <v>0</v>
      </c>
      <c r="CP15" s="459"/>
      <c r="CQ15" s="460"/>
      <c r="CR15" s="459"/>
      <c r="CS15" s="459"/>
      <c r="CT15" s="459">
        <f t="shared" si="75"/>
        <v>0</v>
      </c>
      <c r="CU15" s="459"/>
      <c r="CV15" s="460"/>
      <c r="CW15" s="459"/>
      <c r="CX15" s="459"/>
      <c r="CY15" s="459">
        <f t="shared" si="76"/>
        <v>0</v>
      </c>
      <c r="CZ15" s="459">
        <f t="shared" si="82"/>
        <v>0</v>
      </c>
      <c r="DA15" s="459">
        <f t="shared" si="77"/>
        <v>0</v>
      </c>
      <c r="DB15" s="459">
        <f t="shared" si="77"/>
        <v>0</v>
      </c>
      <c r="DC15" s="459">
        <f t="shared" si="77"/>
        <v>0</v>
      </c>
      <c r="DD15" s="459"/>
      <c r="DE15" s="459"/>
      <c r="DF15" s="459"/>
      <c r="DG15" s="459">
        <f t="shared" si="78"/>
        <v>0</v>
      </c>
      <c r="DH15" s="467"/>
      <c r="DI15" s="459">
        <f t="shared" si="79"/>
        <v>1713.1</v>
      </c>
      <c r="DJ15" s="459">
        <f t="shared" si="80"/>
        <v>1713.1</v>
      </c>
      <c r="DK15" s="467"/>
      <c r="DL15" s="459"/>
      <c r="DM15" s="459"/>
      <c r="DN15" s="467"/>
      <c r="DO15" s="459"/>
      <c r="DP15" s="467"/>
      <c r="DQ15" s="467"/>
      <c r="DR15" s="459">
        <f t="shared" si="8"/>
        <v>1713.1</v>
      </c>
      <c r="DS15" s="459"/>
      <c r="DT15" s="460">
        <v>1713.1</v>
      </c>
      <c r="DU15" s="459"/>
      <c r="DV15" s="459"/>
      <c r="DW15" s="459">
        <f t="shared" si="11"/>
        <v>804.61436000000003</v>
      </c>
      <c r="DX15" s="459"/>
      <c r="DY15" s="459">
        <v>804.61436000000003</v>
      </c>
      <c r="DZ15" s="459"/>
      <c r="EA15" s="146"/>
      <c r="EB15" s="279"/>
      <c r="EC15" s="279"/>
      <c r="ED15" s="279"/>
      <c r="EE15" s="366"/>
      <c r="EF15" s="366"/>
      <c r="EG15" s="279"/>
      <c r="EH15" s="279"/>
      <c r="EI15" s="279"/>
      <c r="EJ15" s="366"/>
      <c r="EK15" s="366"/>
      <c r="EL15" s="366">
        <v>2.0299999999999999E-2</v>
      </c>
      <c r="EM15" s="280"/>
      <c r="EN15" s="279"/>
      <c r="EO15" s="265" t="e">
        <f t="shared" si="81"/>
        <v>#DIV/0!</v>
      </c>
      <c r="EP15" s="323">
        <f t="shared" si="46"/>
        <v>2517.7143599999999</v>
      </c>
      <c r="EQ15" s="323">
        <f t="shared" si="83"/>
        <v>1713.1</v>
      </c>
      <c r="ER15" s="323">
        <v>804.61436000000003</v>
      </c>
      <c r="ES15" s="358">
        <f t="shared" si="84"/>
        <v>0.6804187270870552</v>
      </c>
      <c r="ET15" s="358">
        <f t="shared" si="85"/>
        <v>0.31958127291294475</v>
      </c>
      <c r="EU15" s="323">
        <f t="shared" si="49"/>
        <v>2517.7143599999999</v>
      </c>
      <c r="EV15" s="323">
        <f t="shared" si="86"/>
        <v>1713.1</v>
      </c>
      <c r="EW15" s="323">
        <f t="shared" si="87"/>
        <v>804.61436000000003</v>
      </c>
      <c r="EX15" s="358">
        <f t="shared" si="88"/>
        <v>0.6804187270870552</v>
      </c>
      <c r="EY15" s="358">
        <f t="shared" si="89"/>
        <v>0.31958127291294475</v>
      </c>
      <c r="EZ15" s="358">
        <v>6.7599999999999993E-2</v>
      </c>
      <c r="FA15" s="323">
        <f t="shared" si="90"/>
        <v>1713.1</v>
      </c>
      <c r="FB15" s="323">
        <f t="shared" si="51"/>
        <v>0</v>
      </c>
      <c r="FC15" s="279"/>
      <c r="FD15" s="279"/>
      <c r="FE15" s="279"/>
      <c r="FF15" s="366"/>
      <c r="FG15" s="366"/>
      <c r="FH15" s="279"/>
      <c r="FI15" s="279"/>
      <c r="FJ15" s="279"/>
      <c r="FK15" s="366"/>
      <c r="FL15" s="366"/>
      <c r="FM15" s="366">
        <v>6.7599999999999993E-2</v>
      </c>
      <c r="FN15" s="280"/>
      <c r="FO15" s="279"/>
    </row>
    <row r="16" spans="2:173" s="40" customFormat="1" ht="15.6" customHeight="1" x14ac:dyDescent="0.25">
      <c r="B16" s="32"/>
      <c r="C16" s="33"/>
      <c r="D16" s="33">
        <v>1</v>
      </c>
      <c r="E16" s="434">
        <v>8</v>
      </c>
      <c r="F16" s="32"/>
      <c r="G16" s="33"/>
      <c r="H16" s="33">
        <v>1</v>
      </c>
      <c r="I16" s="434"/>
      <c r="J16" s="435"/>
      <c r="K16" s="54"/>
      <c r="M16" s="434">
        <v>8</v>
      </c>
      <c r="N16" s="435" t="s">
        <v>197</v>
      </c>
      <c r="O16" s="435"/>
      <c r="P16" s="24">
        <f t="shared" si="29"/>
        <v>0</v>
      </c>
      <c r="Q16" s="435"/>
      <c r="R16" s="435"/>
      <c r="S16" s="435" t="s">
        <v>490</v>
      </c>
      <c r="T16" s="435" t="s">
        <v>488</v>
      </c>
      <c r="U16" s="434">
        <v>1</v>
      </c>
      <c r="V16" s="434"/>
      <c r="W16" s="459">
        <f t="shared" si="58"/>
        <v>464.6</v>
      </c>
      <c r="X16" s="459"/>
      <c r="Y16" s="460">
        <v>464.6</v>
      </c>
      <c r="Z16" s="459"/>
      <c r="AA16" s="461"/>
      <c r="AB16" s="459">
        <f t="shared" si="59"/>
        <v>466.9</v>
      </c>
      <c r="AC16" s="459"/>
      <c r="AD16" s="460">
        <v>466.9</v>
      </c>
      <c r="AE16" s="459"/>
      <c r="AF16" s="461"/>
      <c r="AG16" s="459">
        <f t="shared" si="60"/>
        <v>466.9</v>
      </c>
      <c r="AH16" s="459"/>
      <c r="AI16" s="460">
        <v>466.9</v>
      </c>
      <c r="AJ16" s="459"/>
      <c r="AK16" s="461"/>
      <c r="AL16" s="459">
        <f t="shared" si="61"/>
        <v>203</v>
      </c>
      <c r="AM16" s="459"/>
      <c r="AN16" s="460">
        <v>203</v>
      </c>
      <c r="AO16" s="459"/>
      <c r="AP16" s="461"/>
      <c r="AQ16" s="398" t="s">
        <v>366</v>
      </c>
      <c r="AR16" s="459">
        <f t="shared" si="62"/>
        <v>464.6</v>
      </c>
      <c r="AS16" s="459"/>
      <c r="AT16" s="462">
        <v>464.6</v>
      </c>
      <c r="AU16" s="459"/>
      <c r="AV16" s="459"/>
      <c r="AW16" s="459" t="e">
        <f t="shared" si="63"/>
        <v>#REF!</v>
      </c>
      <c r="AX16" s="459" t="e">
        <f>#REF!-AS16</f>
        <v>#REF!</v>
      </c>
      <c r="AY16" s="459" t="e">
        <f>#REF!-AT16</f>
        <v>#REF!</v>
      </c>
      <c r="AZ16" s="459" t="e">
        <f>#REF!-AU16</f>
        <v>#REF!</v>
      </c>
      <c r="BA16" s="459" t="e">
        <f>#REF!-AV16</f>
        <v>#REF!</v>
      </c>
      <c r="BB16" s="459">
        <f t="shared" si="64"/>
        <v>466.9</v>
      </c>
      <c r="BC16" s="459"/>
      <c r="BD16" s="460">
        <f>203+263.9</f>
        <v>466.9</v>
      </c>
      <c r="BE16" s="459"/>
      <c r="BF16" s="459"/>
      <c r="BG16" s="459">
        <f t="shared" si="65"/>
        <v>0</v>
      </c>
      <c r="BH16" s="459"/>
      <c r="BI16" s="460"/>
      <c r="BJ16" s="459"/>
      <c r="BK16" s="459"/>
      <c r="BL16" s="459">
        <f t="shared" si="66"/>
        <v>464.6</v>
      </c>
      <c r="BM16" s="459"/>
      <c r="BN16" s="460">
        <v>464.6</v>
      </c>
      <c r="BO16" s="459"/>
      <c r="BP16" s="459"/>
      <c r="BQ16" s="459">
        <f t="shared" si="67"/>
        <v>464.6</v>
      </c>
      <c r="BR16" s="459"/>
      <c r="BS16" s="460">
        <v>464.6</v>
      </c>
      <c r="BT16" s="459"/>
      <c r="BU16" s="459"/>
      <c r="BV16" s="459">
        <f t="shared" si="68"/>
        <v>135.54400000000001</v>
      </c>
      <c r="BW16" s="459"/>
      <c r="BX16" s="470">
        <v>135.54400000000001</v>
      </c>
      <c r="BY16" s="459"/>
      <c r="BZ16" s="459"/>
      <c r="CA16" s="464">
        <f t="shared" si="69"/>
        <v>600.14400000000001</v>
      </c>
      <c r="CB16" s="459">
        <f t="shared" si="70"/>
        <v>600.14400000000001</v>
      </c>
      <c r="CC16" s="459">
        <f t="shared" si="71"/>
        <v>0</v>
      </c>
      <c r="CD16" s="459">
        <f t="shared" si="71"/>
        <v>600.14400000000001</v>
      </c>
      <c r="CE16" s="459">
        <f t="shared" si="71"/>
        <v>0</v>
      </c>
      <c r="CF16" s="459">
        <f t="shared" si="71"/>
        <v>0</v>
      </c>
      <c r="CG16" s="459">
        <f t="shared" si="72"/>
        <v>0</v>
      </c>
      <c r="CH16" s="459">
        <f t="shared" si="73"/>
        <v>0</v>
      </c>
      <c r="CI16" s="459">
        <f t="shared" si="73"/>
        <v>0</v>
      </c>
      <c r="CJ16" s="459">
        <f t="shared" si="73"/>
        <v>0</v>
      </c>
      <c r="CK16" s="459">
        <f t="shared" si="73"/>
        <v>0</v>
      </c>
      <c r="CL16" s="465"/>
      <c r="CM16" s="466"/>
      <c r="CN16" s="466"/>
      <c r="CO16" s="459">
        <f t="shared" si="74"/>
        <v>0</v>
      </c>
      <c r="CP16" s="459"/>
      <c r="CQ16" s="460"/>
      <c r="CR16" s="459"/>
      <c r="CS16" s="459"/>
      <c r="CT16" s="459">
        <f t="shared" si="75"/>
        <v>0</v>
      </c>
      <c r="CU16" s="459"/>
      <c r="CV16" s="460"/>
      <c r="CW16" s="459"/>
      <c r="CX16" s="459"/>
      <c r="CY16" s="459">
        <f t="shared" si="76"/>
        <v>0</v>
      </c>
      <c r="CZ16" s="459">
        <f t="shared" si="82"/>
        <v>0</v>
      </c>
      <c r="DA16" s="459">
        <f t="shared" si="77"/>
        <v>0</v>
      </c>
      <c r="DB16" s="459">
        <f t="shared" si="77"/>
        <v>0</v>
      </c>
      <c r="DC16" s="459">
        <f t="shared" si="77"/>
        <v>0</v>
      </c>
      <c r="DD16" s="459"/>
      <c r="DE16" s="459"/>
      <c r="DF16" s="459"/>
      <c r="DG16" s="459">
        <f t="shared" si="78"/>
        <v>0</v>
      </c>
      <c r="DH16" s="467"/>
      <c r="DI16" s="459">
        <f t="shared" si="79"/>
        <v>464.6</v>
      </c>
      <c r="DJ16" s="459">
        <f t="shared" si="80"/>
        <v>464.6</v>
      </c>
      <c r="DK16" s="467"/>
      <c r="DL16" s="459"/>
      <c r="DM16" s="459"/>
      <c r="DN16" s="467"/>
      <c r="DO16" s="459"/>
      <c r="DP16" s="467"/>
      <c r="DQ16" s="467"/>
      <c r="DR16" s="459">
        <f t="shared" si="8"/>
        <v>464.6</v>
      </c>
      <c r="DS16" s="459"/>
      <c r="DT16" s="460">
        <v>464.6</v>
      </c>
      <c r="DU16" s="459"/>
      <c r="DV16" s="459"/>
      <c r="DW16" s="459">
        <f t="shared" si="11"/>
        <v>135.54400000000001</v>
      </c>
      <c r="DX16" s="459"/>
      <c r="DY16" s="470">
        <v>135.54400000000001</v>
      </c>
      <c r="DZ16" s="459"/>
      <c r="EA16" s="146"/>
      <c r="EB16" s="279"/>
      <c r="EC16" s="279"/>
      <c r="ED16" s="281"/>
      <c r="EE16" s="366"/>
      <c r="EF16" s="366"/>
      <c r="EG16" s="279"/>
      <c r="EH16" s="279"/>
      <c r="EI16" s="281"/>
      <c r="EJ16" s="366"/>
      <c r="EK16" s="366"/>
      <c r="EL16" s="366">
        <v>1.9900000000000001E-2</v>
      </c>
      <c r="EM16" s="280"/>
      <c r="EN16" s="279"/>
      <c r="EO16" s="265" t="e">
        <f t="shared" si="81"/>
        <v>#DIV/0!</v>
      </c>
      <c r="EP16" s="323">
        <f t="shared" si="46"/>
        <v>600.14400000000001</v>
      </c>
      <c r="EQ16" s="323">
        <f t="shared" si="83"/>
        <v>464.6</v>
      </c>
      <c r="ER16" s="324">
        <v>135.54400000000001</v>
      </c>
      <c r="ES16" s="358">
        <f t="shared" si="84"/>
        <v>0.77414753792423152</v>
      </c>
      <c r="ET16" s="358">
        <f t="shared" si="85"/>
        <v>0.22585246207576851</v>
      </c>
      <c r="EU16" s="323">
        <f t="shared" si="49"/>
        <v>600.14400000000001</v>
      </c>
      <c r="EV16" s="323">
        <f t="shared" si="86"/>
        <v>464.6</v>
      </c>
      <c r="EW16" s="324">
        <f t="shared" si="87"/>
        <v>135.54400000000001</v>
      </c>
      <c r="EX16" s="358">
        <f t="shared" si="88"/>
        <v>0.77414753792423152</v>
      </c>
      <c r="EY16" s="358">
        <f t="shared" si="89"/>
        <v>0.22585246207576851</v>
      </c>
      <c r="EZ16" s="358">
        <v>6.6299999999999998E-2</v>
      </c>
      <c r="FA16" s="323">
        <f t="shared" si="90"/>
        <v>464.6</v>
      </c>
      <c r="FB16" s="323">
        <f t="shared" si="51"/>
        <v>0</v>
      </c>
      <c r="FC16" s="279"/>
      <c r="FD16" s="279"/>
      <c r="FE16" s="281"/>
      <c r="FF16" s="366"/>
      <c r="FG16" s="366"/>
      <c r="FH16" s="279"/>
      <c r="FI16" s="279"/>
      <c r="FJ16" s="281"/>
      <c r="FK16" s="366"/>
      <c r="FL16" s="366"/>
      <c r="FM16" s="366">
        <v>6.6299999999999998E-2</v>
      </c>
      <c r="FN16" s="280"/>
      <c r="FO16" s="279"/>
    </row>
    <row r="17" spans="2:171" s="40" customFormat="1" ht="15.75" customHeight="1" x14ac:dyDescent="0.25">
      <c r="B17" s="32"/>
      <c r="C17" s="33">
        <v>1</v>
      </c>
      <c r="D17" s="33"/>
      <c r="E17" s="434">
        <v>9</v>
      </c>
      <c r="F17" s="32"/>
      <c r="G17" s="33">
        <v>1</v>
      </c>
      <c r="H17" s="33">
        <v>1</v>
      </c>
      <c r="I17" s="434"/>
      <c r="J17" s="435"/>
      <c r="K17" s="54"/>
      <c r="M17" s="434">
        <v>9</v>
      </c>
      <c r="N17" s="435" t="s">
        <v>27</v>
      </c>
      <c r="O17" s="435"/>
      <c r="P17" s="24">
        <f t="shared" si="29"/>
        <v>0</v>
      </c>
      <c r="Q17" s="435" t="s">
        <v>490</v>
      </c>
      <c r="R17" s="435" t="s">
        <v>488</v>
      </c>
      <c r="S17" s="435"/>
      <c r="T17" s="435"/>
      <c r="U17" s="434">
        <v>1</v>
      </c>
      <c r="V17" s="434">
        <v>2</v>
      </c>
      <c r="W17" s="459">
        <f t="shared" si="58"/>
        <v>18709.879000000001</v>
      </c>
      <c r="X17" s="459"/>
      <c r="Y17" s="460">
        <v>886.2</v>
      </c>
      <c r="Z17" s="459">
        <f>2964.426+14859.253</f>
        <v>17823.679</v>
      </c>
      <c r="AA17" s="461"/>
      <c r="AB17" s="459">
        <f t="shared" si="59"/>
        <v>7601.5</v>
      </c>
      <c r="AC17" s="459"/>
      <c r="AD17" s="460">
        <v>7601.5</v>
      </c>
      <c r="AE17" s="459"/>
      <c r="AF17" s="461"/>
      <c r="AG17" s="459">
        <f t="shared" si="60"/>
        <v>7601.5</v>
      </c>
      <c r="AH17" s="459"/>
      <c r="AI17" s="460">
        <v>7601.5</v>
      </c>
      <c r="AJ17" s="459"/>
      <c r="AK17" s="461"/>
      <c r="AL17" s="459">
        <f t="shared" si="61"/>
        <v>389</v>
      </c>
      <c r="AM17" s="459"/>
      <c r="AN17" s="460">
        <v>389</v>
      </c>
      <c r="AO17" s="459"/>
      <c r="AP17" s="461"/>
      <c r="AQ17" s="398" t="s">
        <v>524</v>
      </c>
      <c r="AR17" s="459">
        <f t="shared" si="62"/>
        <v>16934.637430000002</v>
      </c>
      <c r="AS17" s="459"/>
      <c r="AT17" s="462">
        <f>886.2-143.4438</f>
        <v>742.75620000000004</v>
      </c>
      <c r="AU17" s="459">
        <f>2964.426+14859.253-1631.79777</f>
        <v>16191.881230000001</v>
      </c>
      <c r="AV17" s="461"/>
      <c r="AW17" s="459" t="e">
        <f t="shared" si="63"/>
        <v>#REF!</v>
      </c>
      <c r="AX17" s="459" t="e">
        <f>#REF!-AS17</f>
        <v>#REF!</v>
      </c>
      <c r="AY17" s="459" t="e">
        <f>#REF!-AT17</f>
        <v>#REF!</v>
      </c>
      <c r="AZ17" s="459" t="e">
        <f>#REF!-AU17</f>
        <v>#REF!</v>
      </c>
      <c r="BA17" s="459" t="e">
        <f>#REF!-AV17</f>
        <v>#REF!</v>
      </c>
      <c r="BB17" s="459">
        <f t="shared" si="64"/>
        <v>7601.5</v>
      </c>
      <c r="BC17" s="459"/>
      <c r="BD17" s="460">
        <v>7601.5</v>
      </c>
      <c r="BE17" s="459"/>
      <c r="BF17" s="461"/>
      <c r="BG17" s="459">
        <f t="shared" si="65"/>
        <v>0</v>
      </c>
      <c r="BH17" s="459"/>
      <c r="BI17" s="460"/>
      <c r="BJ17" s="459"/>
      <c r="BK17" s="461"/>
      <c r="BL17" s="459">
        <f t="shared" si="66"/>
        <v>16934.637430000002</v>
      </c>
      <c r="BM17" s="459"/>
      <c r="BN17" s="460">
        <v>742.75620000000004</v>
      </c>
      <c r="BO17" s="459">
        <f>2484.59243+13707.2888</f>
        <v>16191.881230000001</v>
      </c>
      <c r="BP17" s="470"/>
      <c r="BQ17" s="459">
        <f t="shared" si="67"/>
        <v>16934.637430000002</v>
      </c>
      <c r="BR17" s="459"/>
      <c r="BS17" s="460">
        <v>742.75620000000004</v>
      </c>
      <c r="BT17" s="459">
        <f>2484.59243+13707.2888</f>
        <v>16191.881230000001</v>
      </c>
      <c r="BU17" s="461"/>
      <c r="BV17" s="459">
        <f t="shared" si="68"/>
        <v>2087.1002100000001</v>
      </c>
      <c r="BW17" s="459"/>
      <c r="BX17" s="459">
        <v>285.55297000000002</v>
      </c>
      <c r="BY17" s="459">
        <f>276.44243+1525.10481</f>
        <v>1801.5472400000001</v>
      </c>
      <c r="BZ17" s="459"/>
      <c r="CA17" s="464">
        <f t="shared" si="69"/>
        <v>19021.737640000003</v>
      </c>
      <c r="CB17" s="459">
        <f t="shared" si="70"/>
        <v>19021.737640000003</v>
      </c>
      <c r="CC17" s="459">
        <f t="shared" si="71"/>
        <v>0</v>
      </c>
      <c r="CD17" s="459">
        <f t="shared" si="71"/>
        <v>1028.30917</v>
      </c>
      <c r="CE17" s="459">
        <f t="shared" si="71"/>
        <v>17993.428470000003</v>
      </c>
      <c r="CF17" s="459">
        <f t="shared" si="71"/>
        <v>0</v>
      </c>
      <c r="CG17" s="459">
        <f t="shared" si="72"/>
        <v>0</v>
      </c>
      <c r="CH17" s="459">
        <f t="shared" si="73"/>
        <v>0</v>
      </c>
      <c r="CI17" s="459">
        <f t="shared" si="73"/>
        <v>0</v>
      </c>
      <c r="CJ17" s="459">
        <f t="shared" si="73"/>
        <v>0</v>
      </c>
      <c r="CK17" s="459">
        <f t="shared" si="73"/>
        <v>0</v>
      </c>
      <c r="CL17" s="465"/>
      <c r="CM17" s="466"/>
      <c r="CN17" s="466"/>
      <c r="CO17" s="459">
        <f t="shared" si="74"/>
        <v>0</v>
      </c>
      <c r="CP17" s="459"/>
      <c r="CQ17" s="460"/>
      <c r="CR17" s="459"/>
      <c r="CS17" s="461"/>
      <c r="CT17" s="459">
        <f t="shared" si="75"/>
        <v>0</v>
      </c>
      <c r="CU17" s="459"/>
      <c r="CV17" s="460"/>
      <c r="CW17" s="459"/>
      <c r="CX17" s="461"/>
      <c r="CY17" s="459">
        <f t="shared" si="76"/>
        <v>0</v>
      </c>
      <c r="CZ17" s="459">
        <f t="shared" si="82"/>
        <v>0</v>
      </c>
      <c r="DA17" s="459">
        <f t="shared" si="77"/>
        <v>0</v>
      </c>
      <c r="DB17" s="459">
        <f t="shared" si="77"/>
        <v>0</v>
      </c>
      <c r="DC17" s="459">
        <f t="shared" si="77"/>
        <v>0</v>
      </c>
      <c r="DD17" s="459"/>
      <c r="DE17" s="459"/>
      <c r="DF17" s="459"/>
      <c r="DG17" s="459">
        <f t="shared" si="78"/>
        <v>0</v>
      </c>
      <c r="DH17" s="467"/>
      <c r="DI17" s="459">
        <f t="shared" si="79"/>
        <v>16934.637430000002</v>
      </c>
      <c r="DJ17" s="459">
        <f t="shared" si="80"/>
        <v>16934.637430000002</v>
      </c>
      <c r="DK17" s="467"/>
      <c r="DL17" s="459"/>
      <c r="DM17" s="459"/>
      <c r="DN17" s="467"/>
      <c r="DO17" s="459"/>
      <c r="DP17" s="467"/>
      <c r="DQ17" s="467"/>
      <c r="DR17" s="459">
        <f t="shared" si="8"/>
        <v>16934.637430000002</v>
      </c>
      <c r="DS17" s="459"/>
      <c r="DT17" s="460">
        <v>742.75620000000004</v>
      </c>
      <c r="DU17" s="459">
        <f>2484.59243+13707.2888</f>
        <v>16191.881230000001</v>
      </c>
      <c r="DV17" s="461"/>
      <c r="DW17" s="459">
        <f t="shared" si="11"/>
        <v>2087.1002100000001</v>
      </c>
      <c r="DX17" s="459"/>
      <c r="DY17" s="459">
        <v>285.55297000000002</v>
      </c>
      <c r="DZ17" s="459">
        <f>276.44243+1525.10481</f>
        <v>1801.5472400000001</v>
      </c>
      <c r="EA17" s="146"/>
      <c r="EB17" s="279"/>
      <c r="EC17" s="279"/>
      <c r="ED17" s="279"/>
      <c r="EE17" s="366"/>
      <c r="EF17" s="366"/>
      <c r="EG17" s="279"/>
      <c r="EH17" s="279"/>
      <c r="EI17" s="279"/>
      <c r="EJ17" s="366"/>
      <c r="EK17" s="366"/>
      <c r="EL17" s="366">
        <v>2.3E-2</v>
      </c>
      <c r="EM17" s="280"/>
      <c r="EN17" s="279"/>
      <c r="EO17" s="265" t="e">
        <f t="shared" si="81"/>
        <v>#DIV/0!</v>
      </c>
      <c r="EP17" s="323">
        <f t="shared" si="46"/>
        <v>1028.30917</v>
      </c>
      <c r="EQ17" s="323">
        <f t="shared" si="83"/>
        <v>742.75620000000004</v>
      </c>
      <c r="ER17" s="323">
        <v>285.55297000000002</v>
      </c>
      <c r="ES17" s="358">
        <f t="shared" si="84"/>
        <v>0.7223082528769047</v>
      </c>
      <c r="ET17" s="358">
        <f t="shared" si="85"/>
        <v>0.2776917471230953</v>
      </c>
      <c r="EU17" s="323">
        <f t="shared" si="49"/>
        <v>1028.30917</v>
      </c>
      <c r="EV17" s="323">
        <f t="shared" si="86"/>
        <v>742.75620000000004</v>
      </c>
      <c r="EW17" s="323">
        <f t="shared" si="87"/>
        <v>285.55297000000002</v>
      </c>
      <c r="EX17" s="358">
        <f t="shared" si="88"/>
        <v>0.7223082528769047</v>
      </c>
      <c r="EY17" s="358">
        <f t="shared" si="89"/>
        <v>0.2776917471230953</v>
      </c>
      <c r="EZ17" s="358">
        <v>7.6600000000000001E-2</v>
      </c>
      <c r="FA17" s="323">
        <f t="shared" si="90"/>
        <v>742.75620000000004</v>
      </c>
      <c r="FB17" s="323">
        <f t="shared" si="51"/>
        <v>0</v>
      </c>
      <c r="FC17" s="279">
        <f t="shared" si="91"/>
        <v>17993.428470000003</v>
      </c>
      <c r="FD17" s="279">
        <f t="shared" si="53"/>
        <v>16191.881230000001</v>
      </c>
      <c r="FE17" s="279">
        <v>1801.5472400000001</v>
      </c>
      <c r="FF17" s="366">
        <f t="shared" si="92"/>
        <v>0.89987748899529196</v>
      </c>
      <c r="FG17" s="366">
        <f t="shared" si="93"/>
        <v>0.10012251100470793</v>
      </c>
      <c r="FH17" s="279">
        <f t="shared" si="55"/>
        <v>17993.428470000003</v>
      </c>
      <c r="FI17" s="279">
        <f t="shared" si="94"/>
        <v>16191.881230000001</v>
      </c>
      <c r="FJ17" s="279">
        <f t="shared" si="95"/>
        <v>1801.5472400000001</v>
      </c>
      <c r="FK17" s="366">
        <f t="shared" si="96"/>
        <v>0.89987748899529196</v>
      </c>
      <c r="FL17" s="366">
        <f t="shared" si="97"/>
        <v>0.10012251100470793</v>
      </c>
      <c r="FM17" s="366">
        <v>7.6600000000000001E-2</v>
      </c>
      <c r="FN17" s="280">
        <f t="shared" si="98"/>
        <v>16191.881230000001</v>
      </c>
      <c r="FO17" s="279">
        <f t="shared" si="57"/>
        <v>0</v>
      </c>
    </row>
    <row r="18" spans="2:171" s="40" customFormat="1" ht="15.75" customHeight="1" x14ac:dyDescent="0.25">
      <c r="B18" s="32"/>
      <c r="C18" s="33"/>
      <c r="D18" s="33">
        <v>1</v>
      </c>
      <c r="E18" s="434">
        <v>10</v>
      </c>
      <c r="F18" s="32"/>
      <c r="G18" s="33"/>
      <c r="H18" s="33">
        <v>1</v>
      </c>
      <c r="I18" s="434"/>
      <c r="J18" s="435"/>
      <c r="K18" s="54"/>
      <c r="M18" s="434">
        <v>10</v>
      </c>
      <c r="N18" s="435" t="s">
        <v>198</v>
      </c>
      <c r="O18" s="435"/>
      <c r="P18" s="24">
        <f t="shared" si="29"/>
        <v>0</v>
      </c>
      <c r="Q18" s="435"/>
      <c r="R18" s="435"/>
      <c r="S18" s="435"/>
      <c r="T18" s="435"/>
      <c r="U18" s="434"/>
      <c r="V18" s="434"/>
      <c r="W18" s="459">
        <f t="shared" si="58"/>
        <v>0</v>
      </c>
      <c r="X18" s="459"/>
      <c r="Y18" s="460">
        <f>450.3-450.3</f>
        <v>0</v>
      </c>
      <c r="Z18" s="459"/>
      <c r="AA18" s="461"/>
      <c r="AB18" s="459">
        <f t="shared" si="59"/>
        <v>455.4</v>
      </c>
      <c r="AC18" s="459"/>
      <c r="AD18" s="460">
        <v>455.4</v>
      </c>
      <c r="AE18" s="459"/>
      <c r="AF18" s="461"/>
      <c r="AG18" s="459">
        <f t="shared" si="60"/>
        <v>455.4</v>
      </c>
      <c r="AH18" s="459"/>
      <c r="AI18" s="460">
        <v>455.4</v>
      </c>
      <c r="AJ18" s="459"/>
      <c r="AK18" s="461"/>
      <c r="AL18" s="459">
        <f t="shared" si="61"/>
        <v>198</v>
      </c>
      <c r="AM18" s="459"/>
      <c r="AN18" s="460">
        <v>198</v>
      </c>
      <c r="AO18" s="459"/>
      <c r="AP18" s="461"/>
      <c r="AQ18" s="383"/>
      <c r="AR18" s="459">
        <f t="shared" si="62"/>
        <v>0</v>
      </c>
      <c r="AS18" s="459"/>
      <c r="AT18" s="462"/>
      <c r="AU18" s="459"/>
      <c r="AV18" s="459"/>
      <c r="AW18" s="459" t="e">
        <f t="shared" si="63"/>
        <v>#REF!</v>
      </c>
      <c r="AX18" s="459" t="e">
        <f>#REF!-AS18</f>
        <v>#REF!</v>
      </c>
      <c r="AY18" s="459" t="e">
        <f>#REF!-AT18</f>
        <v>#REF!</v>
      </c>
      <c r="AZ18" s="459" t="e">
        <f>#REF!-AU18</f>
        <v>#REF!</v>
      </c>
      <c r="BA18" s="459" t="e">
        <f>#REF!-AV18</f>
        <v>#REF!</v>
      </c>
      <c r="BB18" s="459">
        <f t="shared" si="64"/>
        <v>455.4</v>
      </c>
      <c r="BC18" s="459"/>
      <c r="BD18" s="460">
        <f>198+257.4</f>
        <v>455.4</v>
      </c>
      <c r="BE18" s="459"/>
      <c r="BF18" s="459"/>
      <c r="BG18" s="459">
        <f t="shared" si="65"/>
        <v>0</v>
      </c>
      <c r="BH18" s="459"/>
      <c r="BI18" s="460"/>
      <c r="BJ18" s="459"/>
      <c r="BK18" s="459"/>
      <c r="BL18" s="459">
        <f t="shared" si="66"/>
        <v>0</v>
      </c>
      <c r="BM18" s="459"/>
      <c r="BN18" s="460"/>
      <c r="BO18" s="459"/>
      <c r="BP18" s="459"/>
      <c r="BQ18" s="459">
        <f t="shared" si="67"/>
        <v>0</v>
      </c>
      <c r="BR18" s="459"/>
      <c r="BS18" s="470"/>
      <c r="BT18" s="459"/>
      <c r="BU18" s="459"/>
      <c r="BV18" s="459">
        <f t="shared" si="68"/>
        <v>0</v>
      </c>
      <c r="BW18" s="459"/>
      <c r="BX18" s="459"/>
      <c r="BY18" s="459"/>
      <c r="BZ18" s="459"/>
      <c r="CA18" s="464">
        <f t="shared" si="69"/>
        <v>0</v>
      </c>
      <c r="CB18" s="459">
        <f t="shared" si="70"/>
        <v>0</v>
      </c>
      <c r="CC18" s="459">
        <f t="shared" si="71"/>
        <v>0</v>
      </c>
      <c r="CD18" s="459">
        <f t="shared" si="71"/>
        <v>0</v>
      </c>
      <c r="CE18" s="459">
        <f t="shared" si="71"/>
        <v>0</v>
      </c>
      <c r="CF18" s="459">
        <f t="shared" si="71"/>
        <v>0</v>
      </c>
      <c r="CG18" s="459">
        <f t="shared" si="72"/>
        <v>0</v>
      </c>
      <c r="CH18" s="459">
        <f t="shared" si="73"/>
        <v>0</v>
      </c>
      <c r="CI18" s="459">
        <f t="shared" si="73"/>
        <v>0</v>
      </c>
      <c r="CJ18" s="459">
        <f t="shared" si="73"/>
        <v>0</v>
      </c>
      <c r="CK18" s="459">
        <f t="shared" si="73"/>
        <v>0</v>
      </c>
      <c r="CL18" s="465"/>
      <c r="CM18" s="466"/>
      <c r="CN18" s="466"/>
      <c r="CO18" s="459">
        <f t="shared" si="74"/>
        <v>0</v>
      </c>
      <c r="CP18" s="459"/>
      <c r="CQ18" s="460"/>
      <c r="CR18" s="459"/>
      <c r="CS18" s="459"/>
      <c r="CT18" s="459">
        <f t="shared" si="75"/>
        <v>0</v>
      </c>
      <c r="CU18" s="459"/>
      <c r="CV18" s="460"/>
      <c r="CW18" s="459"/>
      <c r="CX18" s="459"/>
      <c r="CY18" s="459">
        <f t="shared" si="76"/>
        <v>0</v>
      </c>
      <c r="CZ18" s="459">
        <f t="shared" si="82"/>
        <v>0</v>
      </c>
      <c r="DA18" s="459">
        <f t="shared" si="77"/>
        <v>0</v>
      </c>
      <c r="DB18" s="459">
        <f t="shared" si="77"/>
        <v>0</v>
      </c>
      <c r="DC18" s="459">
        <f t="shared" si="77"/>
        <v>0</v>
      </c>
      <c r="DD18" s="459"/>
      <c r="DE18" s="459"/>
      <c r="DF18" s="459"/>
      <c r="DG18" s="459">
        <f t="shared" si="78"/>
        <v>0</v>
      </c>
      <c r="DH18" s="467"/>
      <c r="DI18" s="459">
        <f t="shared" si="79"/>
        <v>0</v>
      </c>
      <c r="DJ18" s="459">
        <f t="shared" si="80"/>
        <v>0</v>
      </c>
      <c r="DK18" s="467"/>
      <c r="DL18" s="459"/>
      <c r="DM18" s="459"/>
      <c r="DN18" s="467"/>
      <c r="DO18" s="459"/>
      <c r="DP18" s="467"/>
      <c r="DQ18" s="467"/>
      <c r="DR18" s="459">
        <f t="shared" si="8"/>
        <v>0</v>
      </c>
      <c r="DS18" s="459"/>
      <c r="DT18" s="470"/>
      <c r="DU18" s="459"/>
      <c r="DV18" s="459"/>
      <c r="DW18" s="459">
        <f t="shared" si="11"/>
        <v>0</v>
      </c>
      <c r="DX18" s="459"/>
      <c r="DY18" s="459"/>
      <c r="DZ18" s="459"/>
      <c r="EA18" s="146"/>
      <c r="EB18" s="279"/>
      <c r="EC18" s="279"/>
      <c r="ED18" s="279"/>
      <c r="EE18" s="366"/>
      <c r="EF18" s="366"/>
      <c r="EG18" s="279"/>
      <c r="EH18" s="279"/>
      <c r="EI18" s="279"/>
      <c r="EJ18" s="366"/>
      <c r="EK18" s="366"/>
      <c r="EL18" s="366">
        <v>2.0899999999999998E-2</v>
      </c>
      <c r="EM18" s="280"/>
      <c r="EN18" s="279"/>
      <c r="EO18" s="265" t="e">
        <f t="shared" si="81"/>
        <v>#DIV/0!</v>
      </c>
      <c r="EP18" s="323">
        <f t="shared" si="46"/>
        <v>0</v>
      </c>
      <c r="EQ18" s="323">
        <f t="shared" si="83"/>
        <v>0</v>
      </c>
      <c r="ER18" s="323"/>
      <c r="ES18" s="358"/>
      <c r="ET18" s="358"/>
      <c r="EU18" s="323">
        <f t="shared" si="49"/>
        <v>0</v>
      </c>
      <c r="EV18" s="323">
        <f t="shared" si="86"/>
        <v>0</v>
      </c>
      <c r="EW18" s="323">
        <f t="shared" si="87"/>
        <v>0</v>
      </c>
      <c r="EX18" s="358"/>
      <c r="EY18" s="358"/>
      <c r="EZ18" s="358">
        <v>6.9500000000000006E-2</v>
      </c>
      <c r="FA18" s="323">
        <f t="shared" si="90"/>
        <v>0</v>
      </c>
      <c r="FB18" s="323">
        <f t="shared" si="51"/>
        <v>0</v>
      </c>
      <c r="FC18" s="279"/>
      <c r="FD18" s="279"/>
      <c r="FE18" s="279"/>
      <c r="FF18" s="366"/>
      <c r="FG18" s="366"/>
      <c r="FH18" s="279"/>
      <c r="FI18" s="279"/>
      <c r="FJ18" s="279"/>
      <c r="FK18" s="366"/>
      <c r="FL18" s="366"/>
      <c r="FM18" s="366">
        <v>6.9500000000000006E-2</v>
      </c>
      <c r="FN18" s="280"/>
      <c r="FO18" s="279"/>
    </row>
    <row r="19" spans="2:171" s="40" customFormat="1" ht="15.75" customHeight="1" x14ac:dyDescent="0.25">
      <c r="B19" s="32"/>
      <c r="C19" s="33"/>
      <c r="D19" s="33">
        <v>1</v>
      </c>
      <c r="E19" s="434">
        <v>11</v>
      </c>
      <c r="F19" s="32"/>
      <c r="G19" s="33"/>
      <c r="H19" s="33">
        <v>1</v>
      </c>
      <c r="I19" s="434"/>
      <c r="J19" s="435"/>
      <c r="K19" s="205"/>
      <c r="L19" s="53"/>
      <c r="M19" s="434">
        <v>11</v>
      </c>
      <c r="N19" s="435" t="s">
        <v>199</v>
      </c>
      <c r="O19" s="435"/>
      <c r="P19" s="24">
        <f t="shared" si="29"/>
        <v>0</v>
      </c>
      <c r="Q19" s="435" t="s">
        <v>573</v>
      </c>
      <c r="R19" s="435" t="s">
        <v>488</v>
      </c>
      <c r="S19" s="435" t="s">
        <v>490</v>
      </c>
      <c r="T19" s="435" t="s">
        <v>488</v>
      </c>
      <c r="U19" s="434">
        <v>1</v>
      </c>
      <c r="V19" s="434">
        <v>1</v>
      </c>
      <c r="W19" s="459">
        <f t="shared" si="58"/>
        <v>1305.8</v>
      </c>
      <c r="X19" s="459"/>
      <c r="Y19" s="460">
        <v>1305.8</v>
      </c>
      <c r="Z19" s="461"/>
      <c r="AA19" s="461"/>
      <c r="AB19" s="459">
        <f t="shared" si="59"/>
        <v>1317.9</v>
      </c>
      <c r="AC19" s="459"/>
      <c r="AD19" s="460">
        <v>1317.9</v>
      </c>
      <c r="AE19" s="461"/>
      <c r="AF19" s="461"/>
      <c r="AG19" s="459">
        <f t="shared" si="60"/>
        <v>1317.9</v>
      </c>
      <c r="AH19" s="459"/>
      <c r="AI19" s="460">
        <v>1317.9</v>
      </c>
      <c r="AJ19" s="461"/>
      <c r="AK19" s="461"/>
      <c r="AL19" s="459">
        <f t="shared" si="61"/>
        <v>573</v>
      </c>
      <c r="AM19" s="459"/>
      <c r="AN19" s="460">
        <v>573</v>
      </c>
      <c r="AO19" s="461"/>
      <c r="AP19" s="461"/>
      <c r="AQ19" s="383" t="s">
        <v>465</v>
      </c>
      <c r="AR19" s="459">
        <f t="shared" si="62"/>
        <v>1283.95706</v>
      </c>
      <c r="AS19" s="459"/>
      <c r="AT19" s="462">
        <f>1305.8-21.84294</f>
        <v>1283.95706</v>
      </c>
      <c r="AU19" s="461"/>
      <c r="AV19" s="459"/>
      <c r="AW19" s="459" t="e">
        <f t="shared" si="63"/>
        <v>#REF!</v>
      </c>
      <c r="AX19" s="459" t="e">
        <f>#REF!-AS19</f>
        <v>#REF!</v>
      </c>
      <c r="AY19" s="459" t="e">
        <f>#REF!-AT19</f>
        <v>#REF!</v>
      </c>
      <c r="AZ19" s="459" t="e">
        <f>#REF!-AU19</f>
        <v>#REF!</v>
      </c>
      <c r="BA19" s="459" t="e">
        <f>#REF!-AV19</f>
        <v>#REF!</v>
      </c>
      <c r="BB19" s="459">
        <f t="shared" si="64"/>
        <v>1317.9</v>
      </c>
      <c r="BC19" s="459"/>
      <c r="BD19" s="460">
        <f>573+744.9</f>
        <v>1317.9</v>
      </c>
      <c r="BE19" s="461"/>
      <c r="BF19" s="459"/>
      <c r="BG19" s="459">
        <f t="shared" si="65"/>
        <v>0</v>
      </c>
      <c r="BH19" s="459"/>
      <c r="BI19" s="460"/>
      <c r="BJ19" s="461"/>
      <c r="BK19" s="459"/>
      <c r="BL19" s="459">
        <f t="shared" si="66"/>
        <v>1283.95706</v>
      </c>
      <c r="BM19" s="459"/>
      <c r="BN19" s="460">
        <f>1236.29899+47.65807</f>
        <v>1283.95706</v>
      </c>
      <c r="BO19" s="470"/>
      <c r="BP19" s="459"/>
      <c r="BQ19" s="459">
        <f t="shared" si="67"/>
        <v>1283.95706</v>
      </c>
      <c r="BR19" s="459"/>
      <c r="BS19" s="460">
        <f>1236.29899+47.65807</f>
        <v>1283.95706</v>
      </c>
      <c r="BT19" s="470"/>
      <c r="BU19" s="459"/>
      <c r="BV19" s="459">
        <f t="shared" si="68"/>
        <v>491.63749999999999</v>
      </c>
      <c r="BW19" s="459"/>
      <c r="BX19" s="459">
        <f>473.38757+18.24993</f>
        <v>491.63749999999999</v>
      </c>
      <c r="BY19" s="459"/>
      <c r="BZ19" s="459"/>
      <c r="CA19" s="464">
        <f t="shared" si="69"/>
        <v>1775.59456</v>
      </c>
      <c r="CB19" s="459">
        <f t="shared" si="70"/>
        <v>1775.59456</v>
      </c>
      <c r="CC19" s="459">
        <f t="shared" si="71"/>
        <v>0</v>
      </c>
      <c r="CD19" s="459">
        <f t="shared" si="71"/>
        <v>1775.59456</v>
      </c>
      <c r="CE19" s="459">
        <f t="shared" si="71"/>
        <v>0</v>
      </c>
      <c r="CF19" s="459">
        <f t="shared" si="71"/>
        <v>0</v>
      </c>
      <c r="CG19" s="459">
        <f t="shared" si="72"/>
        <v>0</v>
      </c>
      <c r="CH19" s="459">
        <f t="shared" si="73"/>
        <v>0</v>
      </c>
      <c r="CI19" s="459">
        <f t="shared" si="73"/>
        <v>0</v>
      </c>
      <c r="CJ19" s="459">
        <f t="shared" si="73"/>
        <v>0</v>
      </c>
      <c r="CK19" s="459">
        <f t="shared" si="73"/>
        <v>0</v>
      </c>
      <c r="CL19" s="465"/>
      <c r="CM19" s="466"/>
      <c r="CN19" s="466"/>
      <c r="CO19" s="459">
        <f t="shared" si="74"/>
        <v>0</v>
      </c>
      <c r="CP19" s="459"/>
      <c r="CQ19" s="460"/>
      <c r="CR19" s="461"/>
      <c r="CS19" s="459"/>
      <c r="CT19" s="459">
        <f t="shared" si="75"/>
        <v>0</v>
      </c>
      <c r="CU19" s="459"/>
      <c r="CV19" s="460"/>
      <c r="CW19" s="461"/>
      <c r="CX19" s="459"/>
      <c r="CY19" s="459">
        <f t="shared" si="76"/>
        <v>0</v>
      </c>
      <c r="CZ19" s="459">
        <f t="shared" si="82"/>
        <v>0</v>
      </c>
      <c r="DA19" s="459">
        <f t="shared" si="77"/>
        <v>0</v>
      </c>
      <c r="DB19" s="459">
        <f t="shared" si="77"/>
        <v>0</v>
      </c>
      <c r="DC19" s="459">
        <f t="shared" si="77"/>
        <v>0</v>
      </c>
      <c r="DD19" s="459"/>
      <c r="DE19" s="459"/>
      <c r="DF19" s="459"/>
      <c r="DG19" s="459">
        <f t="shared" si="78"/>
        <v>0</v>
      </c>
      <c r="DH19" s="467"/>
      <c r="DI19" s="459">
        <f t="shared" si="79"/>
        <v>1283.95706</v>
      </c>
      <c r="DJ19" s="459">
        <f t="shared" si="80"/>
        <v>1283.95706</v>
      </c>
      <c r="DK19" s="467"/>
      <c r="DL19" s="459"/>
      <c r="DM19" s="459"/>
      <c r="DN19" s="467"/>
      <c r="DO19" s="459"/>
      <c r="DP19" s="467"/>
      <c r="DQ19" s="467"/>
      <c r="DR19" s="459">
        <f t="shared" si="8"/>
        <v>1283.95706</v>
      </c>
      <c r="DS19" s="459"/>
      <c r="DT19" s="460">
        <f>1236.29899+47.65807</f>
        <v>1283.95706</v>
      </c>
      <c r="DU19" s="470"/>
      <c r="DV19" s="459"/>
      <c r="DW19" s="459">
        <f t="shared" si="11"/>
        <v>491.63749999999999</v>
      </c>
      <c r="DX19" s="459"/>
      <c r="DY19" s="459">
        <f>473.38757+18.24993</f>
        <v>491.63749999999999</v>
      </c>
      <c r="DZ19" s="459"/>
      <c r="EA19" s="146"/>
      <c r="EB19" s="279"/>
      <c r="EC19" s="279"/>
      <c r="ED19" s="279"/>
      <c r="EE19" s="366"/>
      <c r="EF19" s="366"/>
      <c r="EG19" s="279"/>
      <c r="EH19" s="279"/>
      <c r="EI19" s="279"/>
      <c r="EJ19" s="366"/>
      <c r="EK19" s="366"/>
      <c r="EL19" s="366">
        <v>2.5999999999999999E-2</v>
      </c>
      <c r="EM19" s="280"/>
      <c r="EN19" s="279"/>
      <c r="EO19" s="265" t="e">
        <f t="shared" si="81"/>
        <v>#DIV/0!</v>
      </c>
      <c r="EP19" s="323">
        <f t="shared" si="46"/>
        <v>1775.59456</v>
      </c>
      <c r="EQ19" s="323">
        <f t="shared" si="83"/>
        <v>1283.95706</v>
      </c>
      <c r="ER19" s="323">
        <v>491.63749999999999</v>
      </c>
      <c r="ES19" s="358">
        <f t="shared" si="84"/>
        <v>0.72311387347345779</v>
      </c>
      <c r="ET19" s="358">
        <f t="shared" si="85"/>
        <v>0.27688612652654215</v>
      </c>
      <c r="EU19" s="323">
        <f t="shared" si="49"/>
        <v>1775.59456</v>
      </c>
      <c r="EV19" s="323">
        <f t="shared" si="86"/>
        <v>1283.95706</v>
      </c>
      <c r="EW19" s="323">
        <f t="shared" si="87"/>
        <v>491.63749999999999</v>
      </c>
      <c r="EX19" s="358">
        <f t="shared" si="88"/>
        <v>0.72311387347345779</v>
      </c>
      <c r="EY19" s="358">
        <f t="shared" si="89"/>
        <v>0.27688612652654215</v>
      </c>
      <c r="EZ19" s="358">
        <v>8.6499999999999994E-2</v>
      </c>
      <c r="FA19" s="323">
        <f t="shared" si="90"/>
        <v>1283.95706</v>
      </c>
      <c r="FB19" s="323">
        <f t="shared" si="51"/>
        <v>0</v>
      </c>
      <c r="FC19" s="279"/>
      <c r="FD19" s="279"/>
      <c r="FE19" s="279"/>
      <c r="FF19" s="366"/>
      <c r="FG19" s="366"/>
      <c r="FH19" s="279"/>
      <c r="FI19" s="279"/>
      <c r="FJ19" s="279"/>
      <c r="FK19" s="366"/>
      <c r="FL19" s="366"/>
      <c r="FM19" s="366">
        <v>8.6499999999999994E-2</v>
      </c>
      <c r="FN19" s="280"/>
      <c r="FO19" s="279"/>
    </row>
    <row r="20" spans="2:171" s="119" customFormat="1" ht="15.6" customHeight="1" x14ac:dyDescent="0.25">
      <c r="B20" s="113"/>
      <c r="C20" s="114"/>
      <c r="D20" s="114"/>
      <c r="E20" s="115"/>
      <c r="F20" s="113"/>
      <c r="G20" s="114"/>
      <c r="H20" s="114"/>
      <c r="I20" s="659"/>
      <c r="J20" s="660"/>
      <c r="K20" s="660"/>
      <c r="L20" s="120"/>
      <c r="M20" s="115"/>
      <c r="N20" s="118" t="s">
        <v>10</v>
      </c>
      <c r="O20" s="118"/>
      <c r="P20" s="68">
        <f t="shared" si="29"/>
        <v>40161.834000000003</v>
      </c>
      <c r="Q20" s="118"/>
      <c r="R20" s="118"/>
      <c r="S20" s="118"/>
      <c r="T20" s="118"/>
      <c r="U20" s="163">
        <f>U21+U22+U23+U24+U25+U26+U27+U28+U29+U30+U31+U32+U33+U34+U35+U36+U37+U38</f>
        <v>18</v>
      </c>
      <c r="V20" s="163">
        <f>V21+V22+V23+V24+V25+V26+V27+V28+V29+V30+V31+V32+V33+V34+V35+V36+V37+V38</f>
        <v>13</v>
      </c>
      <c r="W20" s="452">
        <f t="shared" ref="W20:AA20" si="99">SUM(W21:W38)-W22</f>
        <v>59511.273000000001</v>
      </c>
      <c r="X20" s="452">
        <f t="shared" si="99"/>
        <v>40161.834000000003</v>
      </c>
      <c r="Y20" s="452">
        <f t="shared" si="99"/>
        <v>8352.1999999999989</v>
      </c>
      <c r="Z20" s="452">
        <f t="shared" si="99"/>
        <v>10997.239</v>
      </c>
      <c r="AA20" s="452">
        <f t="shared" si="99"/>
        <v>0</v>
      </c>
      <c r="AB20" s="452">
        <f t="shared" ref="AB20:AF20" si="100">SUM(AB21:AB38)-AB22</f>
        <v>18151.000000000004</v>
      </c>
      <c r="AC20" s="452">
        <f t="shared" si="100"/>
        <v>5050</v>
      </c>
      <c r="AD20" s="452">
        <f t="shared" si="100"/>
        <v>8441</v>
      </c>
      <c r="AE20" s="452">
        <f t="shared" si="100"/>
        <v>4660</v>
      </c>
      <c r="AF20" s="452">
        <f t="shared" si="100"/>
        <v>0</v>
      </c>
      <c r="AG20" s="452">
        <f t="shared" ref="AG20:AK20" si="101">SUM(AG21:AG38)-AG22</f>
        <v>13537.702000000003</v>
      </c>
      <c r="AH20" s="452">
        <f t="shared" si="101"/>
        <v>436.702</v>
      </c>
      <c r="AI20" s="452">
        <f t="shared" si="101"/>
        <v>8441</v>
      </c>
      <c r="AJ20" s="452">
        <f t="shared" si="101"/>
        <v>4660</v>
      </c>
      <c r="AK20" s="452">
        <f t="shared" si="101"/>
        <v>0</v>
      </c>
      <c r="AL20" s="454">
        <f t="shared" ref="AL20:AP20" si="102">SUM(AL21:AL38)-AL22</f>
        <v>8766.7019999999993</v>
      </c>
      <c r="AM20" s="452">
        <f t="shared" si="102"/>
        <v>436.702</v>
      </c>
      <c r="AN20" s="452">
        <f t="shared" si="102"/>
        <v>3670</v>
      </c>
      <c r="AO20" s="452">
        <f t="shared" si="102"/>
        <v>4660</v>
      </c>
      <c r="AP20" s="452">
        <f t="shared" si="102"/>
        <v>0</v>
      </c>
      <c r="AQ20" s="453"/>
      <c r="AR20" s="452">
        <f t="shared" ref="AR20:AU20" si="103">SUM(AR21:AR38)-AR22</f>
        <v>59003.502</v>
      </c>
      <c r="AS20" s="452">
        <f t="shared" si="103"/>
        <v>40161.834000000003</v>
      </c>
      <c r="AT20" s="452">
        <f t="shared" si="103"/>
        <v>7873.1729999999998</v>
      </c>
      <c r="AU20" s="452">
        <f t="shared" si="103"/>
        <v>10968.494999999999</v>
      </c>
      <c r="AV20" s="452">
        <f>SUM(AV21:AV38)-AV22</f>
        <v>0</v>
      </c>
      <c r="AW20" s="452" t="e">
        <f t="shared" ref="AW20:BF20" si="104">SUM(AW21:AW38)-AW22</f>
        <v>#REF!</v>
      </c>
      <c r="AX20" s="452" t="e">
        <f t="shared" si="104"/>
        <v>#REF!</v>
      </c>
      <c r="AY20" s="452" t="e">
        <f t="shared" si="104"/>
        <v>#REF!</v>
      </c>
      <c r="AZ20" s="452" t="e">
        <f t="shared" si="104"/>
        <v>#REF!</v>
      </c>
      <c r="BA20" s="452" t="e">
        <f t="shared" si="104"/>
        <v>#REF!</v>
      </c>
      <c r="BB20" s="452">
        <f t="shared" si="104"/>
        <v>13101.000000000002</v>
      </c>
      <c r="BC20" s="452">
        <f t="shared" si="104"/>
        <v>0</v>
      </c>
      <c r="BD20" s="452">
        <f t="shared" si="104"/>
        <v>8441</v>
      </c>
      <c r="BE20" s="452">
        <f t="shared" si="104"/>
        <v>4660</v>
      </c>
      <c r="BF20" s="452">
        <f t="shared" si="104"/>
        <v>0</v>
      </c>
      <c r="BG20" s="452">
        <f t="shared" ref="BG20:CK20" si="105">SUM(BG21:BG38)-BG22</f>
        <v>0</v>
      </c>
      <c r="BH20" s="452">
        <f t="shared" si="105"/>
        <v>0</v>
      </c>
      <c r="BI20" s="452">
        <f t="shared" si="105"/>
        <v>0</v>
      </c>
      <c r="BJ20" s="452">
        <f t="shared" si="105"/>
        <v>0</v>
      </c>
      <c r="BK20" s="452">
        <f t="shared" si="105"/>
        <v>0</v>
      </c>
      <c r="BL20" s="452">
        <f t="shared" si="105"/>
        <v>58739.946000000004</v>
      </c>
      <c r="BM20" s="452">
        <f t="shared" si="105"/>
        <v>40161.834000000003</v>
      </c>
      <c r="BN20" s="452">
        <f t="shared" si="105"/>
        <v>7609.6169999999993</v>
      </c>
      <c r="BO20" s="452">
        <f t="shared" si="105"/>
        <v>10968.494999999999</v>
      </c>
      <c r="BP20" s="452">
        <f t="shared" si="105"/>
        <v>0</v>
      </c>
      <c r="BQ20" s="452">
        <f t="shared" si="105"/>
        <v>18578.112000000001</v>
      </c>
      <c r="BR20" s="452">
        <f t="shared" si="105"/>
        <v>0</v>
      </c>
      <c r="BS20" s="452">
        <f t="shared" si="105"/>
        <v>7609.6169999999993</v>
      </c>
      <c r="BT20" s="452">
        <f t="shared" si="105"/>
        <v>10968.494999999999</v>
      </c>
      <c r="BU20" s="452">
        <f t="shared" si="105"/>
        <v>0</v>
      </c>
      <c r="BV20" s="454">
        <f t="shared" si="105"/>
        <v>5241.2896599999995</v>
      </c>
      <c r="BW20" s="452">
        <f t="shared" si="105"/>
        <v>0</v>
      </c>
      <c r="BX20" s="452">
        <f t="shared" si="105"/>
        <v>4096.8200299999999</v>
      </c>
      <c r="BY20" s="452">
        <f t="shared" si="105"/>
        <v>1144.4696300000001</v>
      </c>
      <c r="BZ20" s="452">
        <f t="shared" si="105"/>
        <v>0</v>
      </c>
      <c r="CA20" s="452">
        <f t="shared" si="105"/>
        <v>23819.401660000003</v>
      </c>
      <c r="CB20" s="452">
        <f t="shared" si="105"/>
        <v>23819.401660000003</v>
      </c>
      <c r="CC20" s="452">
        <f t="shared" si="105"/>
        <v>0</v>
      </c>
      <c r="CD20" s="452">
        <f t="shared" si="105"/>
        <v>11706.437029999999</v>
      </c>
      <c r="CE20" s="452">
        <f t="shared" si="105"/>
        <v>12112.96463</v>
      </c>
      <c r="CF20" s="452">
        <f t="shared" si="105"/>
        <v>0</v>
      </c>
      <c r="CG20" s="452">
        <f t="shared" si="105"/>
        <v>40161.834000000003</v>
      </c>
      <c r="CH20" s="452">
        <f t="shared" si="105"/>
        <v>40161.834000000003</v>
      </c>
      <c r="CI20" s="452">
        <f t="shared" si="105"/>
        <v>0</v>
      </c>
      <c r="CJ20" s="452">
        <f t="shared" si="105"/>
        <v>0</v>
      </c>
      <c r="CK20" s="452">
        <f t="shared" si="105"/>
        <v>0</v>
      </c>
      <c r="CL20" s="455">
        <f>CM20+CO20-BG20</f>
        <v>13101.000000000002</v>
      </c>
      <c r="CM20" s="456">
        <f t="shared" ref="CM20:DG20" si="106">SUM(CM21:CM38)-CM22</f>
        <v>13101.000000000002</v>
      </c>
      <c r="CN20" s="456">
        <f t="shared" si="106"/>
        <v>13101.000000000002</v>
      </c>
      <c r="CO20" s="452">
        <f t="shared" si="106"/>
        <v>0</v>
      </c>
      <c r="CP20" s="452">
        <f t="shared" si="106"/>
        <v>0</v>
      </c>
      <c r="CQ20" s="452">
        <f t="shared" si="106"/>
        <v>0</v>
      </c>
      <c r="CR20" s="452">
        <f t="shared" si="106"/>
        <v>0</v>
      </c>
      <c r="CS20" s="452">
        <f t="shared" si="106"/>
        <v>0</v>
      </c>
      <c r="CT20" s="452">
        <f t="shared" si="106"/>
        <v>0</v>
      </c>
      <c r="CU20" s="452">
        <f t="shared" si="106"/>
        <v>0</v>
      </c>
      <c r="CV20" s="452">
        <f t="shared" si="106"/>
        <v>0</v>
      </c>
      <c r="CW20" s="452">
        <f t="shared" si="106"/>
        <v>0</v>
      </c>
      <c r="CX20" s="452">
        <f t="shared" si="106"/>
        <v>0</v>
      </c>
      <c r="CY20" s="452">
        <f t="shared" si="106"/>
        <v>0</v>
      </c>
      <c r="CZ20" s="452">
        <f t="shared" si="106"/>
        <v>0</v>
      </c>
      <c r="DA20" s="452">
        <f t="shared" si="106"/>
        <v>0</v>
      </c>
      <c r="DB20" s="452">
        <f t="shared" si="106"/>
        <v>0</v>
      </c>
      <c r="DC20" s="452">
        <f t="shared" si="106"/>
        <v>0</v>
      </c>
      <c r="DD20" s="452">
        <f t="shared" si="106"/>
        <v>0</v>
      </c>
      <c r="DE20" s="452">
        <f t="shared" si="106"/>
        <v>0</v>
      </c>
      <c r="DF20" s="452">
        <f t="shared" si="106"/>
        <v>0</v>
      </c>
      <c r="DG20" s="452">
        <f t="shared" si="106"/>
        <v>40161.834000000003</v>
      </c>
      <c r="DH20" s="457"/>
      <c r="DI20" s="452">
        <f>SUM(DI21:DI38)-DI22</f>
        <v>58739.946000000004</v>
      </c>
      <c r="DJ20" s="452">
        <f>SUM(DJ21:DJ38)-DJ22</f>
        <v>18578.112000000001</v>
      </c>
      <c r="DK20" s="457"/>
      <c r="DL20" s="452">
        <f>SUM(DL21:DL38)-DL22</f>
        <v>18578.112000000001</v>
      </c>
      <c r="DM20" s="452">
        <f>SUM(DM21:DM38)-DM22</f>
        <v>40161.834000000003</v>
      </c>
      <c r="DN20" s="457"/>
      <c r="DO20" s="452">
        <f>SUM(DO21:DO38)-DO22</f>
        <v>-5477.1119999999983</v>
      </c>
      <c r="DP20" s="457">
        <f>DG20-DO20</f>
        <v>45638.946000000004</v>
      </c>
      <c r="DQ20" s="457"/>
      <c r="DR20" s="452">
        <f t="shared" si="8"/>
        <v>18578.111999999997</v>
      </c>
      <c r="DS20" s="452">
        <f t="shared" ref="DS20:DU20" si="107">SUM(DS21:DS38)-DS22</f>
        <v>0</v>
      </c>
      <c r="DT20" s="452">
        <f t="shared" si="107"/>
        <v>7609.6169999999993</v>
      </c>
      <c r="DU20" s="452">
        <f t="shared" si="107"/>
        <v>10968.494999999999</v>
      </c>
      <c r="DV20" s="452">
        <f t="shared" ref="DV20" si="108">SUM(DV21:DV38)-DV22</f>
        <v>0</v>
      </c>
      <c r="DW20" s="452">
        <f t="shared" si="11"/>
        <v>5241.2896600000004</v>
      </c>
      <c r="DX20" s="452">
        <f t="shared" ref="DX20:DZ20" si="109">SUM(DX21:DX38)-DX22</f>
        <v>0</v>
      </c>
      <c r="DY20" s="452">
        <f t="shared" si="109"/>
        <v>4096.8200299999999</v>
      </c>
      <c r="DZ20" s="452">
        <f t="shared" si="109"/>
        <v>1144.4696300000001</v>
      </c>
      <c r="EA20" s="145">
        <f t="shared" ref="EA20" si="110">SUM(EA21:EA38)-EA22</f>
        <v>0</v>
      </c>
      <c r="EB20" s="57">
        <f t="shared" si="13"/>
        <v>41260.934000000001</v>
      </c>
      <c r="EC20" s="57">
        <f t="shared" si="28"/>
        <v>40161.834000000003</v>
      </c>
      <c r="ED20" s="57">
        <f t="shared" ref="ED20" si="111">SUM(ED21:ED38)-ED22</f>
        <v>1099.0999999999999</v>
      </c>
      <c r="EE20" s="360"/>
      <c r="EF20" s="360"/>
      <c r="EG20" s="57">
        <f t="shared" si="43"/>
        <v>0</v>
      </c>
      <c r="EH20" s="57">
        <f>SUM(EH21:EH38)</f>
        <v>0</v>
      </c>
      <c r="EI20" s="57">
        <f>SUM(EI21:EI38)</f>
        <v>0</v>
      </c>
      <c r="EJ20" s="360"/>
      <c r="EK20" s="360"/>
      <c r="EL20" s="360"/>
      <c r="EM20" s="273">
        <f t="shared" ref="EM20" si="112">SUM(EM21:EM38)</f>
        <v>0</v>
      </c>
      <c r="EN20" s="57">
        <f t="shared" si="45"/>
        <v>0</v>
      </c>
      <c r="EO20" s="264"/>
      <c r="EP20" s="57">
        <f t="shared" si="46"/>
        <v>12162.712230000001</v>
      </c>
      <c r="EQ20" s="57">
        <f t="shared" si="83"/>
        <v>7873.1729999999998</v>
      </c>
      <c r="ER20" s="57">
        <f t="shared" ref="ER20" si="113">SUM(ER21:ER38)-ER22</f>
        <v>4289.5392300000003</v>
      </c>
      <c r="ES20" s="360"/>
      <c r="ET20" s="360"/>
      <c r="EU20" s="57">
        <f t="shared" si="49"/>
        <v>11706.437029999999</v>
      </c>
      <c r="EV20" s="57">
        <f>SUM(EV21:EV38)</f>
        <v>7609.6169999999993</v>
      </c>
      <c r="EW20" s="57">
        <f>SUM(EW21:EW38)</f>
        <v>4096.8200299999999</v>
      </c>
      <c r="EX20" s="360"/>
      <c r="EY20" s="360"/>
      <c r="EZ20" s="360"/>
      <c r="FA20" s="57">
        <f t="shared" ref="FA20" si="114">SUM(FA21:FA38)</f>
        <v>7609.6169999999993</v>
      </c>
      <c r="FB20" s="57">
        <f t="shared" si="51"/>
        <v>0</v>
      </c>
      <c r="FC20" s="57">
        <f t="shared" ref="FC20" si="115">FD20+FE20+FF20</f>
        <v>12112.964629999999</v>
      </c>
      <c r="FD20" s="57">
        <f t="shared" si="53"/>
        <v>10968.494999999999</v>
      </c>
      <c r="FE20" s="57">
        <f t="shared" ref="FE20" si="116">SUM(FE21:FE38)-FE22</f>
        <v>1144.4696300000001</v>
      </c>
      <c r="FF20" s="360"/>
      <c r="FG20" s="360"/>
      <c r="FH20" s="57">
        <f t="shared" si="55"/>
        <v>12112.964629999999</v>
      </c>
      <c r="FI20" s="57">
        <f>SUM(FI21:FI38)</f>
        <v>10968.494999999999</v>
      </c>
      <c r="FJ20" s="57">
        <f>SUM(FJ21:FJ38)</f>
        <v>1144.4696300000001</v>
      </c>
      <c r="FK20" s="360"/>
      <c r="FL20" s="360"/>
      <c r="FM20" s="360"/>
      <c r="FN20" s="273" t="e">
        <f t="shared" ref="FN20" si="117">SUM(FN21:FN38)</f>
        <v>#DIV/0!</v>
      </c>
      <c r="FO20" s="57" t="e">
        <f t="shared" si="57"/>
        <v>#DIV/0!</v>
      </c>
    </row>
    <row r="21" spans="2:171" s="40" customFormat="1" ht="15.6" customHeight="1" x14ac:dyDescent="0.25">
      <c r="B21" s="32">
        <v>1</v>
      </c>
      <c r="C21" s="33"/>
      <c r="D21" s="33"/>
      <c r="E21" s="434">
        <v>12</v>
      </c>
      <c r="F21" s="32"/>
      <c r="G21" s="33"/>
      <c r="H21" s="33"/>
      <c r="I21" s="657"/>
      <c r="J21" s="658"/>
      <c r="K21" s="658"/>
      <c r="L21" s="658"/>
      <c r="M21" s="434">
        <v>12</v>
      </c>
      <c r="N21" s="448" t="s">
        <v>10</v>
      </c>
      <c r="O21" s="18"/>
      <c r="P21" s="24">
        <f t="shared" si="29"/>
        <v>0</v>
      </c>
      <c r="Q21" s="448" t="s">
        <v>544</v>
      </c>
      <c r="R21" s="18" t="s">
        <v>488</v>
      </c>
      <c r="S21" s="448" t="s">
        <v>491</v>
      </c>
      <c r="T21" s="448" t="s">
        <v>488</v>
      </c>
      <c r="U21" s="161">
        <v>1</v>
      </c>
      <c r="V21" s="161">
        <v>1</v>
      </c>
      <c r="W21" s="473">
        <f t="shared" ref="W21:W38" si="118">X21+Y21+Z21+AA21</f>
        <v>7235.7039999999997</v>
      </c>
      <c r="X21" s="473"/>
      <c r="Y21" s="460">
        <v>2040.5</v>
      </c>
      <c r="Z21" s="473">
        <f>3000+2600-404.796</f>
        <v>5195.2039999999997</v>
      </c>
      <c r="AA21" s="474"/>
      <c r="AB21" s="473">
        <f t="shared" ref="AB21:AB38" si="119">AC21+AD21+AE21+AF21</f>
        <v>7070.4</v>
      </c>
      <c r="AC21" s="473"/>
      <c r="AD21" s="460">
        <v>2410.4</v>
      </c>
      <c r="AE21" s="473">
        <v>4660</v>
      </c>
      <c r="AF21" s="474"/>
      <c r="AG21" s="473">
        <f t="shared" ref="AG21:AG38" si="120">AH21+AI21+AJ21+AK21</f>
        <v>7070.4</v>
      </c>
      <c r="AH21" s="473"/>
      <c r="AI21" s="460">
        <v>2410.4</v>
      </c>
      <c r="AJ21" s="473">
        <v>4660</v>
      </c>
      <c r="AK21" s="474"/>
      <c r="AL21" s="473">
        <f t="shared" ref="AL21:AL38" si="121">AM21+AN21+AO21+AP21</f>
        <v>5554</v>
      </c>
      <c r="AM21" s="473"/>
      <c r="AN21" s="460">
        <v>894</v>
      </c>
      <c r="AO21" s="473">
        <v>4660</v>
      </c>
      <c r="AP21" s="475"/>
      <c r="AQ21" s="383" t="s">
        <v>434</v>
      </c>
      <c r="AR21" s="459">
        <f t="shared" ref="AR21:AR84" si="122">AS21+AT21+AU21+AV21</f>
        <v>6941.83</v>
      </c>
      <c r="AS21" s="475"/>
      <c r="AT21" s="462">
        <f>2040.5-293.874</f>
        <v>1746.626</v>
      </c>
      <c r="AU21" s="473">
        <f>3000+2195.204</f>
        <v>5195.2039999999997</v>
      </c>
      <c r="AV21" s="475"/>
      <c r="AW21" s="459" t="e">
        <f t="shared" ref="AW21:AW38" si="123">AX21+AY21+AZ21+BA21</f>
        <v>#REF!</v>
      </c>
      <c r="AX21" s="459" t="e">
        <f>#REF!-AS21</f>
        <v>#REF!</v>
      </c>
      <c r="AY21" s="459" t="e">
        <f>#REF!-AT21</f>
        <v>#REF!</v>
      </c>
      <c r="AZ21" s="459" t="e">
        <f>#REF!-AU21</f>
        <v>#REF!</v>
      </c>
      <c r="BA21" s="459" t="e">
        <f>#REF!-AV21</f>
        <v>#REF!</v>
      </c>
      <c r="BB21" s="459">
        <f t="shared" ref="BB21:BB38" si="124">BC21+BD21+BE21+BF21</f>
        <v>7070.4</v>
      </c>
      <c r="BC21" s="475"/>
      <c r="BD21" s="460">
        <f>894+1516.4</f>
        <v>2410.4</v>
      </c>
      <c r="BE21" s="473">
        <v>4660</v>
      </c>
      <c r="BF21" s="475"/>
      <c r="BG21" s="459">
        <f t="shared" ref="BG21:BG38" si="125">BH21+BI21+BJ21+BK21</f>
        <v>0</v>
      </c>
      <c r="BH21" s="475"/>
      <c r="BI21" s="475"/>
      <c r="BJ21" s="475"/>
      <c r="BK21" s="475"/>
      <c r="BL21" s="459">
        <f t="shared" ref="BL21:BL38" si="126">BM21+BN21+BO21+BP21</f>
        <v>6941.83</v>
      </c>
      <c r="BM21" s="475"/>
      <c r="BN21" s="462">
        <f>2040.5-293.874</f>
        <v>1746.626</v>
      </c>
      <c r="BO21" s="473">
        <f>2430.854+2764.35</f>
        <v>5195.2039999999997</v>
      </c>
      <c r="BP21" s="476"/>
      <c r="BQ21" s="459">
        <f t="shared" ref="BQ21:BQ38" si="127">BR21+BS21+BT21+BU21</f>
        <v>6941.83</v>
      </c>
      <c r="BR21" s="476"/>
      <c r="BS21" s="462">
        <f>2040.5-293.874</f>
        <v>1746.626</v>
      </c>
      <c r="BT21" s="473">
        <f>2430.854+2764.35</f>
        <v>5195.2039999999997</v>
      </c>
      <c r="BU21" s="476"/>
      <c r="BV21" s="459">
        <f t="shared" ref="BV21:BV38" si="128">BW21+BX21+BY21+BZ21</f>
        <v>771.31587000000002</v>
      </c>
      <c r="BW21" s="475"/>
      <c r="BX21" s="473">
        <v>194.07024000000001</v>
      </c>
      <c r="BY21" s="473">
        <f>270.09563+307.15</f>
        <v>577.24563000000001</v>
      </c>
      <c r="BZ21" s="475"/>
      <c r="CA21" s="464">
        <f t="shared" ref="CA21:CA38" si="129">CB21</f>
        <v>7713.1458700000003</v>
      </c>
      <c r="CB21" s="459">
        <f t="shared" ref="CB21:CB38" si="130">CC21+CD21+CE21+CF21</f>
        <v>7713.1458700000003</v>
      </c>
      <c r="CC21" s="459">
        <f t="shared" ref="CC21:CF38" si="131">BR21+BW21</f>
        <v>0</v>
      </c>
      <c r="CD21" s="459">
        <f t="shared" si="131"/>
        <v>1940.69624</v>
      </c>
      <c r="CE21" s="459">
        <f t="shared" si="131"/>
        <v>5772.4496300000001</v>
      </c>
      <c r="CF21" s="459">
        <f t="shared" si="131"/>
        <v>0</v>
      </c>
      <c r="CG21" s="459">
        <f t="shared" ref="CG21:CG38" si="132">CH21+CI21+CJ21+CK21</f>
        <v>0</v>
      </c>
      <c r="CH21" s="459">
        <f t="shared" ref="CH21:CK38" si="133">BM21-BR21</f>
        <v>0</v>
      </c>
      <c r="CI21" s="459">
        <f t="shared" si="133"/>
        <v>0</v>
      </c>
      <c r="CJ21" s="459">
        <f t="shared" si="133"/>
        <v>0</v>
      </c>
      <c r="CK21" s="459">
        <f t="shared" si="133"/>
        <v>0</v>
      </c>
      <c r="CL21" s="465"/>
      <c r="CM21" s="466">
        <f>BD21</f>
        <v>2410.4</v>
      </c>
      <c r="CN21" s="477">
        <f>CM21</f>
        <v>2410.4</v>
      </c>
      <c r="CO21" s="459">
        <f t="shared" ref="CO21:CO38" si="134">CP21+CQ21+CR21+CS21</f>
        <v>0</v>
      </c>
      <c r="CP21" s="475"/>
      <c r="CQ21" s="475"/>
      <c r="CR21" s="475"/>
      <c r="CS21" s="475"/>
      <c r="CT21" s="459">
        <f t="shared" ref="CT21:CT38" si="135">CU21+CV21+CW21+CX21</f>
        <v>0</v>
      </c>
      <c r="CU21" s="475"/>
      <c r="CV21" s="475"/>
      <c r="CW21" s="475"/>
      <c r="CX21" s="475"/>
      <c r="CY21" s="459">
        <f t="shared" ref="CY21:CY38" si="136">CZ21+DA21+DB21+DC21</f>
        <v>0</v>
      </c>
      <c r="CZ21" s="459">
        <f t="shared" ref="CZ21:DC38" si="137">CP21-CU21</f>
        <v>0</v>
      </c>
      <c r="DA21" s="459">
        <f t="shared" si="137"/>
        <v>0</v>
      </c>
      <c r="DB21" s="459">
        <f t="shared" si="137"/>
        <v>0</v>
      </c>
      <c r="DC21" s="459">
        <f t="shared" si="137"/>
        <v>0</v>
      </c>
      <c r="DD21" s="475"/>
      <c r="DE21" s="475"/>
      <c r="DF21" s="475"/>
      <c r="DG21" s="459">
        <f t="shared" ref="DG21:DG38" si="138">CG21+CY21+DF21</f>
        <v>0</v>
      </c>
      <c r="DH21" s="467"/>
      <c r="DI21" s="459">
        <f t="shared" ref="DI21:DI38" si="139">BL21+CO21+DD21</f>
        <v>6941.83</v>
      </c>
      <c r="DJ21" s="459">
        <f t="shared" ref="DJ21:DJ38" si="140">BQ21+CT21+DE21</f>
        <v>6941.83</v>
      </c>
      <c r="DK21" s="467"/>
      <c r="DL21" s="459">
        <f>DJ21</f>
        <v>6941.83</v>
      </c>
      <c r="DM21" s="459">
        <f>DG21</f>
        <v>0</v>
      </c>
      <c r="DN21" s="467"/>
      <c r="DO21" s="459">
        <f>CN21-DL21</f>
        <v>-4531.43</v>
      </c>
      <c r="DP21" s="467"/>
      <c r="DQ21" s="467"/>
      <c r="DR21" s="459">
        <f t="shared" si="8"/>
        <v>6941.83</v>
      </c>
      <c r="DS21" s="476"/>
      <c r="DT21" s="462">
        <f>2040.5-293.874</f>
        <v>1746.626</v>
      </c>
      <c r="DU21" s="473">
        <v>5195.2039999999997</v>
      </c>
      <c r="DV21" s="476"/>
      <c r="DW21" s="459">
        <f t="shared" si="11"/>
        <v>771.31587000000002</v>
      </c>
      <c r="DX21" s="475"/>
      <c r="DY21" s="473">
        <v>194.07024000000001</v>
      </c>
      <c r="DZ21" s="473">
        <v>577.24563000000001</v>
      </c>
      <c r="EA21" s="150"/>
      <c r="EB21" s="279"/>
      <c r="EC21" s="282"/>
      <c r="ED21" s="282"/>
      <c r="EE21" s="367"/>
      <c r="EF21" s="367"/>
      <c r="EG21" s="279"/>
      <c r="EH21" s="282"/>
      <c r="EI21" s="282"/>
      <c r="EJ21" s="367"/>
      <c r="EK21" s="367"/>
      <c r="EL21" s="367">
        <v>2.9700000000000001E-2</v>
      </c>
      <c r="EM21" s="283"/>
      <c r="EN21" s="426"/>
      <c r="EO21" s="266" t="e">
        <f t="shared" ref="EO21:EO38" si="141">EM21/EJ21</f>
        <v>#DIV/0!</v>
      </c>
      <c r="EP21" s="323">
        <f t="shared" si="46"/>
        <v>1940.69624</v>
      </c>
      <c r="EQ21" s="325">
        <f t="shared" si="83"/>
        <v>1746.626</v>
      </c>
      <c r="ER21" s="325">
        <v>194.07024000000001</v>
      </c>
      <c r="ES21" s="361">
        <f t="shared" ref="ES21:ES38" si="142">EQ21/EP21</f>
        <v>0.89999968258814167</v>
      </c>
      <c r="ET21" s="361">
        <f t="shared" ref="ET21:ET38" si="143">ER21/EP21</f>
        <v>0.10000031741185834</v>
      </c>
      <c r="EU21" s="323">
        <f t="shared" si="49"/>
        <v>1940.69624</v>
      </c>
      <c r="EV21" s="325">
        <f t="shared" ref="EV21:EV38" si="144">DT21</f>
        <v>1746.626</v>
      </c>
      <c r="EW21" s="325">
        <f t="shared" ref="EW21:EW38" si="145">DY21</f>
        <v>194.07024000000001</v>
      </c>
      <c r="EX21" s="361">
        <f t="shared" ref="EX21:EX38" si="146">EV21/EU21</f>
        <v>0.89999968258814167</v>
      </c>
      <c r="EY21" s="361">
        <f t="shared" ref="EY21:EY38" si="147">EW21/EU21</f>
        <v>0.10000031741185834</v>
      </c>
      <c r="EZ21" s="361">
        <v>0.1</v>
      </c>
      <c r="FA21" s="356">
        <f t="shared" si="90"/>
        <v>1746.626</v>
      </c>
      <c r="FB21" s="356">
        <f t="shared" si="51"/>
        <v>0</v>
      </c>
      <c r="FC21" s="279">
        <f t="shared" ref="FC21:FC38" si="148">FD21+FE21</f>
        <v>5772.4496300000001</v>
      </c>
      <c r="FD21" s="282">
        <f t="shared" si="53"/>
        <v>5195.2039999999997</v>
      </c>
      <c r="FE21" s="282">
        <v>577.24563000000001</v>
      </c>
      <c r="FF21" s="367">
        <f t="shared" ref="FF21:FF38" si="149">FD21/FC21</f>
        <v>0.89999988445113543</v>
      </c>
      <c r="FG21" s="367">
        <f t="shared" ref="FG21:FG38" si="150">FE21/FC21</f>
        <v>0.10000011554886448</v>
      </c>
      <c r="FH21" s="279">
        <f t="shared" si="55"/>
        <v>5772.4496300000001</v>
      </c>
      <c r="FI21" s="282">
        <f t="shared" ref="FI21:FI82" si="151">DU21</f>
        <v>5195.2039999999997</v>
      </c>
      <c r="FJ21" s="282">
        <f t="shared" ref="FJ21:FJ82" si="152">DZ21</f>
        <v>577.24563000000001</v>
      </c>
      <c r="FK21" s="367">
        <f t="shared" ref="FK21:FK38" si="153">FI21/FH21</f>
        <v>0.89999988445113543</v>
      </c>
      <c r="FL21" s="367">
        <f t="shared" ref="FL21:FL38" si="154">FJ21/FH21</f>
        <v>0.10000011554886448</v>
      </c>
      <c r="FM21" s="367">
        <v>0.1</v>
      </c>
      <c r="FN21" s="283">
        <f t="shared" ref="FN21:FN38" si="155">FH21*FF21</f>
        <v>5195.2039999999997</v>
      </c>
      <c r="FO21" s="426">
        <f t="shared" si="57"/>
        <v>0</v>
      </c>
    </row>
    <row r="22" spans="2:171" s="40" customFormat="1" ht="15.6" customHeight="1" x14ac:dyDescent="0.25">
      <c r="B22" s="32"/>
      <c r="C22" s="33"/>
      <c r="D22" s="33"/>
      <c r="E22" s="434"/>
      <c r="F22" s="32"/>
      <c r="G22" s="33"/>
      <c r="H22" s="33"/>
      <c r="I22" s="595"/>
      <c r="J22" s="662"/>
      <c r="K22" s="205"/>
      <c r="L22" s="53"/>
      <c r="M22" s="434"/>
      <c r="N22" s="19" t="s">
        <v>251</v>
      </c>
      <c r="O22" s="133"/>
      <c r="P22" s="2">
        <f t="shared" si="29"/>
        <v>0</v>
      </c>
      <c r="Q22" s="133"/>
      <c r="R22" s="133"/>
      <c r="S22" s="133"/>
      <c r="T22" s="133"/>
      <c r="U22" s="133"/>
      <c r="V22" s="133"/>
      <c r="W22" s="473">
        <f t="shared" si="118"/>
        <v>0</v>
      </c>
      <c r="X22" s="473"/>
      <c r="Y22" s="460"/>
      <c r="Z22" s="475"/>
      <c r="AA22" s="474"/>
      <c r="AB22" s="473">
        <f t="shared" si="119"/>
        <v>0</v>
      </c>
      <c r="AC22" s="473"/>
      <c r="AD22" s="460"/>
      <c r="AE22" s="475"/>
      <c r="AF22" s="474"/>
      <c r="AG22" s="473">
        <f t="shared" si="120"/>
        <v>0</v>
      </c>
      <c r="AH22" s="473"/>
      <c r="AI22" s="460"/>
      <c r="AJ22" s="475"/>
      <c r="AK22" s="474"/>
      <c r="AL22" s="473">
        <f t="shared" si="121"/>
        <v>0</v>
      </c>
      <c r="AM22" s="473"/>
      <c r="AN22" s="460"/>
      <c r="AO22" s="475"/>
      <c r="AP22" s="475"/>
      <c r="AQ22" s="478"/>
      <c r="AR22" s="459">
        <f t="shared" si="122"/>
        <v>0</v>
      </c>
      <c r="AS22" s="475"/>
      <c r="AT22" s="479"/>
      <c r="AU22" s="475"/>
      <c r="AV22" s="475"/>
      <c r="AW22" s="459" t="e">
        <f t="shared" si="123"/>
        <v>#REF!</v>
      </c>
      <c r="AX22" s="459" t="e">
        <f>#REF!-AS22</f>
        <v>#REF!</v>
      </c>
      <c r="AY22" s="459" t="e">
        <f>#REF!-AT22</f>
        <v>#REF!</v>
      </c>
      <c r="AZ22" s="459" t="e">
        <f>#REF!-AU22</f>
        <v>#REF!</v>
      </c>
      <c r="BA22" s="459" t="e">
        <f>#REF!-AV22</f>
        <v>#REF!</v>
      </c>
      <c r="BB22" s="459">
        <f t="shared" si="124"/>
        <v>0</v>
      </c>
      <c r="BC22" s="475"/>
      <c r="BD22" s="475"/>
      <c r="BE22" s="475"/>
      <c r="BF22" s="475"/>
      <c r="BG22" s="459">
        <f t="shared" si="125"/>
        <v>0</v>
      </c>
      <c r="BH22" s="475"/>
      <c r="BI22" s="475"/>
      <c r="BJ22" s="475"/>
      <c r="BK22" s="475"/>
      <c r="BL22" s="459">
        <f t="shared" si="126"/>
        <v>0</v>
      </c>
      <c r="BM22" s="475"/>
      <c r="BN22" s="476"/>
      <c r="BO22" s="476"/>
      <c r="BP22" s="476"/>
      <c r="BQ22" s="459">
        <f t="shared" si="127"/>
        <v>0</v>
      </c>
      <c r="BR22" s="476"/>
      <c r="BS22" s="476"/>
      <c r="BT22" s="476"/>
      <c r="BU22" s="476"/>
      <c r="BV22" s="459">
        <f t="shared" si="128"/>
        <v>0</v>
      </c>
      <c r="BW22" s="475"/>
      <c r="BX22" s="475"/>
      <c r="BY22" s="475"/>
      <c r="BZ22" s="475"/>
      <c r="CA22" s="464">
        <f t="shared" si="129"/>
        <v>0</v>
      </c>
      <c r="CB22" s="459">
        <f t="shared" si="130"/>
        <v>0</v>
      </c>
      <c r="CC22" s="459">
        <f t="shared" si="131"/>
        <v>0</v>
      </c>
      <c r="CD22" s="459">
        <f t="shared" si="131"/>
        <v>0</v>
      </c>
      <c r="CE22" s="459">
        <f t="shared" si="131"/>
        <v>0</v>
      </c>
      <c r="CF22" s="459">
        <f t="shared" si="131"/>
        <v>0</v>
      </c>
      <c r="CG22" s="459">
        <f t="shared" si="132"/>
        <v>0</v>
      </c>
      <c r="CH22" s="459">
        <f t="shared" si="133"/>
        <v>0</v>
      </c>
      <c r="CI22" s="459">
        <f t="shared" si="133"/>
        <v>0</v>
      </c>
      <c r="CJ22" s="459">
        <f t="shared" si="133"/>
        <v>0</v>
      </c>
      <c r="CK22" s="459">
        <f t="shared" si="133"/>
        <v>0</v>
      </c>
      <c r="CL22" s="465"/>
      <c r="CM22" s="477"/>
      <c r="CN22" s="477"/>
      <c r="CO22" s="459">
        <f t="shared" si="134"/>
        <v>0</v>
      </c>
      <c r="CP22" s="475"/>
      <c r="CQ22" s="475"/>
      <c r="CR22" s="475"/>
      <c r="CS22" s="475"/>
      <c r="CT22" s="459">
        <f t="shared" si="135"/>
        <v>0</v>
      </c>
      <c r="CU22" s="475"/>
      <c r="CV22" s="475"/>
      <c r="CW22" s="475"/>
      <c r="CX22" s="475"/>
      <c r="CY22" s="459">
        <f t="shared" si="136"/>
        <v>0</v>
      </c>
      <c r="CZ22" s="459">
        <f t="shared" si="137"/>
        <v>0</v>
      </c>
      <c r="DA22" s="459">
        <f t="shared" si="137"/>
        <v>0</v>
      </c>
      <c r="DB22" s="459">
        <f t="shared" si="137"/>
        <v>0</v>
      </c>
      <c r="DC22" s="459">
        <f t="shared" si="137"/>
        <v>0</v>
      </c>
      <c r="DD22" s="475"/>
      <c r="DE22" s="475"/>
      <c r="DF22" s="475"/>
      <c r="DG22" s="459">
        <f t="shared" si="138"/>
        <v>0</v>
      </c>
      <c r="DH22" s="467"/>
      <c r="DI22" s="459">
        <f t="shared" si="139"/>
        <v>0</v>
      </c>
      <c r="DJ22" s="459">
        <f t="shared" si="140"/>
        <v>0</v>
      </c>
      <c r="DK22" s="467"/>
      <c r="DL22" s="459">
        <f>DJ22</f>
        <v>0</v>
      </c>
      <c r="DM22" s="459">
        <f>DG22</f>
        <v>0</v>
      </c>
      <c r="DN22" s="467"/>
      <c r="DO22" s="475"/>
      <c r="DP22" s="467"/>
      <c r="DQ22" s="467"/>
      <c r="DR22" s="459">
        <f t="shared" si="8"/>
        <v>0</v>
      </c>
      <c r="DS22" s="476"/>
      <c r="DT22" s="476"/>
      <c r="DU22" s="476"/>
      <c r="DV22" s="476"/>
      <c r="DW22" s="459">
        <f t="shared" si="11"/>
        <v>0</v>
      </c>
      <c r="DX22" s="475"/>
      <c r="DY22" s="475"/>
      <c r="DZ22" s="475"/>
      <c r="EA22" s="150"/>
      <c r="EB22" s="279"/>
      <c r="EC22" s="282"/>
      <c r="ED22" s="316"/>
      <c r="EE22" s="367"/>
      <c r="EF22" s="367"/>
      <c r="EG22" s="279"/>
      <c r="EH22" s="282"/>
      <c r="EI22" s="282"/>
      <c r="EJ22" s="367"/>
      <c r="EK22" s="367"/>
      <c r="EL22" s="367"/>
      <c r="EM22" s="283"/>
      <c r="EN22" s="426"/>
      <c r="EO22" s="267" t="e">
        <f t="shared" si="141"/>
        <v>#DIV/0!</v>
      </c>
      <c r="EP22" s="323"/>
      <c r="EQ22" s="325"/>
      <c r="ER22" s="326"/>
      <c r="ES22" s="361"/>
      <c r="ET22" s="361"/>
      <c r="EU22" s="323"/>
      <c r="EV22" s="325"/>
      <c r="EW22" s="325"/>
      <c r="EX22" s="361"/>
      <c r="EY22" s="361"/>
      <c r="EZ22" s="361"/>
      <c r="FA22" s="356"/>
      <c r="FB22" s="356">
        <f t="shared" si="51"/>
        <v>0</v>
      </c>
      <c r="FC22" s="279"/>
      <c r="FD22" s="282"/>
      <c r="FE22" s="316"/>
      <c r="FF22" s="367"/>
      <c r="FG22" s="367"/>
      <c r="FH22" s="279"/>
      <c r="FI22" s="282"/>
      <c r="FJ22" s="282"/>
      <c r="FK22" s="367"/>
      <c r="FL22" s="367"/>
      <c r="FM22" s="367"/>
      <c r="FN22" s="283"/>
      <c r="FO22" s="426"/>
    </row>
    <row r="23" spans="2:171" s="40" customFormat="1" ht="15.6" customHeight="1" x14ac:dyDescent="0.25">
      <c r="B23" s="32"/>
      <c r="C23" s="33"/>
      <c r="D23" s="33">
        <v>1</v>
      </c>
      <c r="E23" s="434">
        <v>13</v>
      </c>
      <c r="F23" s="32"/>
      <c r="G23" s="33"/>
      <c r="H23" s="33">
        <v>1</v>
      </c>
      <c r="I23" s="661"/>
      <c r="J23" s="663"/>
      <c r="K23" s="205"/>
      <c r="L23" s="53"/>
      <c r="M23" s="434">
        <v>13</v>
      </c>
      <c r="N23" s="435" t="s">
        <v>73</v>
      </c>
      <c r="O23" s="435" t="s">
        <v>342</v>
      </c>
      <c r="P23" s="24">
        <f t="shared" si="29"/>
        <v>0</v>
      </c>
      <c r="Q23" s="435"/>
      <c r="R23" s="435"/>
      <c r="S23" s="435"/>
      <c r="T23" s="435"/>
      <c r="U23" s="161">
        <v>1</v>
      </c>
      <c r="V23" s="434">
        <v>1</v>
      </c>
      <c r="W23" s="459">
        <f t="shared" si="118"/>
        <v>470.7</v>
      </c>
      <c r="X23" s="459"/>
      <c r="Y23" s="460">
        <v>470.7</v>
      </c>
      <c r="Z23" s="459"/>
      <c r="AA23" s="461"/>
      <c r="AB23" s="459">
        <f t="shared" si="119"/>
        <v>476.1</v>
      </c>
      <c r="AC23" s="459"/>
      <c r="AD23" s="460">
        <v>476.1</v>
      </c>
      <c r="AE23" s="459"/>
      <c r="AF23" s="461"/>
      <c r="AG23" s="459">
        <f t="shared" si="120"/>
        <v>476.1</v>
      </c>
      <c r="AH23" s="459"/>
      <c r="AI23" s="460">
        <v>476.1</v>
      </c>
      <c r="AJ23" s="459"/>
      <c r="AK23" s="461"/>
      <c r="AL23" s="459">
        <f t="shared" si="121"/>
        <v>207</v>
      </c>
      <c r="AM23" s="459"/>
      <c r="AN23" s="460">
        <v>207</v>
      </c>
      <c r="AO23" s="459"/>
      <c r="AP23" s="461"/>
      <c r="AQ23" s="383" t="s">
        <v>460</v>
      </c>
      <c r="AR23" s="459">
        <f t="shared" si="122"/>
        <v>470.7</v>
      </c>
      <c r="AS23" s="459"/>
      <c r="AT23" s="462">
        <v>470.7</v>
      </c>
      <c r="AU23" s="473"/>
      <c r="AV23" s="461"/>
      <c r="AW23" s="459" t="e">
        <f t="shared" si="123"/>
        <v>#REF!</v>
      </c>
      <c r="AX23" s="459" t="e">
        <f>#REF!-AS23</f>
        <v>#REF!</v>
      </c>
      <c r="AY23" s="459" t="e">
        <f>#REF!-AT23</f>
        <v>#REF!</v>
      </c>
      <c r="AZ23" s="459" t="e">
        <f>#REF!-AU23</f>
        <v>#REF!</v>
      </c>
      <c r="BA23" s="459" t="e">
        <f>#REF!-AV23</f>
        <v>#REF!</v>
      </c>
      <c r="BB23" s="459">
        <f t="shared" si="124"/>
        <v>476.1</v>
      </c>
      <c r="BC23" s="459"/>
      <c r="BD23" s="460">
        <f>207+269.1</f>
        <v>476.1</v>
      </c>
      <c r="BE23" s="473"/>
      <c r="BF23" s="461"/>
      <c r="BG23" s="459">
        <f t="shared" si="125"/>
        <v>0</v>
      </c>
      <c r="BH23" s="459"/>
      <c r="BI23" s="460"/>
      <c r="BJ23" s="473"/>
      <c r="BK23" s="461"/>
      <c r="BL23" s="459">
        <f t="shared" si="126"/>
        <v>470.7</v>
      </c>
      <c r="BM23" s="459"/>
      <c r="BN23" s="460">
        <v>470.7</v>
      </c>
      <c r="BO23" s="480"/>
      <c r="BP23" s="470"/>
      <c r="BQ23" s="459">
        <f t="shared" si="127"/>
        <v>470.7</v>
      </c>
      <c r="BR23" s="459"/>
      <c r="BS23" s="460">
        <v>470.7</v>
      </c>
      <c r="BT23" s="480"/>
      <c r="BU23" s="470"/>
      <c r="BV23" s="459">
        <f t="shared" si="128"/>
        <v>359.24327</v>
      </c>
      <c r="BW23" s="459"/>
      <c r="BX23" s="473">
        <f>359.04327+0.2</f>
        <v>359.24327</v>
      </c>
      <c r="BY23" s="473"/>
      <c r="BZ23" s="459"/>
      <c r="CA23" s="464">
        <f t="shared" si="129"/>
        <v>829.94326999999998</v>
      </c>
      <c r="CB23" s="459">
        <f t="shared" si="130"/>
        <v>829.94326999999998</v>
      </c>
      <c r="CC23" s="459">
        <f t="shared" si="131"/>
        <v>0</v>
      </c>
      <c r="CD23" s="459">
        <f t="shared" si="131"/>
        <v>829.94326999999998</v>
      </c>
      <c r="CE23" s="459">
        <f t="shared" si="131"/>
        <v>0</v>
      </c>
      <c r="CF23" s="459">
        <f t="shared" si="131"/>
        <v>0</v>
      </c>
      <c r="CG23" s="459">
        <f t="shared" si="132"/>
        <v>0</v>
      </c>
      <c r="CH23" s="459">
        <f t="shared" si="133"/>
        <v>0</v>
      </c>
      <c r="CI23" s="459">
        <f t="shared" si="133"/>
        <v>0</v>
      </c>
      <c r="CJ23" s="459">
        <f t="shared" si="133"/>
        <v>0</v>
      </c>
      <c r="CK23" s="459">
        <f t="shared" si="133"/>
        <v>0</v>
      </c>
      <c r="CL23" s="465"/>
      <c r="CM23" s="481"/>
      <c r="CN23" s="481"/>
      <c r="CO23" s="459">
        <f t="shared" si="134"/>
        <v>0</v>
      </c>
      <c r="CP23" s="459"/>
      <c r="CQ23" s="460"/>
      <c r="CR23" s="473"/>
      <c r="CS23" s="461"/>
      <c r="CT23" s="459">
        <f t="shared" si="135"/>
        <v>0</v>
      </c>
      <c r="CU23" s="459"/>
      <c r="CV23" s="460"/>
      <c r="CW23" s="473"/>
      <c r="CX23" s="461"/>
      <c r="CY23" s="459">
        <f t="shared" si="136"/>
        <v>0</v>
      </c>
      <c r="CZ23" s="459">
        <f t="shared" si="137"/>
        <v>0</v>
      </c>
      <c r="DA23" s="459">
        <f t="shared" si="137"/>
        <v>0</v>
      </c>
      <c r="DB23" s="459">
        <f t="shared" si="137"/>
        <v>0</v>
      </c>
      <c r="DC23" s="459">
        <f t="shared" si="137"/>
        <v>0</v>
      </c>
      <c r="DD23" s="473"/>
      <c r="DE23" s="473"/>
      <c r="DF23" s="473"/>
      <c r="DG23" s="459">
        <f t="shared" si="138"/>
        <v>0</v>
      </c>
      <c r="DH23" s="467"/>
      <c r="DI23" s="459">
        <f t="shared" si="139"/>
        <v>470.7</v>
      </c>
      <c r="DJ23" s="459">
        <f t="shared" si="140"/>
        <v>470.7</v>
      </c>
      <c r="DK23" s="467"/>
      <c r="DL23" s="459"/>
      <c r="DM23" s="459"/>
      <c r="DN23" s="467"/>
      <c r="DO23" s="459"/>
      <c r="DP23" s="467"/>
      <c r="DQ23" s="467"/>
      <c r="DR23" s="459">
        <f t="shared" si="8"/>
        <v>470.7</v>
      </c>
      <c r="DS23" s="459"/>
      <c r="DT23" s="460">
        <v>470.7</v>
      </c>
      <c r="DU23" s="480"/>
      <c r="DV23" s="470"/>
      <c r="DW23" s="459">
        <f t="shared" si="11"/>
        <v>359.24327</v>
      </c>
      <c r="DX23" s="459"/>
      <c r="DY23" s="473">
        <v>359.24327</v>
      </c>
      <c r="DZ23" s="473"/>
      <c r="EA23" s="146"/>
      <c r="EB23" s="279"/>
      <c r="EC23" s="279"/>
      <c r="ED23" s="282"/>
      <c r="EE23" s="367"/>
      <c r="EF23" s="367"/>
      <c r="EG23" s="279"/>
      <c r="EH23" s="279"/>
      <c r="EI23" s="282"/>
      <c r="EJ23" s="367"/>
      <c r="EK23" s="367"/>
      <c r="EL23" s="367">
        <v>2.3300000000000001E-2</v>
      </c>
      <c r="EM23" s="283"/>
      <c r="EN23" s="426"/>
      <c r="EO23" s="266" t="e">
        <f t="shared" si="141"/>
        <v>#DIV/0!</v>
      </c>
      <c r="EP23" s="323">
        <f t="shared" si="46"/>
        <v>829.94326999999998</v>
      </c>
      <c r="EQ23" s="323">
        <f t="shared" si="83"/>
        <v>470.7</v>
      </c>
      <c r="ER23" s="325">
        <v>359.24327</v>
      </c>
      <c r="ES23" s="361">
        <f t="shared" si="142"/>
        <v>0.5671471979042616</v>
      </c>
      <c r="ET23" s="361">
        <f t="shared" si="143"/>
        <v>0.43285280209573845</v>
      </c>
      <c r="EU23" s="323">
        <f t="shared" si="49"/>
        <v>829.94326999999998</v>
      </c>
      <c r="EV23" s="323">
        <f t="shared" si="144"/>
        <v>470.7</v>
      </c>
      <c r="EW23" s="325">
        <f t="shared" si="145"/>
        <v>359.24327</v>
      </c>
      <c r="EX23" s="361">
        <f t="shared" si="146"/>
        <v>0.5671471979042616</v>
      </c>
      <c r="EY23" s="361">
        <f t="shared" si="147"/>
        <v>0.43285280209573845</v>
      </c>
      <c r="EZ23" s="361">
        <v>7.7499999999999999E-2</v>
      </c>
      <c r="FA23" s="356">
        <f t="shared" si="90"/>
        <v>470.7</v>
      </c>
      <c r="FB23" s="356">
        <f t="shared" si="51"/>
        <v>0</v>
      </c>
      <c r="FC23" s="279"/>
      <c r="FD23" s="279"/>
      <c r="FE23" s="282"/>
      <c r="FF23" s="367"/>
      <c r="FG23" s="367"/>
      <c r="FH23" s="279"/>
      <c r="FI23" s="279"/>
      <c r="FJ23" s="282"/>
      <c r="FK23" s="367"/>
      <c r="FL23" s="367"/>
      <c r="FM23" s="367">
        <v>7.7499999999999999E-2</v>
      </c>
      <c r="FN23" s="283"/>
      <c r="FO23" s="426"/>
    </row>
    <row r="24" spans="2:171" s="40" customFormat="1" ht="15.6" customHeight="1" x14ac:dyDescent="0.25">
      <c r="B24" s="32"/>
      <c r="C24" s="33"/>
      <c r="D24" s="33">
        <v>1</v>
      </c>
      <c r="E24" s="434">
        <v>14</v>
      </c>
      <c r="F24" s="32"/>
      <c r="G24" s="33"/>
      <c r="H24" s="33">
        <v>1</v>
      </c>
      <c r="I24" s="664"/>
      <c r="J24" s="665"/>
      <c r="K24" s="665"/>
      <c r="L24" s="159"/>
      <c r="M24" s="434">
        <v>14</v>
      </c>
      <c r="N24" s="435" t="s">
        <v>74</v>
      </c>
      <c r="O24" s="435"/>
      <c r="P24" s="24">
        <f t="shared" si="29"/>
        <v>0</v>
      </c>
      <c r="Q24" s="435"/>
      <c r="R24" s="435"/>
      <c r="S24" s="435"/>
      <c r="T24" s="435"/>
      <c r="U24" s="161">
        <v>1</v>
      </c>
      <c r="V24" s="434"/>
      <c r="W24" s="459">
        <f t="shared" si="118"/>
        <v>216.9</v>
      </c>
      <c r="X24" s="459"/>
      <c r="Y24" s="460">
        <v>216.9</v>
      </c>
      <c r="Z24" s="459"/>
      <c r="AA24" s="461"/>
      <c r="AB24" s="459">
        <f t="shared" si="119"/>
        <v>218.5</v>
      </c>
      <c r="AC24" s="459"/>
      <c r="AD24" s="460">
        <v>218.5</v>
      </c>
      <c r="AE24" s="459"/>
      <c r="AF24" s="461"/>
      <c r="AG24" s="459">
        <f t="shared" si="120"/>
        <v>218.5</v>
      </c>
      <c r="AH24" s="459"/>
      <c r="AI24" s="460">
        <v>218.5</v>
      </c>
      <c r="AJ24" s="459"/>
      <c r="AK24" s="461"/>
      <c r="AL24" s="459">
        <f t="shared" si="121"/>
        <v>95</v>
      </c>
      <c r="AM24" s="459"/>
      <c r="AN24" s="460">
        <v>95</v>
      </c>
      <c r="AO24" s="459"/>
      <c r="AP24" s="461"/>
      <c r="AQ24" s="383" t="s">
        <v>402</v>
      </c>
      <c r="AR24" s="459">
        <f t="shared" si="122"/>
        <v>216.9</v>
      </c>
      <c r="AS24" s="459"/>
      <c r="AT24" s="462">
        <v>216.9</v>
      </c>
      <c r="AU24" s="459"/>
      <c r="AV24" s="461"/>
      <c r="AW24" s="459" t="e">
        <f t="shared" si="123"/>
        <v>#REF!</v>
      </c>
      <c r="AX24" s="459" t="e">
        <f>#REF!-AS24</f>
        <v>#REF!</v>
      </c>
      <c r="AY24" s="459" t="e">
        <f>#REF!-AT24</f>
        <v>#REF!</v>
      </c>
      <c r="AZ24" s="459" t="e">
        <f>#REF!-AU24</f>
        <v>#REF!</v>
      </c>
      <c r="BA24" s="459" t="e">
        <f>#REF!-AV24</f>
        <v>#REF!</v>
      </c>
      <c r="BB24" s="459">
        <f t="shared" si="124"/>
        <v>218.5</v>
      </c>
      <c r="BC24" s="459"/>
      <c r="BD24" s="460">
        <v>218.5</v>
      </c>
      <c r="BE24" s="459"/>
      <c r="BF24" s="461"/>
      <c r="BG24" s="459">
        <f t="shared" si="125"/>
        <v>0</v>
      </c>
      <c r="BH24" s="459"/>
      <c r="BI24" s="460"/>
      <c r="BJ24" s="459"/>
      <c r="BK24" s="461"/>
      <c r="BL24" s="459">
        <f t="shared" si="126"/>
        <v>0</v>
      </c>
      <c r="BM24" s="459"/>
      <c r="BN24" s="460"/>
      <c r="BO24" s="459"/>
      <c r="BP24" s="470"/>
      <c r="BQ24" s="459">
        <f t="shared" si="127"/>
        <v>0</v>
      </c>
      <c r="BR24" s="459"/>
      <c r="BS24" s="460"/>
      <c r="BT24" s="459"/>
      <c r="BU24" s="470"/>
      <c r="BV24" s="459">
        <f t="shared" si="128"/>
        <v>0</v>
      </c>
      <c r="BW24" s="459"/>
      <c r="BX24" s="459"/>
      <c r="BY24" s="459"/>
      <c r="BZ24" s="459"/>
      <c r="CA24" s="464">
        <f t="shared" si="129"/>
        <v>0</v>
      </c>
      <c r="CB24" s="459">
        <f t="shared" si="130"/>
        <v>0</v>
      </c>
      <c r="CC24" s="459">
        <f t="shared" si="131"/>
        <v>0</v>
      </c>
      <c r="CD24" s="459">
        <f t="shared" si="131"/>
        <v>0</v>
      </c>
      <c r="CE24" s="459">
        <f t="shared" si="131"/>
        <v>0</v>
      </c>
      <c r="CF24" s="459">
        <f t="shared" si="131"/>
        <v>0</v>
      </c>
      <c r="CG24" s="459">
        <f t="shared" si="132"/>
        <v>0</v>
      </c>
      <c r="CH24" s="459">
        <f t="shared" si="133"/>
        <v>0</v>
      </c>
      <c r="CI24" s="459">
        <f t="shared" si="133"/>
        <v>0</v>
      </c>
      <c r="CJ24" s="459">
        <f t="shared" si="133"/>
        <v>0</v>
      </c>
      <c r="CK24" s="459">
        <f t="shared" si="133"/>
        <v>0</v>
      </c>
      <c r="CL24" s="465"/>
      <c r="CM24" s="466"/>
      <c r="CN24" s="466"/>
      <c r="CO24" s="459">
        <f t="shared" si="134"/>
        <v>0</v>
      </c>
      <c r="CP24" s="459"/>
      <c r="CQ24" s="460"/>
      <c r="CR24" s="459"/>
      <c r="CS24" s="461"/>
      <c r="CT24" s="459">
        <f t="shared" si="135"/>
        <v>0</v>
      </c>
      <c r="CU24" s="459"/>
      <c r="CV24" s="460"/>
      <c r="CW24" s="459"/>
      <c r="CX24" s="461"/>
      <c r="CY24" s="459">
        <f t="shared" si="136"/>
        <v>0</v>
      </c>
      <c r="CZ24" s="459">
        <f t="shared" si="137"/>
        <v>0</v>
      </c>
      <c r="DA24" s="459">
        <f t="shared" si="137"/>
        <v>0</v>
      </c>
      <c r="DB24" s="459">
        <f t="shared" si="137"/>
        <v>0</v>
      </c>
      <c r="DC24" s="459">
        <f t="shared" si="137"/>
        <v>0</v>
      </c>
      <c r="DD24" s="459"/>
      <c r="DE24" s="459"/>
      <c r="DF24" s="459"/>
      <c r="DG24" s="459">
        <f t="shared" si="138"/>
        <v>0</v>
      </c>
      <c r="DH24" s="467"/>
      <c r="DI24" s="459">
        <f t="shared" si="139"/>
        <v>0</v>
      </c>
      <c r="DJ24" s="459">
        <f t="shared" si="140"/>
        <v>0</v>
      </c>
      <c r="DK24" s="467"/>
      <c r="DL24" s="459"/>
      <c r="DM24" s="459"/>
      <c r="DN24" s="467"/>
      <c r="DO24" s="459"/>
      <c r="DP24" s="467"/>
      <c r="DQ24" s="467"/>
      <c r="DR24" s="459">
        <f t="shared" si="8"/>
        <v>0</v>
      </c>
      <c r="DS24" s="459"/>
      <c r="DT24" s="460"/>
      <c r="DU24" s="459"/>
      <c r="DV24" s="470"/>
      <c r="DW24" s="459">
        <f t="shared" si="11"/>
        <v>0</v>
      </c>
      <c r="DX24" s="459"/>
      <c r="DY24" s="459"/>
      <c r="DZ24" s="459"/>
      <c r="EA24" s="146"/>
      <c r="EB24" s="279"/>
      <c r="EC24" s="279"/>
      <c r="ED24" s="279"/>
      <c r="EE24" s="366"/>
      <c r="EF24" s="366"/>
      <c r="EG24" s="279"/>
      <c r="EH24" s="279"/>
      <c r="EI24" s="279"/>
      <c r="EJ24" s="366"/>
      <c r="EK24" s="366"/>
      <c r="EL24" s="366">
        <v>2.1299999999999999E-2</v>
      </c>
      <c r="EM24" s="280"/>
      <c r="EN24" s="279"/>
      <c r="EO24" s="265" t="e">
        <f t="shared" si="141"/>
        <v>#DIV/0!</v>
      </c>
      <c r="EP24" s="323">
        <f t="shared" si="46"/>
        <v>250</v>
      </c>
      <c r="EQ24" s="323">
        <f t="shared" si="83"/>
        <v>216.9</v>
      </c>
      <c r="ER24" s="323">
        <v>33.1</v>
      </c>
      <c r="ES24" s="358">
        <f t="shared" si="142"/>
        <v>0.86760000000000004</v>
      </c>
      <c r="ET24" s="358">
        <f t="shared" si="143"/>
        <v>0.13240000000000002</v>
      </c>
      <c r="EU24" s="323">
        <f t="shared" si="49"/>
        <v>0</v>
      </c>
      <c r="EV24" s="323">
        <f t="shared" si="144"/>
        <v>0</v>
      </c>
      <c r="EW24" s="323">
        <f t="shared" si="145"/>
        <v>0</v>
      </c>
      <c r="EX24" s="358" t="e">
        <f t="shared" si="146"/>
        <v>#DIV/0!</v>
      </c>
      <c r="EY24" s="358" t="e">
        <f t="shared" si="147"/>
        <v>#DIV/0!</v>
      </c>
      <c r="EZ24" s="358">
        <v>7.0999999999999994E-2</v>
      </c>
      <c r="FA24" s="323">
        <f t="shared" si="90"/>
        <v>0</v>
      </c>
      <c r="FB24" s="323">
        <f t="shared" si="51"/>
        <v>0</v>
      </c>
      <c r="FC24" s="279"/>
      <c r="FD24" s="279"/>
      <c r="FE24" s="279"/>
      <c r="FF24" s="366"/>
      <c r="FG24" s="366"/>
      <c r="FH24" s="279"/>
      <c r="FI24" s="279"/>
      <c r="FJ24" s="279"/>
      <c r="FK24" s="366"/>
      <c r="FL24" s="366"/>
      <c r="FM24" s="366">
        <v>7.0999999999999994E-2</v>
      </c>
      <c r="FN24" s="280"/>
      <c r="FO24" s="279"/>
    </row>
    <row r="25" spans="2:171" s="40" customFormat="1" ht="15.75" customHeight="1" x14ac:dyDescent="0.25">
      <c r="B25" s="32"/>
      <c r="C25" s="33"/>
      <c r="D25" s="33">
        <v>1</v>
      </c>
      <c r="E25" s="434">
        <v>15</v>
      </c>
      <c r="F25" s="32"/>
      <c r="G25" s="33"/>
      <c r="H25" s="33">
        <v>1</v>
      </c>
      <c r="I25" s="657"/>
      <c r="J25" s="658"/>
      <c r="K25" s="658"/>
      <c r="L25" s="658"/>
      <c r="M25" s="434">
        <v>15</v>
      </c>
      <c r="N25" s="435" t="s">
        <v>75</v>
      </c>
      <c r="O25" s="435"/>
      <c r="P25" s="24">
        <f t="shared" si="29"/>
        <v>0</v>
      </c>
      <c r="Q25" s="435" t="s">
        <v>491</v>
      </c>
      <c r="R25" s="435" t="s">
        <v>488</v>
      </c>
      <c r="S25" s="435" t="s">
        <v>491</v>
      </c>
      <c r="T25" s="435" t="s">
        <v>488</v>
      </c>
      <c r="U25" s="161">
        <v>1</v>
      </c>
      <c r="V25" s="434">
        <v>1</v>
      </c>
      <c r="W25" s="459">
        <f t="shared" si="118"/>
        <v>710.2</v>
      </c>
      <c r="X25" s="459"/>
      <c r="Y25" s="460">
        <v>710.2</v>
      </c>
      <c r="Z25" s="459"/>
      <c r="AA25" s="461"/>
      <c r="AB25" s="459">
        <f t="shared" si="119"/>
        <v>717.6</v>
      </c>
      <c r="AC25" s="459"/>
      <c r="AD25" s="460">
        <v>717.6</v>
      </c>
      <c r="AE25" s="459"/>
      <c r="AF25" s="461"/>
      <c r="AG25" s="459">
        <f t="shared" si="120"/>
        <v>717.6</v>
      </c>
      <c r="AH25" s="459"/>
      <c r="AI25" s="460">
        <v>717.6</v>
      </c>
      <c r="AJ25" s="459"/>
      <c r="AK25" s="461"/>
      <c r="AL25" s="459">
        <f t="shared" si="121"/>
        <v>312</v>
      </c>
      <c r="AM25" s="459"/>
      <c r="AN25" s="460">
        <v>312</v>
      </c>
      <c r="AO25" s="459"/>
      <c r="AP25" s="461"/>
      <c r="AQ25" s="398" t="s">
        <v>470</v>
      </c>
      <c r="AR25" s="459">
        <f t="shared" si="122"/>
        <v>710.2</v>
      </c>
      <c r="AS25" s="459"/>
      <c r="AT25" s="462">
        <v>710.2</v>
      </c>
      <c r="AU25" s="459"/>
      <c r="AV25" s="461"/>
      <c r="AW25" s="459" t="e">
        <f t="shared" si="123"/>
        <v>#REF!</v>
      </c>
      <c r="AX25" s="459" t="e">
        <f>#REF!-AS25</f>
        <v>#REF!</v>
      </c>
      <c r="AY25" s="459" t="e">
        <f>#REF!-AT25</f>
        <v>#REF!</v>
      </c>
      <c r="AZ25" s="459" t="e">
        <f>#REF!-AU25</f>
        <v>#REF!</v>
      </c>
      <c r="BA25" s="459" t="e">
        <f>#REF!-AV25</f>
        <v>#REF!</v>
      </c>
      <c r="BB25" s="459">
        <f t="shared" si="124"/>
        <v>717.6</v>
      </c>
      <c r="BC25" s="459"/>
      <c r="BD25" s="460">
        <f>312+405.6</f>
        <v>717.6</v>
      </c>
      <c r="BE25" s="459"/>
      <c r="BF25" s="461"/>
      <c r="BG25" s="459">
        <f t="shared" si="125"/>
        <v>0</v>
      </c>
      <c r="BH25" s="459"/>
      <c r="BI25" s="459"/>
      <c r="BJ25" s="459"/>
      <c r="BK25" s="461"/>
      <c r="BL25" s="459">
        <f t="shared" si="126"/>
        <v>710.2</v>
      </c>
      <c r="BM25" s="459"/>
      <c r="BN25" s="460">
        <f>216.193+273.797+220.21</f>
        <v>710.2</v>
      </c>
      <c r="BO25" s="459"/>
      <c r="BP25" s="470"/>
      <c r="BQ25" s="459">
        <f t="shared" si="127"/>
        <v>710.2</v>
      </c>
      <c r="BR25" s="459"/>
      <c r="BS25" s="460">
        <f>216.193+273.797+220.21</f>
        <v>710.2</v>
      </c>
      <c r="BT25" s="459"/>
      <c r="BU25" s="470"/>
      <c r="BV25" s="459">
        <f t="shared" si="128"/>
        <v>147.91143</v>
      </c>
      <c r="BW25" s="459"/>
      <c r="BX25" s="459">
        <f>45.02582+57.02321+45.8624</f>
        <v>147.91143</v>
      </c>
      <c r="BY25" s="459"/>
      <c r="BZ25" s="459"/>
      <c r="CA25" s="464">
        <f t="shared" si="129"/>
        <v>858.11143000000004</v>
      </c>
      <c r="CB25" s="459">
        <f t="shared" si="130"/>
        <v>858.11143000000004</v>
      </c>
      <c r="CC25" s="459">
        <f t="shared" si="131"/>
        <v>0</v>
      </c>
      <c r="CD25" s="459">
        <f t="shared" si="131"/>
        <v>858.11143000000004</v>
      </c>
      <c r="CE25" s="459">
        <f t="shared" si="131"/>
        <v>0</v>
      </c>
      <c r="CF25" s="459">
        <f t="shared" si="131"/>
        <v>0</v>
      </c>
      <c r="CG25" s="459">
        <f t="shared" si="132"/>
        <v>0</v>
      </c>
      <c r="CH25" s="459">
        <f t="shared" si="133"/>
        <v>0</v>
      </c>
      <c r="CI25" s="459">
        <f t="shared" si="133"/>
        <v>0</v>
      </c>
      <c r="CJ25" s="459">
        <f t="shared" si="133"/>
        <v>0</v>
      </c>
      <c r="CK25" s="459">
        <f t="shared" si="133"/>
        <v>0</v>
      </c>
      <c r="CL25" s="465"/>
      <c r="CM25" s="466"/>
      <c r="CN25" s="466"/>
      <c r="CO25" s="459">
        <f t="shared" si="134"/>
        <v>0</v>
      </c>
      <c r="CP25" s="459"/>
      <c r="CQ25" s="459"/>
      <c r="CR25" s="459"/>
      <c r="CS25" s="461"/>
      <c r="CT25" s="459">
        <f t="shared" si="135"/>
        <v>0</v>
      </c>
      <c r="CU25" s="459"/>
      <c r="CV25" s="459"/>
      <c r="CW25" s="459"/>
      <c r="CX25" s="461"/>
      <c r="CY25" s="459">
        <f t="shared" si="136"/>
        <v>0</v>
      </c>
      <c r="CZ25" s="459">
        <f t="shared" si="137"/>
        <v>0</v>
      </c>
      <c r="DA25" s="459">
        <f t="shared" si="137"/>
        <v>0</v>
      </c>
      <c r="DB25" s="459">
        <f t="shared" si="137"/>
        <v>0</v>
      </c>
      <c r="DC25" s="459">
        <f t="shared" si="137"/>
        <v>0</v>
      </c>
      <c r="DD25" s="459"/>
      <c r="DE25" s="459"/>
      <c r="DF25" s="459"/>
      <c r="DG25" s="459">
        <f t="shared" si="138"/>
        <v>0</v>
      </c>
      <c r="DH25" s="467"/>
      <c r="DI25" s="459">
        <f t="shared" si="139"/>
        <v>710.2</v>
      </c>
      <c r="DJ25" s="459">
        <f t="shared" si="140"/>
        <v>710.2</v>
      </c>
      <c r="DK25" s="467"/>
      <c r="DL25" s="459"/>
      <c r="DM25" s="459"/>
      <c r="DN25" s="467"/>
      <c r="DO25" s="459"/>
      <c r="DP25" s="467"/>
      <c r="DQ25" s="467"/>
      <c r="DR25" s="459">
        <f t="shared" si="8"/>
        <v>710.2</v>
      </c>
      <c r="DS25" s="459"/>
      <c r="DT25" s="460">
        <f>216.193+273.797+220.21</f>
        <v>710.2</v>
      </c>
      <c r="DU25" s="459"/>
      <c r="DV25" s="470"/>
      <c r="DW25" s="459">
        <f t="shared" si="11"/>
        <v>147.91143</v>
      </c>
      <c r="DX25" s="459"/>
      <c r="DY25" s="459">
        <f>45.02582+57.02321+45.8624</f>
        <v>147.91143</v>
      </c>
      <c r="DZ25" s="459"/>
      <c r="EA25" s="146"/>
      <c r="EB25" s="279"/>
      <c r="EC25" s="279"/>
      <c r="ED25" s="279"/>
      <c r="EE25" s="366"/>
      <c r="EF25" s="366"/>
      <c r="EG25" s="279"/>
      <c r="EH25" s="279"/>
      <c r="EI25" s="279"/>
      <c r="EJ25" s="366"/>
      <c r="EK25" s="366"/>
      <c r="EL25" s="366">
        <v>2.18E-2</v>
      </c>
      <c r="EM25" s="280"/>
      <c r="EN25" s="279"/>
      <c r="EO25" s="265" t="e">
        <f t="shared" si="141"/>
        <v>#DIV/0!</v>
      </c>
      <c r="EP25" s="323">
        <f t="shared" si="46"/>
        <v>858.11143000000004</v>
      </c>
      <c r="EQ25" s="323">
        <f t="shared" si="83"/>
        <v>710.2</v>
      </c>
      <c r="ER25" s="323">
        <v>147.91143</v>
      </c>
      <c r="ES25" s="358">
        <f t="shared" si="142"/>
        <v>0.82763144175809433</v>
      </c>
      <c r="ET25" s="358">
        <f t="shared" si="143"/>
        <v>0.17236855824190569</v>
      </c>
      <c r="EU25" s="323">
        <f t="shared" si="49"/>
        <v>858.11143000000004</v>
      </c>
      <c r="EV25" s="323">
        <f t="shared" si="144"/>
        <v>710.2</v>
      </c>
      <c r="EW25" s="323">
        <f t="shared" si="145"/>
        <v>147.91143</v>
      </c>
      <c r="EX25" s="358">
        <f t="shared" si="146"/>
        <v>0.82763144175809433</v>
      </c>
      <c r="EY25" s="358">
        <f t="shared" si="147"/>
        <v>0.17236855824190569</v>
      </c>
      <c r="EZ25" s="358">
        <v>7.2800000000000004E-2</v>
      </c>
      <c r="FA25" s="323">
        <f t="shared" si="90"/>
        <v>710.2</v>
      </c>
      <c r="FB25" s="323">
        <f t="shared" si="51"/>
        <v>0</v>
      </c>
      <c r="FC25" s="279"/>
      <c r="FD25" s="279"/>
      <c r="FE25" s="279"/>
      <c r="FF25" s="366"/>
      <c r="FG25" s="366"/>
      <c r="FH25" s="279"/>
      <c r="FI25" s="279"/>
      <c r="FJ25" s="279"/>
      <c r="FK25" s="366"/>
      <c r="FL25" s="366"/>
      <c r="FM25" s="366">
        <v>7.2800000000000004E-2</v>
      </c>
      <c r="FN25" s="280"/>
      <c r="FO25" s="279"/>
    </row>
    <row r="26" spans="2:171" s="40" customFormat="1" ht="15.6" customHeight="1" x14ac:dyDescent="0.25">
      <c r="B26" s="32"/>
      <c r="C26" s="33">
        <v>1</v>
      </c>
      <c r="D26" s="33"/>
      <c r="E26" s="434">
        <v>16</v>
      </c>
      <c r="F26" s="32"/>
      <c r="G26" s="33">
        <v>1</v>
      </c>
      <c r="H26" s="33">
        <v>1</v>
      </c>
      <c r="I26" s="434"/>
      <c r="J26" s="435"/>
      <c r="K26" s="205"/>
      <c r="L26" s="53"/>
      <c r="M26" s="434">
        <v>16</v>
      </c>
      <c r="N26" s="435" t="s">
        <v>35</v>
      </c>
      <c r="O26" s="435"/>
      <c r="P26" s="24">
        <f t="shared" si="29"/>
        <v>0</v>
      </c>
      <c r="Q26" s="435"/>
      <c r="R26" s="435"/>
      <c r="S26" s="435" t="s">
        <v>490</v>
      </c>
      <c r="T26" s="435" t="s">
        <v>488</v>
      </c>
      <c r="U26" s="161">
        <v>1</v>
      </c>
      <c r="V26" s="434"/>
      <c r="W26" s="459">
        <f t="shared" si="118"/>
        <v>3391.4349999999999</v>
      </c>
      <c r="X26" s="459"/>
      <c r="Y26" s="460">
        <v>589.4</v>
      </c>
      <c r="Z26" s="459">
        <f>2923.716-121.681</f>
        <v>2802.0349999999999</v>
      </c>
      <c r="AA26" s="461"/>
      <c r="AB26" s="459">
        <f t="shared" si="119"/>
        <v>595.70000000000005</v>
      </c>
      <c r="AC26" s="459"/>
      <c r="AD26" s="460">
        <v>595.70000000000005</v>
      </c>
      <c r="AE26" s="459"/>
      <c r="AF26" s="461"/>
      <c r="AG26" s="459">
        <f t="shared" si="120"/>
        <v>595.70000000000005</v>
      </c>
      <c r="AH26" s="459"/>
      <c r="AI26" s="460">
        <v>595.70000000000005</v>
      </c>
      <c r="AJ26" s="459"/>
      <c r="AK26" s="461"/>
      <c r="AL26" s="459">
        <f t="shared" si="121"/>
        <v>259</v>
      </c>
      <c r="AM26" s="459"/>
      <c r="AN26" s="460">
        <v>259</v>
      </c>
      <c r="AO26" s="459"/>
      <c r="AP26" s="461"/>
      <c r="AQ26" s="398" t="s">
        <v>381</v>
      </c>
      <c r="AR26" s="459">
        <f t="shared" si="122"/>
        <v>3391.4349999999999</v>
      </c>
      <c r="AS26" s="459"/>
      <c r="AT26" s="462">
        <v>589.4</v>
      </c>
      <c r="AU26" s="459">
        <v>2802.0349999999999</v>
      </c>
      <c r="AV26" s="461"/>
      <c r="AW26" s="459" t="e">
        <f t="shared" si="123"/>
        <v>#REF!</v>
      </c>
      <c r="AX26" s="459" t="e">
        <f>#REF!-AS26</f>
        <v>#REF!</v>
      </c>
      <c r="AY26" s="459" t="e">
        <f>#REF!-AT26</f>
        <v>#REF!</v>
      </c>
      <c r="AZ26" s="459" t="e">
        <f>#REF!-AU26</f>
        <v>#REF!</v>
      </c>
      <c r="BA26" s="459" t="e">
        <f>#REF!-AV26</f>
        <v>#REF!</v>
      </c>
      <c r="BB26" s="459">
        <f t="shared" si="124"/>
        <v>595.70000000000005</v>
      </c>
      <c r="BC26" s="459"/>
      <c r="BD26" s="460">
        <v>595.70000000000005</v>
      </c>
      <c r="BE26" s="459"/>
      <c r="BF26" s="461"/>
      <c r="BG26" s="459">
        <f t="shared" si="125"/>
        <v>0</v>
      </c>
      <c r="BH26" s="459"/>
      <c r="BI26" s="460"/>
      <c r="BJ26" s="459"/>
      <c r="BK26" s="461"/>
      <c r="BL26" s="459">
        <f t="shared" si="126"/>
        <v>3391.4349999999999</v>
      </c>
      <c r="BM26" s="459"/>
      <c r="BN26" s="462">
        <v>589.4</v>
      </c>
      <c r="BO26" s="459">
        <v>2802.0349999999999</v>
      </c>
      <c r="BP26" s="470"/>
      <c r="BQ26" s="459">
        <f t="shared" si="127"/>
        <v>3391.4349999999999</v>
      </c>
      <c r="BR26" s="459"/>
      <c r="BS26" s="460">
        <v>589.4</v>
      </c>
      <c r="BT26" s="459">
        <v>2802.0349999999999</v>
      </c>
      <c r="BU26" s="470"/>
      <c r="BV26" s="459">
        <f t="shared" si="128"/>
        <v>1268.085</v>
      </c>
      <c r="BW26" s="459"/>
      <c r="BX26" s="459">
        <v>955.02499999999998</v>
      </c>
      <c r="BY26" s="459">
        <v>313.06</v>
      </c>
      <c r="BZ26" s="459"/>
      <c r="CA26" s="464">
        <f t="shared" si="129"/>
        <v>4659.5199999999995</v>
      </c>
      <c r="CB26" s="459">
        <f t="shared" si="130"/>
        <v>4659.5199999999995</v>
      </c>
      <c r="CC26" s="459">
        <f t="shared" si="131"/>
        <v>0</v>
      </c>
      <c r="CD26" s="459">
        <f t="shared" si="131"/>
        <v>1544.425</v>
      </c>
      <c r="CE26" s="459">
        <f t="shared" si="131"/>
        <v>3115.0949999999998</v>
      </c>
      <c r="CF26" s="459">
        <f t="shared" si="131"/>
        <v>0</v>
      </c>
      <c r="CG26" s="459">
        <f t="shared" si="132"/>
        <v>0</v>
      </c>
      <c r="CH26" s="459">
        <f t="shared" si="133"/>
        <v>0</v>
      </c>
      <c r="CI26" s="459">
        <f t="shared" si="133"/>
        <v>0</v>
      </c>
      <c r="CJ26" s="459">
        <f t="shared" si="133"/>
        <v>0</v>
      </c>
      <c r="CK26" s="459">
        <f t="shared" si="133"/>
        <v>0</v>
      </c>
      <c r="CL26" s="465"/>
      <c r="CM26" s="559">
        <f>BB26</f>
        <v>595.70000000000005</v>
      </c>
      <c r="CN26" s="559">
        <f>CM26+CO26</f>
        <v>595.70000000000005</v>
      </c>
      <c r="CO26" s="459">
        <f t="shared" si="134"/>
        <v>0</v>
      </c>
      <c r="CP26" s="459"/>
      <c r="CQ26" s="460"/>
      <c r="CR26" s="459"/>
      <c r="CS26" s="461"/>
      <c r="CT26" s="459">
        <f t="shared" si="135"/>
        <v>0</v>
      </c>
      <c r="CU26" s="459"/>
      <c r="CV26" s="460"/>
      <c r="CW26" s="459"/>
      <c r="CX26" s="461"/>
      <c r="CY26" s="459">
        <f t="shared" si="136"/>
        <v>0</v>
      </c>
      <c r="CZ26" s="459">
        <f t="shared" si="137"/>
        <v>0</v>
      </c>
      <c r="DA26" s="459">
        <f t="shared" si="137"/>
        <v>0</v>
      </c>
      <c r="DB26" s="459">
        <f t="shared" si="137"/>
        <v>0</v>
      </c>
      <c r="DC26" s="459">
        <f t="shared" si="137"/>
        <v>0</v>
      </c>
      <c r="DD26" s="459"/>
      <c r="DE26" s="459"/>
      <c r="DF26" s="459"/>
      <c r="DG26" s="459">
        <f t="shared" si="138"/>
        <v>0</v>
      </c>
      <c r="DH26" s="467"/>
      <c r="DI26" s="459">
        <f t="shared" si="139"/>
        <v>3391.4349999999999</v>
      </c>
      <c r="DJ26" s="459">
        <f t="shared" si="140"/>
        <v>3391.4349999999999</v>
      </c>
      <c r="DK26" s="467"/>
      <c r="DL26" s="560">
        <f>DJ26</f>
        <v>3391.4349999999999</v>
      </c>
      <c r="DM26" s="560">
        <f>DG26</f>
        <v>0</v>
      </c>
      <c r="DN26" s="467"/>
      <c r="DO26" s="459">
        <f>CN26-DL26</f>
        <v>-2795.7349999999997</v>
      </c>
      <c r="DP26" s="467"/>
      <c r="DQ26" s="467"/>
      <c r="DR26" s="459">
        <f t="shared" si="8"/>
        <v>3391.4349999999999</v>
      </c>
      <c r="DS26" s="459"/>
      <c r="DT26" s="460">
        <v>589.4</v>
      </c>
      <c r="DU26" s="459">
        <v>2802.0349999999999</v>
      </c>
      <c r="DV26" s="470"/>
      <c r="DW26" s="459">
        <f t="shared" si="11"/>
        <v>1268.085</v>
      </c>
      <c r="DX26" s="459"/>
      <c r="DY26" s="459">
        <v>955.02499999999998</v>
      </c>
      <c r="DZ26" s="459">
        <v>313.06</v>
      </c>
      <c r="EA26" s="146"/>
      <c r="EB26" s="279"/>
      <c r="EC26" s="279"/>
      <c r="ED26" s="279"/>
      <c r="EE26" s="366"/>
      <c r="EF26" s="366"/>
      <c r="EG26" s="279"/>
      <c r="EH26" s="279"/>
      <c r="EI26" s="279"/>
      <c r="EJ26" s="366"/>
      <c r="EK26" s="366"/>
      <c r="EL26" s="366">
        <v>2.2700000000000001E-2</v>
      </c>
      <c r="EM26" s="280"/>
      <c r="EN26" s="279"/>
      <c r="EO26" s="265" t="e">
        <f t="shared" si="141"/>
        <v>#DIV/0!</v>
      </c>
      <c r="EP26" s="323">
        <f t="shared" si="46"/>
        <v>1544.425</v>
      </c>
      <c r="EQ26" s="323">
        <f t="shared" si="83"/>
        <v>589.4</v>
      </c>
      <c r="ER26" s="323">
        <v>955.02499999999998</v>
      </c>
      <c r="ES26" s="358">
        <f t="shared" si="142"/>
        <v>0.38163070398368326</v>
      </c>
      <c r="ET26" s="358">
        <f t="shared" si="143"/>
        <v>0.61836929601631674</v>
      </c>
      <c r="EU26" s="323">
        <f t="shared" si="49"/>
        <v>1544.425</v>
      </c>
      <c r="EV26" s="323">
        <f t="shared" si="144"/>
        <v>589.4</v>
      </c>
      <c r="EW26" s="323">
        <f t="shared" si="145"/>
        <v>955.02499999999998</v>
      </c>
      <c r="EX26" s="358">
        <f t="shared" si="146"/>
        <v>0.38163070398368326</v>
      </c>
      <c r="EY26" s="358">
        <f t="shared" si="147"/>
        <v>0.61836929601631674</v>
      </c>
      <c r="EZ26" s="358">
        <v>7.5700000000000003E-2</v>
      </c>
      <c r="FA26" s="323">
        <f t="shared" si="90"/>
        <v>589.4</v>
      </c>
      <c r="FB26" s="323">
        <f t="shared" si="51"/>
        <v>0</v>
      </c>
      <c r="FC26" s="279">
        <f t="shared" si="148"/>
        <v>3115.0949999999998</v>
      </c>
      <c r="FD26" s="279">
        <f t="shared" si="53"/>
        <v>2802.0349999999999</v>
      </c>
      <c r="FE26" s="279">
        <v>313.06</v>
      </c>
      <c r="FF26" s="366">
        <f t="shared" si="149"/>
        <v>0.89950226237081055</v>
      </c>
      <c r="FG26" s="366">
        <f t="shared" si="150"/>
        <v>0.10049773762918948</v>
      </c>
      <c r="FH26" s="279">
        <f t="shared" si="55"/>
        <v>3115.0949999999998</v>
      </c>
      <c r="FI26" s="279">
        <f t="shared" si="151"/>
        <v>2802.0349999999999</v>
      </c>
      <c r="FJ26" s="279">
        <f t="shared" si="152"/>
        <v>313.06</v>
      </c>
      <c r="FK26" s="366">
        <f t="shared" si="153"/>
        <v>0.89950226237081055</v>
      </c>
      <c r="FL26" s="366">
        <f t="shared" si="154"/>
        <v>0.10049773762918948</v>
      </c>
      <c r="FM26" s="366">
        <v>7.5700000000000003E-2</v>
      </c>
      <c r="FN26" s="280">
        <f t="shared" si="155"/>
        <v>2802.0349999999999</v>
      </c>
      <c r="FO26" s="279">
        <f t="shared" si="57"/>
        <v>0</v>
      </c>
    </row>
    <row r="27" spans="2:171" s="40" customFormat="1" ht="15.75" customHeight="1" x14ac:dyDescent="0.25">
      <c r="B27" s="32"/>
      <c r="C27" s="33"/>
      <c r="D27" s="33">
        <v>1</v>
      </c>
      <c r="E27" s="434">
        <v>17</v>
      </c>
      <c r="F27" s="32"/>
      <c r="G27" s="33"/>
      <c r="H27" s="33">
        <v>1</v>
      </c>
      <c r="I27" s="664"/>
      <c r="J27" s="665"/>
      <c r="K27" s="665"/>
      <c r="L27" s="159"/>
      <c r="M27" s="434">
        <v>17</v>
      </c>
      <c r="N27" s="435" t="s">
        <v>76</v>
      </c>
      <c r="O27" s="435"/>
      <c r="P27" s="24">
        <f t="shared" si="29"/>
        <v>0</v>
      </c>
      <c r="Q27" s="435" t="s">
        <v>491</v>
      </c>
      <c r="R27" s="435" t="s">
        <v>488</v>
      </c>
      <c r="S27" s="435" t="s">
        <v>491</v>
      </c>
      <c r="T27" s="435" t="s">
        <v>488</v>
      </c>
      <c r="U27" s="161">
        <v>1</v>
      </c>
      <c r="V27" s="434">
        <v>1</v>
      </c>
      <c r="W27" s="459">
        <f t="shared" si="118"/>
        <v>409.3</v>
      </c>
      <c r="X27" s="459"/>
      <c r="Y27" s="460">
        <v>409.3</v>
      </c>
      <c r="Z27" s="459"/>
      <c r="AA27" s="472"/>
      <c r="AB27" s="459">
        <f t="shared" si="119"/>
        <v>414</v>
      </c>
      <c r="AC27" s="459"/>
      <c r="AD27" s="460">
        <v>414</v>
      </c>
      <c r="AE27" s="459"/>
      <c r="AF27" s="472"/>
      <c r="AG27" s="459">
        <f t="shared" si="120"/>
        <v>414</v>
      </c>
      <c r="AH27" s="459"/>
      <c r="AI27" s="460">
        <v>414</v>
      </c>
      <c r="AJ27" s="459"/>
      <c r="AK27" s="472"/>
      <c r="AL27" s="459">
        <f t="shared" si="121"/>
        <v>180</v>
      </c>
      <c r="AM27" s="459"/>
      <c r="AN27" s="460">
        <v>180</v>
      </c>
      <c r="AO27" s="459"/>
      <c r="AP27" s="472"/>
      <c r="AQ27" s="398" t="s">
        <v>452</v>
      </c>
      <c r="AR27" s="459">
        <f t="shared" si="122"/>
        <v>409.3</v>
      </c>
      <c r="AS27" s="459"/>
      <c r="AT27" s="462">
        <v>409.3</v>
      </c>
      <c r="AU27" s="459"/>
      <c r="AV27" s="459"/>
      <c r="AW27" s="459" t="e">
        <f t="shared" si="123"/>
        <v>#REF!</v>
      </c>
      <c r="AX27" s="459" t="e">
        <f>#REF!-AS27</f>
        <v>#REF!</v>
      </c>
      <c r="AY27" s="459" t="e">
        <f>#REF!-AT27</f>
        <v>#REF!</v>
      </c>
      <c r="AZ27" s="459" t="e">
        <f>#REF!-AU27</f>
        <v>#REF!</v>
      </c>
      <c r="BA27" s="459" t="e">
        <f>#REF!-AV27</f>
        <v>#REF!</v>
      </c>
      <c r="BB27" s="459">
        <f t="shared" si="124"/>
        <v>414</v>
      </c>
      <c r="BC27" s="459"/>
      <c r="BD27" s="460">
        <f>180+234</f>
        <v>414</v>
      </c>
      <c r="BE27" s="459"/>
      <c r="BF27" s="459"/>
      <c r="BG27" s="459">
        <f t="shared" si="125"/>
        <v>0</v>
      </c>
      <c r="BH27" s="459"/>
      <c r="BI27" s="460"/>
      <c r="BJ27" s="459"/>
      <c r="BK27" s="459"/>
      <c r="BL27" s="459">
        <f t="shared" si="126"/>
        <v>409.3</v>
      </c>
      <c r="BM27" s="459"/>
      <c r="BN27" s="460">
        <v>409.3</v>
      </c>
      <c r="BO27" s="459"/>
      <c r="BP27" s="459"/>
      <c r="BQ27" s="459">
        <f t="shared" si="127"/>
        <v>409.3</v>
      </c>
      <c r="BR27" s="459"/>
      <c r="BS27" s="460">
        <v>409.3</v>
      </c>
      <c r="BT27" s="459"/>
      <c r="BU27" s="459"/>
      <c r="BV27" s="459">
        <f t="shared" si="128"/>
        <v>193.50881000000001</v>
      </c>
      <c r="BW27" s="459"/>
      <c r="BX27" s="459">
        <v>193.50881000000001</v>
      </c>
      <c r="BY27" s="459"/>
      <c r="BZ27" s="459"/>
      <c r="CA27" s="464">
        <f t="shared" si="129"/>
        <v>602.80880999999999</v>
      </c>
      <c r="CB27" s="459">
        <f t="shared" si="130"/>
        <v>602.80880999999999</v>
      </c>
      <c r="CC27" s="459">
        <f t="shared" si="131"/>
        <v>0</v>
      </c>
      <c r="CD27" s="459">
        <f t="shared" si="131"/>
        <v>602.80880999999999</v>
      </c>
      <c r="CE27" s="459">
        <f t="shared" si="131"/>
        <v>0</v>
      </c>
      <c r="CF27" s="459">
        <f t="shared" si="131"/>
        <v>0</v>
      </c>
      <c r="CG27" s="459">
        <f t="shared" si="132"/>
        <v>0</v>
      </c>
      <c r="CH27" s="459">
        <f t="shared" si="133"/>
        <v>0</v>
      </c>
      <c r="CI27" s="459">
        <f t="shared" si="133"/>
        <v>0</v>
      </c>
      <c r="CJ27" s="459">
        <f t="shared" si="133"/>
        <v>0</v>
      </c>
      <c r="CK27" s="459">
        <f t="shared" si="133"/>
        <v>0</v>
      </c>
      <c r="CL27" s="465"/>
      <c r="CM27" s="466">
        <f>BB20-CM21-CM26</f>
        <v>10094.900000000001</v>
      </c>
      <c r="CN27" s="466">
        <f>CM27-BG20</f>
        <v>10094.900000000001</v>
      </c>
      <c r="CO27" s="459">
        <f t="shared" si="134"/>
        <v>0</v>
      </c>
      <c r="CP27" s="459"/>
      <c r="CQ27" s="460"/>
      <c r="CR27" s="459"/>
      <c r="CS27" s="459"/>
      <c r="CT27" s="459">
        <f t="shared" si="135"/>
        <v>0</v>
      </c>
      <c r="CU27" s="459"/>
      <c r="CV27" s="460"/>
      <c r="CW27" s="459"/>
      <c r="CX27" s="459"/>
      <c r="CY27" s="459">
        <f t="shared" si="136"/>
        <v>0</v>
      </c>
      <c r="CZ27" s="459">
        <f t="shared" si="137"/>
        <v>0</v>
      </c>
      <c r="DA27" s="459">
        <f t="shared" si="137"/>
        <v>0</v>
      </c>
      <c r="DB27" s="459">
        <f t="shared" si="137"/>
        <v>0</v>
      </c>
      <c r="DC27" s="459">
        <f t="shared" si="137"/>
        <v>0</v>
      </c>
      <c r="DD27" s="459"/>
      <c r="DE27" s="459"/>
      <c r="DF27" s="459"/>
      <c r="DG27" s="459">
        <f t="shared" si="138"/>
        <v>0</v>
      </c>
      <c r="DH27" s="467"/>
      <c r="DI27" s="459">
        <f t="shared" si="139"/>
        <v>409.3</v>
      </c>
      <c r="DJ27" s="459">
        <f t="shared" si="140"/>
        <v>409.3</v>
      </c>
      <c r="DK27" s="467"/>
      <c r="DL27" s="459">
        <f>DJ23+DJ24+DJ25+DJ27+DJ28+DJ29+DJ30+DJ31+DJ32+DJ33+DJ34+DJ35+DJ36+DJ37+DJ38</f>
        <v>8244.8469999999998</v>
      </c>
      <c r="DM27" s="459">
        <f>DG23+DG24+DG25+DG27+DG28+DG29+DG30+DG31+DG32+DG33+DG34+DG35+DG36+DG37+DG38</f>
        <v>40161.834000000003</v>
      </c>
      <c r="DN27" s="467"/>
      <c r="DO27" s="459">
        <f>CN27-DL27</f>
        <v>1850.0530000000017</v>
      </c>
      <c r="DP27" s="467"/>
      <c r="DQ27" s="467"/>
      <c r="DR27" s="459">
        <f t="shared" si="8"/>
        <v>409.3</v>
      </c>
      <c r="DS27" s="459"/>
      <c r="DT27" s="460">
        <v>409.3</v>
      </c>
      <c r="DU27" s="459"/>
      <c r="DV27" s="459"/>
      <c r="DW27" s="459">
        <f t="shared" si="11"/>
        <v>193.50881000000001</v>
      </c>
      <c r="DX27" s="459"/>
      <c r="DY27" s="459">
        <v>193.50881000000001</v>
      </c>
      <c r="DZ27" s="459"/>
      <c r="EA27" s="146"/>
      <c r="EB27" s="279"/>
      <c r="EC27" s="279"/>
      <c r="ED27" s="279"/>
      <c r="EE27" s="366"/>
      <c r="EF27" s="366"/>
      <c r="EG27" s="279"/>
      <c r="EH27" s="279"/>
      <c r="EI27" s="279"/>
      <c r="EJ27" s="366"/>
      <c r="EK27" s="366"/>
      <c r="EL27" s="366">
        <v>2.24E-2</v>
      </c>
      <c r="EM27" s="280"/>
      <c r="EN27" s="279"/>
      <c r="EO27" s="265" t="e">
        <f t="shared" si="141"/>
        <v>#DIV/0!</v>
      </c>
      <c r="EP27" s="323">
        <f t="shared" si="46"/>
        <v>602.80880999999999</v>
      </c>
      <c r="EQ27" s="323">
        <f t="shared" si="83"/>
        <v>409.3</v>
      </c>
      <c r="ER27" s="323">
        <v>193.50881000000001</v>
      </c>
      <c r="ES27" s="358">
        <f t="shared" si="142"/>
        <v>0.67898808579124781</v>
      </c>
      <c r="ET27" s="358">
        <f t="shared" si="143"/>
        <v>0.32101191420875219</v>
      </c>
      <c r="EU27" s="323">
        <f t="shared" si="49"/>
        <v>602.80880999999999</v>
      </c>
      <c r="EV27" s="323">
        <f t="shared" si="144"/>
        <v>409.3</v>
      </c>
      <c r="EW27" s="323">
        <f t="shared" si="145"/>
        <v>193.50881000000001</v>
      </c>
      <c r="EX27" s="358">
        <f t="shared" si="146"/>
        <v>0.67898808579124781</v>
      </c>
      <c r="EY27" s="358">
        <f t="shared" si="147"/>
        <v>0.32101191420875219</v>
      </c>
      <c r="EZ27" s="358">
        <v>7.4499999999999997E-2</v>
      </c>
      <c r="FA27" s="323">
        <f t="shared" si="90"/>
        <v>409.3</v>
      </c>
      <c r="FB27" s="323">
        <f t="shared" si="51"/>
        <v>0</v>
      </c>
      <c r="FC27" s="279"/>
      <c r="FD27" s="279"/>
      <c r="FE27" s="279"/>
      <c r="FF27" s="366"/>
      <c r="FG27" s="366"/>
      <c r="FH27" s="279"/>
      <c r="FI27" s="279"/>
      <c r="FJ27" s="279"/>
      <c r="FK27" s="366"/>
      <c r="FL27" s="366"/>
      <c r="FM27" s="366">
        <v>7.4499999999999997E-2</v>
      </c>
      <c r="FN27" s="280"/>
      <c r="FO27" s="279"/>
    </row>
    <row r="28" spans="2:171" s="40" customFormat="1" ht="15.6" customHeight="1" x14ac:dyDescent="0.25">
      <c r="B28" s="32"/>
      <c r="C28" s="33"/>
      <c r="D28" s="33">
        <v>1</v>
      </c>
      <c r="E28" s="434">
        <v>18</v>
      </c>
      <c r="F28" s="32"/>
      <c r="G28" s="33"/>
      <c r="H28" s="33">
        <v>1</v>
      </c>
      <c r="M28" s="434">
        <v>18</v>
      </c>
      <c r="N28" s="435" t="s">
        <v>77</v>
      </c>
      <c r="O28" s="435"/>
      <c r="P28" s="24">
        <f t="shared" si="29"/>
        <v>0</v>
      </c>
      <c r="Q28" s="435" t="s">
        <v>490</v>
      </c>
      <c r="R28" s="435" t="s">
        <v>488</v>
      </c>
      <c r="S28" s="435" t="s">
        <v>490</v>
      </c>
      <c r="T28" s="435" t="s">
        <v>488</v>
      </c>
      <c r="U28" s="161">
        <v>1</v>
      </c>
      <c r="V28" s="434"/>
      <c r="W28" s="459">
        <f t="shared" si="118"/>
        <v>157.6</v>
      </c>
      <c r="X28" s="459"/>
      <c r="Y28" s="460">
        <v>157.6</v>
      </c>
      <c r="Z28" s="459"/>
      <c r="AA28" s="461"/>
      <c r="AB28" s="459">
        <f t="shared" si="119"/>
        <v>0</v>
      </c>
      <c r="AC28" s="459"/>
      <c r="AD28" s="460">
        <v>0</v>
      </c>
      <c r="AE28" s="459"/>
      <c r="AF28" s="461"/>
      <c r="AG28" s="459">
        <f t="shared" si="120"/>
        <v>0</v>
      </c>
      <c r="AH28" s="459"/>
      <c r="AI28" s="460">
        <v>0</v>
      </c>
      <c r="AJ28" s="459"/>
      <c r="AK28" s="461"/>
      <c r="AL28" s="459">
        <f t="shared" si="121"/>
        <v>69</v>
      </c>
      <c r="AM28" s="459"/>
      <c r="AN28" s="460">
        <v>69</v>
      </c>
      <c r="AO28" s="459"/>
      <c r="AP28" s="461"/>
      <c r="AQ28" s="398" t="s">
        <v>397</v>
      </c>
      <c r="AR28" s="459">
        <f t="shared" si="122"/>
        <v>157.6</v>
      </c>
      <c r="AS28" s="459"/>
      <c r="AT28" s="462">
        <v>157.6</v>
      </c>
      <c r="AU28" s="459"/>
      <c r="AV28" s="461"/>
      <c r="AW28" s="459" t="e">
        <f t="shared" si="123"/>
        <v>#REF!</v>
      </c>
      <c r="AX28" s="459" t="e">
        <f>#REF!-AS28</f>
        <v>#REF!</v>
      </c>
      <c r="AY28" s="459" t="e">
        <f>#REF!-AT28</f>
        <v>#REF!</v>
      </c>
      <c r="AZ28" s="459" t="e">
        <f>#REF!-AU28</f>
        <v>#REF!</v>
      </c>
      <c r="BA28" s="459" t="e">
        <f>#REF!-AV28</f>
        <v>#REF!</v>
      </c>
      <c r="BB28" s="459">
        <f t="shared" si="124"/>
        <v>0</v>
      </c>
      <c r="BC28" s="459"/>
      <c r="BD28" s="460"/>
      <c r="BE28" s="459"/>
      <c r="BF28" s="461"/>
      <c r="BG28" s="459">
        <f t="shared" si="125"/>
        <v>0</v>
      </c>
      <c r="BH28" s="459"/>
      <c r="BI28" s="460"/>
      <c r="BJ28" s="459"/>
      <c r="BK28" s="461"/>
      <c r="BL28" s="459">
        <f t="shared" si="126"/>
        <v>157.6</v>
      </c>
      <c r="BM28" s="459"/>
      <c r="BN28" s="462">
        <v>157.6</v>
      </c>
      <c r="BO28" s="459"/>
      <c r="BP28" s="470"/>
      <c r="BQ28" s="459">
        <f t="shared" si="127"/>
        <v>157.6</v>
      </c>
      <c r="BR28" s="459"/>
      <c r="BS28" s="462">
        <v>157.6</v>
      </c>
      <c r="BT28" s="459"/>
      <c r="BU28" s="470"/>
      <c r="BV28" s="459">
        <f t="shared" si="128"/>
        <v>199.21141</v>
      </c>
      <c r="BW28" s="459"/>
      <c r="BX28" s="459">
        <f>99.21141+100</f>
        <v>199.21141</v>
      </c>
      <c r="BY28" s="459"/>
      <c r="BZ28" s="459"/>
      <c r="CA28" s="464">
        <f t="shared" si="129"/>
        <v>356.81141000000002</v>
      </c>
      <c r="CB28" s="459">
        <f t="shared" si="130"/>
        <v>356.81141000000002</v>
      </c>
      <c r="CC28" s="459">
        <f t="shared" si="131"/>
        <v>0</v>
      </c>
      <c r="CD28" s="459">
        <f t="shared" si="131"/>
        <v>356.81141000000002</v>
      </c>
      <c r="CE28" s="459">
        <f t="shared" si="131"/>
        <v>0</v>
      </c>
      <c r="CF28" s="459">
        <f t="shared" si="131"/>
        <v>0</v>
      </c>
      <c r="CG28" s="459">
        <f t="shared" si="132"/>
        <v>0</v>
      </c>
      <c r="CH28" s="459">
        <f t="shared" si="133"/>
        <v>0</v>
      </c>
      <c r="CI28" s="459">
        <f t="shared" si="133"/>
        <v>0</v>
      </c>
      <c r="CJ28" s="459">
        <f t="shared" si="133"/>
        <v>0</v>
      </c>
      <c r="CK28" s="459">
        <f t="shared" si="133"/>
        <v>0</v>
      </c>
      <c r="CL28" s="465"/>
      <c r="CM28" s="466"/>
      <c r="CN28" s="466"/>
      <c r="CO28" s="459">
        <f t="shared" si="134"/>
        <v>0</v>
      </c>
      <c r="CP28" s="459"/>
      <c r="CQ28" s="460"/>
      <c r="CR28" s="459"/>
      <c r="CS28" s="461"/>
      <c r="CT28" s="459">
        <f t="shared" si="135"/>
        <v>0</v>
      </c>
      <c r="CU28" s="459"/>
      <c r="CV28" s="460"/>
      <c r="CW28" s="459"/>
      <c r="CX28" s="461"/>
      <c r="CY28" s="459">
        <f t="shared" si="136"/>
        <v>0</v>
      </c>
      <c r="CZ28" s="459">
        <f t="shared" si="137"/>
        <v>0</v>
      </c>
      <c r="DA28" s="459">
        <f t="shared" si="137"/>
        <v>0</v>
      </c>
      <c r="DB28" s="459">
        <f t="shared" si="137"/>
        <v>0</v>
      </c>
      <c r="DC28" s="459">
        <f t="shared" si="137"/>
        <v>0</v>
      </c>
      <c r="DD28" s="459"/>
      <c r="DE28" s="459"/>
      <c r="DF28" s="459"/>
      <c r="DG28" s="459">
        <f t="shared" si="138"/>
        <v>0</v>
      </c>
      <c r="DH28" s="467"/>
      <c r="DI28" s="459">
        <f t="shared" si="139"/>
        <v>157.6</v>
      </c>
      <c r="DJ28" s="459">
        <f t="shared" si="140"/>
        <v>157.6</v>
      </c>
      <c r="DK28" s="467"/>
      <c r="DL28" s="459"/>
      <c r="DM28" s="459"/>
      <c r="DN28" s="467"/>
      <c r="DO28" s="459"/>
      <c r="DP28" s="467"/>
      <c r="DQ28" s="467"/>
      <c r="DR28" s="459">
        <f t="shared" si="8"/>
        <v>157.6</v>
      </c>
      <c r="DS28" s="459"/>
      <c r="DT28" s="470">
        <v>157.6</v>
      </c>
      <c r="DU28" s="459"/>
      <c r="DV28" s="470"/>
      <c r="DW28" s="459">
        <f t="shared" si="11"/>
        <v>199.21141</v>
      </c>
      <c r="DX28" s="459"/>
      <c r="DY28" s="459">
        <v>199.21141</v>
      </c>
      <c r="DZ28" s="459"/>
      <c r="EA28" s="146"/>
      <c r="EB28" s="279"/>
      <c r="EC28" s="279"/>
      <c r="ED28" s="279"/>
      <c r="EE28" s="366"/>
      <c r="EF28" s="366"/>
      <c r="EG28" s="279"/>
      <c r="EH28" s="279"/>
      <c r="EI28" s="279"/>
      <c r="EJ28" s="366"/>
      <c r="EK28" s="366"/>
      <c r="EL28" s="366">
        <v>2.5600000000000001E-2</v>
      </c>
      <c r="EM28" s="280"/>
      <c r="EN28" s="279"/>
      <c r="EO28" s="265" t="e">
        <f t="shared" si="141"/>
        <v>#DIV/0!</v>
      </c>
      <c r="EP28" s="323">
        <f t="shared" si="46"/>
        <v>356.81141000000002</v>
      </c>
      <c r="EQ28" s="323">
        <f t="shared" si="83"/>
        <v>157.6</v>
      </c>
      <c r="ER28" s="323">
        <v>199.21141</v>
      </c>
      <c r="ES28" s="358">
        <f t="shared" si="142"/>
        <v>0.44168991120547402</v>
      </c>
      <c r="ET28" s="358">
        <f t="shared" si="143"/>
        <v>0.55831008879452593</v>
      </c>
      <c r="EU28" s="323">
        <f t="shared" si="49"/>
        <v>356.81141000000002</v>
      </c>
      <c r="EV28" s="323">
        <f t="shared" si="144"/>
        <v>157.6</v>
      </c>
      <c r="EW28" s="323">
        <f t="shared" si="145"/>
        <v>199.21141</v>
      </c>
      <c r="EX28" s="358">
        <f t="shared" si="146"/>
        <v>0.44168991120547402</v>
      </c>
      <c r="EY28" s="358">
        <f t="shared" si="147"/>
        <v>0.55831008879452593</v>
      </c>
      <c r="EZ28" s="358">
        <v>8.5199999999999998E-2</v>
      </c>
      <c r="FA28" s="323">
        <f t="shared" si="90"/>
        <v>157.6</v>
      </c>
      <c r="FB28" s="323">
        <f t="shared" si="51"/>
        <v>0</v>
      </c>
      <c r="FC28" s="279"/>
      <c r="FD28" s="279"/>
      <c r="FE28" s="279"/>
      <c r="FF28" s="366"/>
      <c r="FG28" s="366"/>
      <c r="FH28" s="279"/>
      <c r="FI28" s="279"/>
      <c r="FJ28" s="279"/>
      <c r="FK28" s="366"/>
      <c r="FL28" s="366"/>
      <c r="FM28" s="366">
        <v>8.5199999999999998E-2</v>
      </c>
      <c r="FN28" s="280"/>
      <c r="FO28" s="279"/>
    </row>
    <row r="29" spans="2:171" s="40" customFormat="1" ht="15.75" customHeight="1" x14ac:dyDescent="0.25">
      <c r="B29" s="32"/>
      <c r="C29" s="33"/>
      <c r="D29" s="33">
        <v>1</v>
      </c>
      <c r="E29" s="434">
        <v>19</v>
      </c>
      <c r="F29" s="32"/>
      <c r="G29" s="33"/>
      <c r="H29" s="33">
        <v>1</v>
      </c>
      <c r="M29" s="434">
        <v>19</v>
      </c>
      <c r="N29" s="435" t="s">
        <v>78</v>
      </c>
      <c r="O29" s="435"/>
      <c r="P29" s="24">
        <f t="shared" si="29"/>
        <v>0</v>
      </c>
      <c r="Q29" s="435"/>
      <c r="R29" s="435"/>
      <c r="S29" s="435" t="s">
        <v>490</v>
      </c>
      <c r="T29" s="435" t="s">
        <v>488</v>
      </c>
      <c r="U29" s="161">
        <v>1</v>
      </c>
      <c r="V29" s="434">
        <v>1</v>
      </c>
      <c r="W29" s="459">
        <f t="shared" si="118"/>
        <v>579.20000000000005</v>
      </c>
      <c r="X29" s="459"/>
      <c r="Y29" s="460">
        <v>579.20000000000005</v>
      </c>
      <c r="Z29" s="459"/>
      <c r="AA29" s="472"/>
      <c r="AB29" s="459">
        <f t="shared" si="119"/>
        <v>598</v>
      </c>
      <c r="AC29" s="459"/>
      <c r="AD29" s="460">
        <v>598</v>
      </c>
      <c r="AE29" s="459"/>
      <c r="AF29" s="472"/>
      <c r="AG29" s="459">
        <f t="shared" si="120"/>
        <v>598</v>
      </c>
      <c r="AH29" s="459"/>
      <c r="AI29" s="460">
        <v>598</v>
      </c>
      <c r="AJ29" s="459"/>
      <c r="AK29" s="472"/>
      <c r="AL29" s="459">
        <f t="shared" si="121"/>
        <v>260</v>
      </c>
      <c r="AM29" s="459"/>
      <c r="AN29" s="460">
        <v>260</v>
      </c>
      <c r="AO29" s="459"/>
      <c r="AP29" s="472"/>
      <c r="AQ29" s="398" t="s">
        <v>456</v>
      </c>
      <c r="AR29" s="459">
        <f t="shared" si="122"/>
        <v>579.20000000000005</v>
      </c>
      <c r="AS29" s="459"/>
      <c r="AT29" s="462">
        <v>579.20000000000005</v>
      </c>
      <c r="AU29" s="459"/>
      <c r="AV29" s="459"/>
      <c r="AW29" s="459" t="e">
        <f t="shared" si="123"/>
        <v>#REF!</v>
      </c>
      <c r="AX29" s="459" t="e">
        <f>#REF!-AS29</f>
        <v>#REF!</v>
      </c>
      <c r="AY29" s="459" t="e">
        <f>#REF!-AT29</f>
        <v>#REF!</v>
      </c>
      <c r="AZ29" s="459" t="e">
        <f>#REF!-AU29</f>
        <v>#REF!</v>
      </c>
      <c r="BA29" s="459" t="e">
        <f>#REF!-AV29</f>
        <v>#REF!</v>
      </c>
      <c r="BB29" s="459">
        <f t="shared" si="124"/>
        <v>598</v>
      </c>
      <c r="BC29" s="459"/>
      <c r="BD29" s="460">
        <f>260+338</f>
        <v>598</v>
      </c>
      <c r="BE29" s="459"/>
      <c r="BF29" s="459"/>
      <c r="BG29" s="459">
        <f t="shared" si="125"/>
        <v>0</v>
      </c>
      <c r="BH29" s="459"/>
      <c r="BI29" s="460"/>
      <c r="BJ29" s="459"/>
      <c r="BK29" s="459"/>
      <c r="BL29" s="459">
        <f t="shared" si="126"/>
        <v>579.20000000000005</v>
      </c>
      <c r="BM29" s="459"/>
      <c r="BN29" s="460">
        <f>471.656+107.544</f>
        <v>579.20000000000005</v>
      </c>
      <c r="BO29" s="459"/>
      <c r="BP29" s="459"/>
      <c r="BQ29" s="459">
        <f t="shared" si="127"/>
        <v>579.20000000000005</v>
      </c>
      <c r="BR29" s="459"/>
      <c r="BS29" s="460">
        <f>471.656+107.544</f>
        <v>579.20000000000005</v>
      </c>
      <c r="BT29" s="459"/>
      <c r="BU29" s="459"/>
      <c r="BV29" s="459">
        <f t="shared" si="128"/>
        <v>229.35469000000001</v>
      </c>
      <c r="BW29" s="459"/>
      <c r="BX29" s="459">
        <f>186.76869+42.586</f>
        <v>229.35469000000001</v>
      </c>
      <c r="BY29" s="459"/>
      <c r="BZ29" s="459"/>
      <c r="CA29" s="464">
        <f t="shared" si="129"/>
        <v>808.55469000000005</v>
      </c>
      <c r="CB29" s="459">
        <f t="shared" si="130"/>
        <v>808.55469000000005</v>
      </c>
      <c r="CC29" s="459">
        <f t="shared" si="131"/>
        <v>0</v>
      </c>
      <c r="CD29" s="459">
        <f t="shared" si="131"/>
        <v>808.55469000000005</v>
      </c>
      <c r="CE29" s="459">
        <f t="shared" si="131"/>
        <v>0</v>
      </c>
      <c r="CF29" s="459">
        <f t="shared" si="131"/>
        <v>0</v>
      </c>
      <c r="CG29" s="459">
        <f t="shared" si="132"/>
        <v>0</v>
      </c>
      <c r="CH29" s="459">
        <f t="shared" si="133"/>
        <v>0</v>
      </c>
      <c r="CI29" s="459">
        <f t="shared" si="133"/>
        <v>0</v>
      </c>
      <c r="CJ29" s="459">
        <f t="shared" si="133"/>
        <v>0</v>
      </c>
      <c r="CK29" s="459">
        <f t="shared" si="133"/>
        <v>0</v>
      </c>
      <c r="CL29" s="465"/>
      <c r="CM29" s="466"/>
      <c r="CN29" s="466"/>
      <c r="CO29" s="459">
        <f t="shared" si="134"/>
        <v>0</v>
      </c>
      <c r="CP29" s="459"/>
      <c r="CQ29" s="460"/>
      <c r="CR29" s="459"/>
      <c r="CS29" s="459"/>
      <c r="CT29" s="459">
        <f t="shared" si="135"/>
        <v>0</v>
      </c>
      <c r="CU29" s="459"/>
      <c r="CV29" s="460"/>
      <c r="CW29" s="459"/>
      <c r="CX29" s="459"/>
      <c r="CY29" s="459">
        <f t="shared" si="136"/>
        <v>0</v>
      </c>
      <c r="CZ29" s="459">
        <f t="shared" si="137"/>
        <v>0</v>
      </c>
      <c r="DA29" s="459">
        <f t="shared" si="137"/>
        <v>0</v>
      </c>
      <c r="DB29" s="459">
        <f t="shared" si="137"/>
        <v>0</v>
      </c>
      <c r="DC29" s="459">
        <f t="shared" si="137"/>
        <v>0</v>
      </c>
      <c r="DD29" s="459"/>
      <c r="DE29" s="459"/>
      <c r="DF29" s="459"/>
      <c r="DG29" s="459">
        <f t="shared" si="138"/>
        <v>0</v>
      </c>
      <c r="DH29" s="467"/>
      <c r="DI29" s="459">
        <f t="shared" si="139"/>
        <v>579.20000000000005</v>
      </c>
      <c r="DJ29" s="459">
        <f t="shared" si="140"/>
        <v>579.20000000000005</v>
      </c>
      <c r="DK29" s="467"/>
      <c r="DL29" s="459"/>
      <c r="DM29" s="459"/>
      <c r="DN29" s="467"/>
      <c r="DO29" s="459"/>
      <c r="DP29" s="467"/>
      <c r="DQ29" s="467"/>
      <c r="DR29" s="459">
        <f t="shared" si="8"/>
        <v>579.20000000000005</v>
      </c>
      <c r="DS29" s="459"/>
      <c r="DT29" s="460">
        <f>471.656+107.544</f>
        <v>579.20000000000005</v>
      </c>
      <c r="DU29" s="459"/>
      <c r="DV29" s="459"/>
      <c r="DW29" s="459">
        <f t="shared" si="11"/>
        <v>229.35469000000001</v>
      </c>
      <c r="DX29" s="459"/>
      <c r="DY29" s="459">
        <f>186.76869+42.586</f>
        <v>229.35469000000001</v>
      </c>
      <c r="DZ29" s="459"/>
      <c r="EA29" s="146"/>
      <c r="EB29" s="279"/>
      <c r="EC29" s="279"/>
      <c r="ED29" s="279"/>
      <c r="EE29" s="366"/>
      <c r="EF29" s="366"/>
      <c r="EG29" s="279"/>
      <c r="EH29" s="279"/>
      <c r="EI29" s="279"/>
      <c r="EJ29" s="366"/>
      <c r="EK29" s="366"/>
      <c r="EL29" s="366">
        <v>2.0299999999999999E-2</v>
      </c>
      <c r="EM29" s="280"/>
      <c r="EN29" s="279"/>
      <c r="EO29" s="265" t="e">
        <f t="shared" si="141"/>
        <v>#DIV/0!</v>
      </c>
      <c r="EP29" s="323">
        <f t="shared" si="46"/>
        <v>808.55469000000005</v>
      </c>
      <c r="EQ29" s="323">
        <f t="shared" si="83"/>
        <v>579.20000000000005</v>
      </c>
      <c r="ER29" s="323">
        <v>229.35469000000001</v>
      </c>
      <c r="ES29" s="358">
        <f t="shared" si="142"/>
        <v>0.7163399175880113</v>
      </c>
      <c r="ET29" s="358">
        <f t="shared" si="143"/>
        <v>0.2836600824119887</v>
      </c>
      <c r="EU29" s="323">
        <f t="shared" si="49"/>
        <v>808.55469000000005</v>
      </c>
      <c r="EV29" s="323">
        <f t="shared" si="144"/>
        <v>579.20000000000005</v>
      </c>
      <c r="EW29" s="323">
        <f t="shared" si="145"/>
        <v>229.35469000000001</v>
      </c>
      <c r="EX29" s="358">
        <f t="shared" si="146"/>
        <v>0.7163399175880113</v>
      </c>
      <c r="EY29" s="358">
        <f t="shared" si="147"/>
        <v>0.2836600824119887</v>
      </c>
      <c r="EZ29" s="358">
        <v>6.7699999999999996E-2</v>
      </c>
      <c r="FA29" s="323">
        <f t="shared" si="90"/>
        <v>579.20000000000005</v>
      </c>
      <c r="FB29" s="323">
        <f t="shared" si="51"/>
        <v>0</v>
      </c>
      <c r="FC29" s="279"/>
      <c r="FD29" s="279"/>
      <c r="FE29" s="279"/>
      <c r="FF29" s="366"/>
      <c r="FG29" s="366"/>
      <c r="FH29" s="279"/>
      <c r="FI29" s="279"/>
      <c r="FJ29" s="279"/>
      <c r="FK29" s="366"/>
      <c r="FL29" s="366"/>
      <c r="FM29" s="366">
        <v>6.7699999999999996E-2</v>
      </c>
      <c r="FN29" s="280"/>
      <c r="FO29" s="279"/>
    </row>
    <row r="30" spans="2:171" s="40" customFormat="1" ht="15.6" customHeight="1" x14ac:dyDescent="0.25">
      <c r="B30" s="32"/>
      <c r="C30" s="33"/>
      <c r="D30" s="33">
        <v>1</v>
      </c>
      <c r="E30" s="434">
        <v>20</v>
      </c>
      <c r="F30" s="32"/>
      <c r="G30" s="33"/>
      <c r="H30" s="33">
        <v>1</v>
      </c>
      <c r="M30" s="434">
        <v>20</v>
      </c>
      <c r="N30" s="435" t="s">
        <v>79</v>
      </c>
      <c r="O30" s="435"/>
      <c r="P30" s="24">
        <f t="shared" si="29"/>
        <v>0</v>
      </c>
      <c r="Q30" s="435"/>
      <c r="R30" s="435"/>
      <c r="S30" s="435" t="s">
        <v>490</v>
      </c>
      <c r="T30" s="435" t="s">
        <v>488</v>
      </c>
      <c r="U30" s="161">
        <v>1</v>
      </c>
      <c r="V30" s="434">
        <v>1</v>
      </c>
      <c r="W30" s="459">
        <f t="shared" si="118"/>
        <v>497.3</v>
      </c>
      <c r="X30" s="459"/>
      <c r="Y30" s="460">
        <v>497.3</v>
      </c>
      <c r="Z30" s="459"/>
      <c r="AA30" s="472"/>
      <c r="AB30" s="459">
        <f t="shared" si="119"/>
        <v>501.4</v>
      </c>
      <c r="AC30" s="459"/>
      <c r="AD30" s="460">
        <v>501.4</v>
      </c>
      <c r="AE30" s="459"/>
      <c r="AF30" s="472"/>
      <c r="AG30" s="459">
        <f t="shared" si="120"/>
        <v>501.4</v>
      </c>
      <c r="AH30" s="459"/>
      <c r="AI30" s="460">
        <v>501.4</v>
      </c>
      <c r="AJ30" s="459"/>
      <c r="AK30" s="472"/>
      <c r="AL30" s="459">
        <f t="shared" si="121"/>
        <v>218</v>
      </c>
      <c r="AM30" s="459"/>
      <c r="AN30" s="460">
        <v>218</v>
      </c>
      <c r="AO30" s="459"/>
      <c r="AP30" s="472"/>
      <c r="AQ30" s="398" t="s">
        <v>512</v>
      </c>
      <c r="AR30" s="459">
        <f t="shared" si="122"/>
        <v>414.09500000000003</v>
      </c>
      <c r="AS30" s="459"/>
      <c r="AT30" s="462">
        <f>497.3-83.205</f>
        <v>414.09500000000003</v>
      </c>
      <c r="AU30" s="459"/>
      <c r="AV30" s="459"/>
      <c r="AW30" s="459" t="e">
        <f t="shared" si="123"/>
        <v>#REF!</v>
      </c>
      <c r="AX30" s="459" t="e">
        <f>#REF!-AS30</f>
        <v>#REF!</v>
      </c>
      <c r="AY30" s="459" t="e">
        <f>#REF!-AT30</f>
        <v>#REF!</v>
      </c>
      <c r="AZ30" s="459" t="e">
        <f>#REF!-AU30</f>
        <v>#REF!</v>
      </c>
      <c r="BA30" s="459" t="e">
        <f>#REF!-AV30</f>
        <v>#REF!</v>
      </c>
      <c r="BB30" s="459">
        <f t="shared" si="124"/>
        <v>501.4</v>
      </c>
      <c r="BC30" s="459"/>
      <c r="BD30" s="460">
        <v>501.4</v>
      </c>
      <c r="BE30" s="459"/>
      <c r="BF30" s="459"/>
      <c r="BG30" s="459">
        <f t="shared" si="125"/>
        <v>0</v>
      </c>
      <c r="BH30" s="459"/>
      <c r="BI30" s="460"/>
      <c r="BJ30" s="459"/>
      <c r="BK30" s="459"/>
      <c r="BL30" s="459">
        <f t="shared" si="126"/>
        <v>414.09500000000003</v>
      </c>
      <c r="BM30" s="459"/>
      <c r="BN30" s="460">
        <v>414.09500000000003</v>
      </c>
      <c r="BO30" s="459"/>
      <c r="BP30" s="459"/>
      <c r="BQ30" s="459">
        <f t="shared" si="127"/>
        <v>414.09500000000003</v>
      </c>
      <c r="BR30" s="459"/>
      <c r="BS30" s="460">
        <v>414.09500000000003</v>
      </c>
      <c r="BT30" s="459"/>
      <c r="BU30" s="459"/>
      <c r="BV30" s="459">
        <f t="shared" si="128"/>
        <v>32.658090000000001</v>
      </c>
      <c r="BW30" s="459"/>
      <c r="BX30" s="459">
        <v>32.658090000000001</v>
      </c>
      <c r="BY30" s="459"/>
      <c r="BZ30" s="459"/>
      <c r="CA30" s="464">
        <f t="shared" si="129"/>
        <v>446.75309000000004</v>
      </c>
      <c r="CB30" s="459">
        <f t="shared" si="130"/>
        <v>446.75309000000004</v>
      </c>
      <c r="CC30" s="459">
        <f t="shared" si="131"/>
        <v>0</v>
      </c>
      <c r="CD30" s="459">
        <f t="shared" si="131"/>
        <v>446.75309000000004</v>
      </c>
      <c r="CE30" s="459">
        <f t="shared" si="131"/>
        <v>0</v>
      </c>
      <c r="CF30" s="459">
        <f t="shared" si="131"/>
        <v>0</v>
      </c>
      <c r="CG30" s="459">
        <f t="shared" si="132"/>
        <v>0</v>
      </c>
      <c r="CH30" s="459">
        <f t="shared" si="133"/>
        <v>0</v>
      </c>
      <c r="CI30" s="459">
        <f t="shared" si="133"/>
        <v>0</v>
      </c>
      <c r="CJ30" s="459">
        <f t="shared" si="133"/>
        <v>0</v>
      </c>
      <c r="CK30" s="459">
        <f t="shared" si="133"/>
        <v>0</v>
      </c>
      <c r="CL30" s="465"/>
      <c r="CM30" s="466"/>
      <c r="CN30" s="466"/>
      <c r="CO30" s="459">
        <f t="shared" si="134"/>
        <v>0</v>
      </c>
      <c r="CP30" s="459"/>
      <c r="CQ30" s="460"/>
      <c r="CR30" s="459"/>
      <c r="CS30" s="459"/>
      <c r="CT30" s="459">
        <f t="shared" si="135"/>
        <v>0</v>
      </c>
      <c r="CU30" s="459"/>
      <c r="CV30" s="460"/>
      <c r="CW30" s="459"/>
      <c r="CX30" s="459"/>
      <c r="CY30" s="459">
        <f t="shared" si="136"/>
        <v>0</v>
      </c>
      <c r="CZ30" s="459">
        <f t="shared" si="137"/>
        <v>0</v>
      </c>
      <c r="DA30" s="459">
        <f t="shared" si="137"/>
        <v>0</v>
      </c>
      <c r="DB30" s="459">
        <f t="shared" si="137"/>
        <v>0</v>
      </c>
      <c r="DC30" s="459">
        <f t="shared" si="137"/>
        <v>0</v>
      </c>
      <c r="DD30" s="459"/>
      <c r="DE30" s="459"/>
      <c r="DF30" s="459"/>
      <c r="DG30" s="459">
        <f t="shared" si="138"/>
        <v>0</v>
      </c>
      <c r="DH30" s="467"/>
      <c r="DI30" s="459">
        <f t="shared" si="139"/>
        <v>414.09500000000003</v>
      </c>
      <c r="DJ30" s="459">
        <f t="shared" si="140"/>
        <v>414.09500000000003</v>
      </c>
      <c r="DK30" s="467"/>
      <c r="DL30" s="459"/>
      <c r="DM30" s="459"/>
      <c r="DN30" s="467"/>
      <c r="DO30" s="459"/>
      <c r="DP30" s="467"/>
      <c r="DQ30" s="467"/>
      <c r="DR30" s="459">
        <f t="shared" si="8"/>
        <v>414.09500000000003</v>
      </c>
      <c r="DS30" s="459"/>
      <c r="DT30" s="460">
        <v>414.09500000000003</v>
      </c>
      <c r="DU30" s="459"/>
      <c r="DV30" s="459"/>
      <c r="DW30" s="459">
        <f t="shared" si="11"/>
        <v>32.658090000000001</v>
      </c>
      <c r="DX30" s="459"/>
      <c r="DY30" s="459">
        <v>32.658090000000001</v>
      </c>
      <c r="DZ30" s="459"/>
      <c r="EA30" s="146"/>
      <c r="EB30" s="279"/>
      <c r="EC30" s="279"/>
      <c r="ED30" s="279"/>
      <c r="EE30" s="366"/>
      <c r="EF30" s="366"/>
      <c r="EG30" s="279"/>
      <c r="EH30" s="279"/>
      <c r="EI30" s="279"/>
      <c r="EJ30" s="366"/>
      <c r="EK30" s="366"/>
      <c r="EL30" s="366">
        <v>2.1899999999999999E-2</v>
      </c>
      <c r="EM30" s="280"/>
      <c r="EN30" s="279"/>
      <c r="EO30" s="265" t="e">
        <f t="shared" si="141"/>
        <v>#DIV/0!</v>
      </c>
      <c r="EP30" s="323">
        <f t="shared" si="46"/>
        <v>446.75309000000004</v>
      </c>
      <c r="EQ30" s="323">
        <f t="shared" si="83"/>
        <v>414.09500000000003</v>
      </c>
      <c r="ER30" s="323">
        <v>32.658090000000001</v>
      </c>
      <c r="ES30" s="358">
        <f t="shared" si="142"/>
        <v>0.92689901708346323</v>
      </c>
      <c r="ET30" s="358">
        <f t="shared" si="143"/>
        <v>7.310098291653673E-2</v>
      </c>
      <c r="EU30" s="323">
        <f t="shared" si="49"/>
        <v>446.75309000000004</v>
      </c>
      <c r="EV30" s="323">
        <f t="shared" si="144"/>
        <v>414.09500000000003</v>
      </c>
      <c r="EW30" s="323">
        <f t="shared" si="145"/>
        <v>32.658090000000001</v>
      </c>
      <c r="EX30" s="358">
        <f t="shared" si="146"/>
        <v>0.92689901708346323</v>
      </c>
      <c r="EY30" s="358">
        <f t="shared" si="147"/>
        <v>7.310098291653673E-2</v>
      </c>
      <c r="EZ30" s="358">
        <v>7.3099999999999998E-2</v>
      </c>
      <c r="FA30" s="323">
        <f t="shared" si="90"/>
        <v>414.09500000000003</v>
      </c>
      <c r="FB30" s="323">
        <f t="shared" si="51"/>
        <v>0</v>
      </c>
      <c r="FC30" s="279"/>
      <c r="FD30" s="279"/>
      <c r="FE30" s="279"/>
      <c r="FF30" s="366"/>
      <c r="FG30" s="366"/>
      <c r="FH30" s="279"/>
      <c r="FI30" s="279"/>
      <c r="FJ30" s="279"/>
      <c r="FK30" s="366"/>
      <c r="FL30" s="366"/>
      <c r="FM30" s="366">
        <v>7.3099999999999998E-2</v>
      </c>
      <c r="FN30" s="280"/>
      <c r="FO30" s="279"/>
    </row>
    <row r="31" spans="2:171" s="40" customFormat="1" ht="15.75" customHeight="1" x14ac:dyDescent="0.25">
      <c r="B31" s="32"/>
      <c r="C31" s="33"/>
      <c r="D31" s="33">
        <v>1</v>
      </c>
      <c r="E31" s="434">
        <v>21</v>
      </c>
      <c r="F31" s="32"/>
      <c r="G31" s="33"/>
      <c r="H31" s="33">
        <v>1</v>
      </c>
      <c r="M31" s="434">
        <v>21</v>
      </c>
      <c r="N31" s="435" t="s">
        <v>80</v>
      </c>
      <c r="O31" s="435"/>
      <c r="P31" s="24">
        <f t="shared" si="29"/>
        <v>0</v>
      </c>
      <c r="Q31" s="435" t="s">
        <v>543</v>
      </c>
      <c r="R31" s="435" t="s">
        <v>488</v>
      </c>
      <c r="S31" s="435" t="s">
        <v>490</v>
      </c>
      <c r="T31" s="435" t="s">
        <v>488</v>
      </c>
      <c r="U31" s="161">
        <v>1</v>
      </c>
      <c r="V31" s="434">
        <v>1</v>
      </c>
      <c r="W31" s="459">
        <f t="shared" si="118"/>
        <v>313.10000000000002</v>
      </c>
      <c r="X31" s="459"/>
      <c r="Y31" s="460">
        <v>313.10000000000002</v>
      </c>
      <c r="Z31" s="459"/>
      <c r="AA31" s="461"/>
      <c r="AB31" s="459">
        <f t="shared" si="119"/>
        <v>315.10000000000002</v>
      </c>
      <c r="AC31" s="459"/>
      <c r="AD31" s="460">
        <v>315.10000000000002</v>
      </c>
      <c r="AE31" s="459"/>
      <c r="AF31" s="461"/>
      <c r="AG31" s="459">
        <f t="shared" si="120"/>
        <v>315.10000000000002</v>
      </c>
      <c r="AH31" s="459"/>
      <c r="AI31" s="460">
        <v>315.10000000000002</v>
      </c>
      <c r="AJ31" s="459"/>
      <c r="AK31" s="461"/>
      <c r="AL31" s="459">
        <f t="shared" si="121"/>
        <v>137</v>
      </c>
      <c r="AM31" s="459"/>
      <c r="AN31" s="460">
        <v>137</v>
      </c>
      <c r="AO31" s="459"/>
      <c r="AP31" s="461"/>
      <c r="AQ31" s="398" t="s">
        <v>457</v>
      </c>
      <c r="AR31" s="459">
        <f t="shared" si="122"/>
        <v>313.10000000000002</v>
      </c>
      <c r="AS31" s="459"/>
      <c r="AT31" s="462">
        <v>313.10000000000002</v>
      </c>
      <c r="AU31" s="459"/>
      <c r="AV31" s="461"/>
      <c r="AW31" s="459" t="e">
        <f t="shared" si="123"/>
        <v>#REF!</v>
      </c>
      <c r="AX31" s="459" t="e">
        <f>#REF!-AS31</f>
        <v>#REF!</v>
      </c>
      <c r="AY31" s="459" t="e">
        <f>#REF!-AT31</f>
        <v>#REF!</v>
      </c>
      <c r="AZ31" s="459" t="e">
        <f>#REF!-AU31</f>
        <v>#REF!</v>
      </c>
      <c r="BA31" s="459" t="e">
        <f>#REF!-AV31</f>
        <v>#REF!</v>
      </c>
      <c r="BB31" s="459">
        <f t="shared" si="124"/>
        <v>315.10000000000002</v>
      </c>
      <c r="BC31" s="459"/>
      <c r="BD31" s="460">
        <f>137+178.1</f>
        <v>315.10000000000002</v>
      </c>
      <c r="BE31" s="459"/>
      <c r="BF31" s="461"/>
      <c r="BG31" s="459">
        <f t="shared" si="125"/>
        <v>0</v>
      </c>
      <c r="BH31" s="459"/>
      <c r="BI31" s="460"/>
      <c r="BJ31" s="459"/>
      <c r="BK31" s="461"/>
      <c r="BL31" s="459">
        <f t="shared" si="126"/>
        <v>313.10000000000002</v>
      </c>
      <c r="BM31" s="459"/>
      <c r="BN31" s="462">
        <v>313.10000000000002</v>
      </c>
      <c r="BO31" s="459"/>
      <c r="BP31" s="470"/>
      <c r="BQ31" s="459">
        <f t="shared" si="127"/>
        <v>313.10000000000002</v>
      </c>
      <c r="BR31" s="459"/>
      <c r="BS31" s="462">
        <v>313.10000000000002</v>
      </c>
      <c r="BT31" s="459"/>
      <c r="BU31" s="470"/>
      <c r="BV31" s="459">
        <f t="shared" si="128"/>
        <v>186.86080000000001</v>
      </c>
      <c r="BW31" s="459"/>
      <c r="BX31" s="459">
        <v>186.86080000000001</v>
      </c>
      <c r="BY31" s="459"/>
      <c r="BZ31" s="459"/>
      <c r="CA31" s="464">
        <f t="shared" si="129"/>
        <v>499.96080000000006</v>
      </c>
      <c r="CB31" s="459">
        <f t="shared" si="130"/>
        <v>499.96080000000006</v>
      </c>
      <c r="CC31" s="459">
        <f t="shared" si="131"/>
        <v>0</v>
      </c>
      <c r="CD31" s="459">
        <f t="shared" si="131"/>
        <v>499.96080000000006</v>
      </c>
      <c r="CE31" s="459">
        <f t="shared" si="131"/>
        <v>0</v>
      </c>
      <c r="CF31" s="459">
        <f t="shared" si="131"/>
        <v>0</v>
      </c>
      <c r="CG31" s="459">
        <f t="shared" si="132"/>
        <v>0</v>
      </c>
      <c r="CH31" s="459">
        <f t="shared" si="133"/>
        <v>0</v>
      </c>
      <c r="CI31" s="459">
        <f t="shared" si="133"/>
        <v>0</v>
      </c>
      <c r="CJ31" s="459">
        <f t="shared" si="133"/>
        <v>0</v>
      </c>
      <c r="CK31" s="459">
        <f t="shared" si="133"/>
        <v>0</v>
      </c>
      <c r="CL31" s="465"/>
      <c r="CM31" s="466"/>
      <c r="CN31" s="466"/>
      <c r="CO31" s="459">
        <f t="shared" si="134"/>
        <v>0</v>
      </c>
      <c r="CP31" s="459"/>
      <c r="CQ31" s="460"/>
      <c r="CR31" s="459"/>
      <c r="CS31" s="461"/>
      <c r="CT31" s="459">
        <f t="shared" si="135"/>
        <v>0</v>
      </c>
      <c r="CU31" s="459"/>
      <c r="CV31" s="460"/>
      <c r="CW31" s="459"/>
      <c r="CX31" s="461"/>
      <c r="CY31" s="459">
        <f t="shared" si="136"/>
        <v>0</v>
      </c>
      <c r="CZ31" s="459">
        <f t="shared" si="137"/>
        <v>0</v>
      </c>
      <c r="DA31" s="459">
        <f t="shared" si="137"/>
        <v>0</v>
      </c>
      <c r="DB31" s="459">
        <f t="shared" si="137"/>
        <v>0</v>
      </c>
      <c r="DC31" s="459">
        <f t="shared" si="137"/>
        <v>0</v>
      </c>
      <c r="DD31" s="459"/>
      <c r="DE31" s="459"/>
      <c r="DF31" s="459"/>
      <c r="DG31" s="459">
        <f t="shared" si="138"/>
        <v>0</v>
      </c>
      <c r="DH31" s="467"/>
      <c r="DI31" s="459">
        <f t="shared" si="139"/>
        <v>313.10000000000002</v>
      </c>
      <c r="DJ31" s="459">
        <f t="shared" si="140"/>
        <v>313.10000000000002</v>
      </c>
      <c r="DK31" s="467"/>
      <c r="DL31" s="459"/>
      <c r="DM31" s="459"/>
      <c r="DN31" s="467"/>
      <c r="DO31" s="459"/>
      <c r="DP31" s="467"/>
      <c r="DQ31" s="467"/>
      <c r="DR31" s="459">
        <f t="shared" si="8"/>
        <v>313.10000000000002</v>
      </c>
      <c r="DS31" s="459"/>
      <c r="DT31" s="460">
        <v>313.10000000000002</v>
      </c>
      <c r="DU31" s="459"/>
      <c r="DV31" s="470"/>
      <c r="DW31" s="459">
        <f t="shared" si="11"/>
        <v>186.86080000000001</v>
      </c>
      <c r="DX31" s="459"/>
      <c r="DY31" s="459">
        <v>186.86080000000001</v>
      </c>
      <c r="DZ31" s="459"/>
      <c r="EA31" s="146"/>
      <c r="EB31" s="279"/>
      <c r="EC31" s="279"/>
      <c r="ED31" s="279"/>
      <c r="EE31" s="366"/>
      <c r="EF31" s="366"/>
      <c r="EG31" s="279"/>
      <c r="EH31" s="279"/>
      <c r="EI31" s="279"/>
      <c r="EJ31" s="366"/>
      <c r="EK31" s="366"/>
      <c r="EL31" s="366">
        <v>2.4E-2</v>
      </c>
      <c r="EM31" s="280"/>
      <c r="EN31" s="279"/>
      <c r="EO31" s="265" t="e">
        <f t="shared" si="141"/>
        <v>#DIV/0!</v>
      </c>
      <c r="EP31" s="323">
        <f t="shared" si="46"/>
        <v>499.96080000000006</v>
      </c>
      <c r="EQ31" s="323">
        <f t="shared" si="83"/>
        <v>313.10000000000002</v>
      </c>
      <c r="ER31" s="323">
        <v>186.86080000000001</v>
      </c>
      <c r="ES31" s="358">
        <f t="shared" si="142"/>
        <v>0.62624909792927763</v>
      </c>
      <c r="ET31" s="358">
        <f t="shared" si="143"/>
        <v>0.37375090207072231</v>
      </c>
      <c r="EU31" s="323">
        <f t="shared" si="49"/>
        <v>499.96080000000006</v>
      </c>
      <c r="EV31" s="323">
        <f t="shared" si="144"/>
        <v>313.10000000000002</v>
      </c>
      <c r="EW31" s="323">
        <f t="shared" si="145"/>
        <v>186.86080000000001</v>
      </c>
      <c r="EX31" s="358">
        <f t="shared" si="146"/>
        <v>0.62624909792927763</v>
      </c>
      <c r="EY31" s="358">
        <f t="shared" si="147"/>
        <v>0.37375090207072231</v>
      </c>
      <c r="EZ31" s="358">
        <v>7.9899999999999999E-2</v>
      </c>
      <c r="FA31" s="323">
        <f t="shared" si="90"/>
        <v>313.10000000000002</v>
      </c>
      <c r="FB31" s="323">
        <f t="shared" si="51"/>
        <v>0</v>
      </c>
      <c r="FC31" s="279"/>
      <c r="FD31" s="279"/>
      <c r="FE31" s="279"/>
      <c r="FF31" s="366"/>
      <c r="FG31" s="366"/>
      <c r="FH31" s="279"/>
      <c r="FI31" s="279"/>
      <c r="FJ31" s="279"/>
      <c r="FK31" s="366"/>
      <c r="FL31" s="366"/>
      <c r="FM31" s="366">
        <v>7.9899999999999999E-2</v>
      </c>
      <c r="FN31" s="280"/>
      <c r="FO31" s="279"/>
    </row>
    <row r="32" spans="2:171" s="40" customFormat="1" ht="15.75" customHeight="1" x14ac:dyDescent="0.25">
      <c r="B32" s="32"/>
      <c r="C32" s="33"/>
      <c r="D32" s="33">
        <v>1</v>
      </c>
      <c r="E32" s="434">
        <v>22</v>
      </c>
      <c r="F32" s="32"/>
      <c r="G32" s="33"/>
      <c r="H32" s="33">
        <v>1</v>
      </c>
      <c r="M32" s="434">
        <v>22</v>
      </c>
      <c r="N32" s="435" t="s">
        <v>81</v>
      </c>
      <c r="O32" s="435"/>
      <c r="P32" s="24">
        <f t="shared" si="29"/>
        <v>0</v>
      </c>
      <c r="Q32" s="435" t="s">
        <v>490</v>
      </c>
      <c r="R32" s="435" t="s">
        <v>488</v>
      </c>
      <c r="S32" s="435"/>
      <c r="T32" s="435"/>
      <c r="U32" s="161">
        <v>1</v>
      </c>
      <c r="V32" s="434">
        <v>1</v>
      </c>
      <c r="W32" s="459">
        <f t="shared" si="118"/>
        <v>478.9</v>
      </c>
      <c r="X32" s="459"/>
      <c r="Y32" s="460">
        <v>478.9</v>
      </c>
      <c r="Z32" s="459"/>
      <c r="AA32" s="472"/>
      <c r="AB32" s="459">
        <f t="shared" si="119"/>
        <v>483</v>
      </c>
      <c r="AC32" s="459"/>
      <c r="AD32" s="460">
        <v>483</v>
      </c>
      <c r="AE32" s="459"/>
      <c r="AF32" s="472"/>
      <c r="AG32" s="459">
        <f t="shared" si="120"/>
        <v>483</v>
      </c>
      <c r="AH32" s="459"/>
      <c r="AI32" s="460">
        <v>483</v>
      </c>
      <c r="AJ32" s="459"/>
      <c r="AK32" s="472"/>
      <c r="AL32" s="459">
        <f t="shared" si="121"/>
        <v>210</v>
      </c>
      <c r="AM32" s="459"/>
      <c r="AN32" s="460">
        <v>210</v>
      </c>
      <c r="AO32" s="459"/>
      <c r="AP32" s="472"/>
      <c r="AQ32" s="398" t="s">
        <v>562</v>
      </c>
      <c r="AR32" s="459">
        <f t="shared" si="122"/>
        <v>376.952</v>
      </c>
      <c r="AS32" s="459"/>
      <c r="AT32" s="462">
        <f>478.9-101.948</f>
        <v>376.952</v>
      </c>
      <c r="AU32" s="459"/>
      <c r="AV32" s="459"/>
      <c r="AW32" s="459" t="e">
        <f t="shared" si="123"/>
        <v>#REF!</v>
      </c>
      <c r="AX32" s="459" t="e">
        <f>#REF!-AS32</f>
        <v>#REF!</v>
      </c>
      <c r="AY32" s="459" t="e">
        <f>#REF!-AT32</f>
        <v>#REF!</v>
      </c>
      <c r="AZ32" s="459" t="e">
        <f>#REF!-AU32</f>
        <v>#REF!</v>
      </c>
      <c r="BA32" s="459" t="e">
        <f>#REF!-AV32</f>
        <v>#REF!</v>
      </c>
      <c r="BB32" s="459">
        <f t="shared" si="124"/>
        <v>483</v>
      </c>
      <c r="BC32" s="459"/>
      <c r="BD32" s="460">
        <f>210+273</f>
        <v>483</v>
      </c>
      <c r="BE32" s="459"/>
      <c r="BF32" s="459"/>
      <c r="BG32" s="459">
        <f t="shared" si="125"/>
        <v>0</v>
      </c>
      <c r="BH32" s="459"/>
      <c r="BI32" s="459"/>
      <c r="BJ32" s="459"/>
      <c r="BK32" s="459"/>
      <c r="BL32" s="459">
        <f t="shared" si="126"/>
        <v>376.952</v>
      </c>
      <c r="BM32" s="459"/>
      <c r="BN32" s="460">
        <v>376.952</v>
      </c>
      <c r="BO32" s="459"/>
      <c r="BP32" s="459"/>
      <c r="BQ32" s="459">
        <f t="shared" si="127"/>
        <v>376.952</v>
      </c>
      <c r="BR32" s="459"/>
      <c r="BS32" s="460">
        <v>376.952</v>
      </c>
      <c r="BT32" s="459"/>
      <c r="BU32" s="459"/>
      <c r="BV32" s="459">
        <f t="shared" si="128"/>
        <v>129.29032000000001</v>
      </c>
      <c r="BW32" s="459"/>
      <c r="BX32" s="459">
        <v>129.29032000000001</v>
      </c>
      <c r="BY32" s="459"/>
      <c r="BZ32" s="459"/>
      <c r="CA32" s="464">
        <f t="shared" si="129"/>
        <v>506.24232000000001</v>
      </c>
      <c r="CB32" s="459">
        <f t="shared" si="130"/>
        <v>506.24232000000001</v>
      </c>
      <c r="CC32" s="459">
        <f t="shared" si="131"/>
        <v>0</v>
      </c>
      <c r="CD32" s="459">
        <f t="shared" si="131"/>
        <v>506.24232000000001</v>
      </c>
      <c r="CE32" s="459">
        <f t="shared" si="131"/>
        <v>0</v>
      </c>
      <c r="CF32" s="459">
        <f t="shared" si="131"/>
        <v>0</v>
      </c>
      <c r="CG32" s="459">
        <f t="shared" si="132"/>
        <v>0</v>
      </c>
      <c r="CH32" s="459">
        <f t="shared" si="133"/>
        <v>0</v>
      </c>
      <c r="CI32" s="459">
        <f t="shared" si="133"/>
        <v>0</v>
      </c>
      <c r="CJ32" s="459">
        <f t="shared" si="133"/>
        <v>0</v>
      </c>
      <c r="CK32" s="459">
        <f t="shared" si="133"/>
        <v>0</v>
      </c>
      <c r="CL32" s="465"/>
      <c r="CM32" s="466"/>
      <c r="CN32" s="466"/>
      <c r="CO32" s="459">
        <f t="shared" si="134"/>
        <v>0</v>
      </c>
      <c r="CP32" s="459"/>
      <c r="CQ32" s="459"/>
      <c r="CR32" s="459"/>
      <c r="CS32" s="459"/>
      <c r="CT32" s="459">
        <f t="shared" si="135"/>
        <v>0</v>
      </c>
      <c r="CU32" s="459"/>
      <c r="CV32" s="459"/>
      <c r="CW32" s="459"/>
      <c r="CX32" s="459"/>
      <c r="CY32" s="459">
        <f t="shared" si="136"/>
        <v>0</v>
      </c>
      <c r="CZ32" s="459">
        <f t="shared" si="137"/>
        <v>0</v>
      </c>
      <c r="DA32" s="459">
        <f t="shared" si="137"/>
        <v>0</v>
      </c>
      <c r="DB32" s="459">
        <f t="shared" si="137"/>
        <v>0</v>
      </c>
      <c r="DC32" s="459">
        <f t="shared" si="137"/>
        <v>0</v>
      </c>
      <c r="DD32" s="459"/>
      <c r="DE32" s="459"/>
      <c r="DF32" s="459"/>
      <c r="DG32" s="459">
        <f t="shared" si="138"/>
        <v>0</v>
      </c>
      <c r="DH32" s="467"/>
      <c r="DI32" s="459">
        <f t="shared" si="139"/>
        <v>376.952</v>
      </c>
      <c r="DJ32" s="459">
        <f t="shared" si="140"/>
        <v>376.952</v>
      </c>
      <c r="DK32" s="467"/>
      <c r="DL32" s="459"/>
      <c r="DM32" s="459"/>
      <c r="DN32" s="467"/>
      <c r="DO32" s="459"/>
      <c r="DP32" s="467"/>
      <c r="DQ32" s="467"/>
      <c r="DR32" s="459">
        <f t="shared" si="8"/>
        <v>376.952</v>
      </c>
      <c r="DS32" s="459"/>
      <c r="DT32" s="460">
        <v>376.952</v>
      </c>
      <c r="DU32" s="459"/>
      <c r="DV32" s="459"/>
      <c r="DW32" s="459">
        <f t="shared" si="11"/>
        <v>129.29032000000001</v>
      </c>
      <c r="DX32" s="459"/>
      <c r="DY32" s="459">
        <v>129.29032000000001</v>
      </c>
      <c r="DZ32" s="459"/>
      <c r="EA32" s="146"/>
      <c r="EB32" s="279"/>
      <c r="EC32" s="279"/>
      <c r="ED32" s="279"/>
      <c r="EE32" s="366"/>
      <c r="EF32" s="366"/>
      <c r="EG32" s="279"/>
      <c r="EH32" s="279"/>
      <c r="EI32" s="279"/>
      <c r="EJ32" s="366"/>
      <c r="EK32" s="366"/>
      <c r="EL32" s="366">
        <v>2.6599999999999999E-2</v>
      </c>
      <c r="EM32" s="280"/>
      <c r="EN32" s="279"/>
      <c r="EO32" s="265" t="e">
        <f t="shared" si="141"/>
        <v>#DIV/0!</v>
      </c>
      <c r="EP32" s="323">
        <f t="shared" si="46"/>
        <v>506.24232000000001</v>
      </c>
      <c r="EQ32" s="323">
        <f t="shared" si="83"/>
        <v>376.952</v>
      </c>
      <c r="ER32" s="323">
        <v>129.29032000000001</v>
      </c>
      <c r="ES32" s="358">
        <f t="shared" si="142"/>
        <v>0.74460783918657769</v>
      </c>
      <c r="ET32" s="358">
        <f t="shared" si="143"/>
        <v>0.25539216081342231</v>
      </c>
      <c r="EU32" s="323">
        <f t="shared" si="49"/>
        <v>506.24232000000001</v>
      </c>
      <c r="EV32" s="323">
        <f t="shared" si="144"/>
        <v>376.952</v>
      </c>
      <c r="EW32" s="323">
        <f t="shared" si="145"/>
        <v>129.29032000000001</v>
      </c>
      <c r="EX32" s="358">
        <f t="shared" si="146"/>
        <v>0.74460783918657769</v>
      </c>
      <c r="EY32" s="358">
        <f t="shared" si="147"/>
        <v>0.25539216081342231</v>
      </c>
      <c r="EZ32" s="358">
        <v>8.8800000000000004E-2</v>
      </c>
      <c r="FA32" s="323">
        <f t="shared" si="90"/>
        <v>376.952</v>
      </c>
      <c r="FB32" s="430">
        <f t="shared" si="51"/>
        <v>0</v>
      </c>
      <c r="FC32" s="279"/>
      <c r="FD32" s="279"/>
      <c r="FE32" s="279"/>
      <c r="FF32" s="366"/>
      <c r="FG32" s="366"/>
      <c r="FH32" s="279"/>
      <c r="FI32" s="279"/>
      <c r="FJ32" s="279"/>
      <c r="FK32" s="366"/>
      <c r="FL32" s="366"/>
      <c r="FM32" s="366">
        <v>8.8800000000000004E-2</v>
      </c>
      <c r="FN32" s="280"/>
      <c r="FO32" s="279"/>
    </row>
    <row r="33" spans="2:171" s="40" customFormat="1" ht="15.6" customHeight="1" x14ac:dyDescent="0.25">
      <c r="B33" s="32"/>
      <c r="C33" s="33"/>
      <c r="D33" s="33">
        <v>1</v>
      </c>
      <c r="E33" s="434">
        <v>23</v>
      </c>
      <c r="F33" s="32"/>
      <c r="G33" s="33"/>
      <c r="H33" s="33">
        <v>1</v>
      </c>
      <c r="M33" s="434">
        <v>23</v>
      </c>
      <c r="N33" s="435" t="s">
        <v>82</v>
      </c>
      <c r="O33" s="435"/>
      <c r="P33" s="24">
        <f t="shared" si="29"/>
        <v>0</v>
      </c>
      <c r="Q33" s="435" t="s">
        <v>544</v>
      </c>
      <c r="R33" s="435" t="s">
        <v>488</v>
      </c>
      <c r="S33" s="435" t="s">
        <v>490</v>
      </c>
      <c r="T33" s="435" t="s">
        <v>488</v>
      </c>
      <c r="U33" s="161">
        <v>1</v>
      </c>
      <c r="V33" s="434">
        <v>2</v>
      </c>
      <c r="W33" s="459">
        <f t="shared" si="118"/>
        <v>3214.9</v>
      </c>
      <c r="X33" s="459"/>
      <c r="Y33" s="460">
        <v>214.9</v>
      </c>
      <c r="Z33" s="459">
        <v>3000</v>
      </c>
      <c r="AA33" s="472"/>
      <c r="AB33" s="459">
        <f t="shared" si="119"/>
        <v>216.2</v>
      </c>
      <c r="AC33" s="459"/>
      <c r="AD33" s="460">
        <v>216.2</v>
      </c>
      <c r="AE33" s="459"/>
      <c r="AF33" s="472"/>
      <c r="AG33" s="459">
        <f t="shared" si="120"/>
        <v>216.2</v>
      </c>
      <c r="AH33" s="459"/>
      <c r="AI33" s="460">
        <v>216.2</v>
      </c>
      <c r="AJ33" s="459"/>
      <c r="AK33" s="472"/>
      <c r="AL33" s="459">
        <f t="shared" si="121"/>
        <v>94</v>
      </c>
      <c r="AM33" s="459"/>
      <c r="AN33" s="460">
        <v>94</v>
      </c>
      <c r="AO33" s="459"/>
      <c r="AP33" s="472"/>
      <c r="AQ33" s="398" t="s">
        <v>492</v>
      </c>
      <c r="AR33" s="459">
        <f t="shared" si="122"/>
        <v>3186.1559999999999</v>
      </c>
      <c r="AS33" s="459"/>
      <c r="AT33" s="462">
        <v>214.9</v>
      </c>
      <c r="AU33" s="459">
        <f>3000-28.744</f>
        <v>2971.2559999999999</v>
      </c>
      <c r="AV33" s="459"/>
      <c r="AW33" s="459" t="e">
        <f t="shared" si="123"/>
        <v>#REF!</v>
      </c>
      <c r="AX33" s="459" t="e">
        <f>#REF!-AS33</f>
        <v>#REF!</v>
      </c>
      <c r="AY33" s="459" t="e">
        <f>#REF!-AT33</f>
        <v>#REF!</v>
      </c>
      <c r="AZ33" s="459" t="e">
        <f>#REF!-AU33</f>
        <v>#REF!</v>
      </c>
      <c r="BA33" s="459" t="e">
        <f>#REF!-AV33</f>
        <v>#REF!</v>
      </c>
      <c r="BB33" s="459">
        <f t="shared" si="124"/>
        <v>216.2</v>
      </c>
      <c r="BC33" s="459"/>
      <c r="BD33" s="460">
        <f>94+122.2</f>
        <v>216.2</v>
      </c>
      <c r="BE33" s="459"/>
      <c r="BF33" s="459"/>
      <c r="BG33" s="459">
        <f t="shared" si="125"/>
        <v>0</v>
      </c>
      <c r="BH33" s="459"/>
      <c r="BI33" s="460"/>
      <c r="BJ33" s="459"/>
      <c r="BK33" s="459"/>
      <c r="BL33" s="459">
        <f t="shared" si="126"/>
        <v>3186.1559999999999</v>
      </c>
      <c r="BM33" s="459"/>
      <c r="BN33" s="460">
        <v>214.9</v>
      </c>
      <c r="BO33" s="459">
        <v>2971.2559999999999</v>
      </c>
      <c r="BP33" s="459"/>
      <c r="BQ33" s="459">
        <f t="shared" si="127"/>
        <v>3186.1559999999999</v>
      </c>
      <c r="BR33" s="459"/>
      <c r="BS33" s="460">
        <v>214.9</v>
      </c>
      <c r="BT33" s="459">
        <v>2971.2559999999999</v>
      </c>
      <c r="BU33" s="459"/>
      <c r="BV33" s="459">
        <f t="shared" si="128"/>
        <v>327.45398999999998</v>
      </c>
      <c r="BW33" s="459"/>
      <c r="BX33" s="459">
        <v>73.289990000000003</v>
      </c>
      <c r="BY33" s="459">
        <v>254.16399999999999</v>
      </c>
      <c r="BZ33" s="459"/>
      <c r="CA33" s="464">
        <f t="shared" si="129"/>
        <v>3513.6099899999999</v>
      </c>
      <c r="CB33" s="459">
        <f t="shared" si="130"/>
        <v>3513.6099899999999</v>
      </c>
      <c r="CC33" s="459">
        <f t="shared" si="131"/>
        <v>0</v>
      </c>
      <c r="CD33" s="459">
        <f t="shared" si="131"/>
        <v>288.18999000000002</v>
      </c>
      <c r="CE33" s="459">
        <f t="shared" si="131"/>
        <v>3225.42</v>
      </c>
      <c r="CF33" s="459">
        <f t="shared" si="131"/>
        <v>0</v>
      </c>
      <c r="CG33" s="459">
        <f t="shared" si="132"/>
        <v>0</v>
      </c>
      <c r="CH33" s="459">
        <f t="shared" si="133"/>
        <v>0</v>
      </c>
      <c r="CI33" s="459">
        <f t="shared" si="133"/>
        <v>0</v>
      </c>
      <c r="CJ33" s="459">
        <f t="shared" si="133"/>
        <v>0</v>
      </c>
      <c r="CK33" s="459">
        <f t="shared" si="133"/>
        <v>0</v>
      </c>
      <c r="CL33" s="465"/>
      <c r="CM33" s="466"/>
      <c r="CN33" s="466"/>
      <c r="CO33" s="459">
        <f t="shared" si="134"/>
        <v>0</v>
      </c>
      <c r="CP33" s="459"/>
      <c r="CQ33" s="460"/>
      <c r="CR33" s="459"/>
      <c r="CS33" s="459"/>
      <c r="CT33" s="459">
        <f t="shared" si="135"/>
        <v>0</v>
      </c>
      <c r="CU33" s="459"/>
      <c r="CV33" s="460"/>
      <c r="CW33" s="459"/>
      <c r="CX33" s="459"/>
      <c r="CY33" s="459">
        <f t="shared" si="136"/>
        <v>0</v>
      </c>
      <c r="CZ33" s="459">
        <f t="shared" si="137"/>
        <v>0</v>
      </c>
      <c r="DA33" s="459">
        <f t="shared" si="137"/>
        <v>0</v>
      </c>
      <c r="DB33" s="459">
        <f t="shared" si="137"/>
        <v>0</v>
      </c>
      <c r="DC33" s="459">
        <f t="shared" si="137"/>
        <v>0</v>
      </c>
      <c r="DD33" s="459"/>
      <c r="DE33" s="459"/>
      <c r="DF33" s="459"/>
      <c r="DG33" s="459">
        <f t="shared" si="138"/>
        <v>0</v>
      </c>
      <c r="DH33" s="467"/>
      <c r="DI33" s="459">
        <f t="shared" si="139"/>
        <v>3186.1559999999999</v>
      </c>
      <c r="DJ33" s="459">
        <f t="shared" si="140"/>
        <v>3186.1559999999999</v>
      </c>
      <c r="DK33" s="467"/>
      <c r="DL33" s="459"/>
      <c r="DM33" s="459"/>
      <c r="DN33" s="467"/>
      <c r="DO33" s="459"/>
      <c r="DP33" s="467"/>
      <c r="DQ33" s="467"/>
      <c r="DR33" s="459">
        <f t="shared" si="8"/>
        <v>3186.1559999999999</v>
      </c>
      <c r="DS33" s="459"/>
      <c r="DT33" s="460">
        <v>214.9</v>
      </c>
      <c r="DU33" s="459">
        <v>2971.2559999999999</v>
      </c>
      <c r="DV33" s="459"/>
      <c r="DW33" s="459">
        <f t="shared" si="11"/>
        <v>327.45398999999998</v>
      </c>
      <c r="DX33" s="459"/>
      <c r="DY33" s="459">
        <v>73.289990000000003</v>
      </c>
      <c r="DZ33" s="459">
        <v>254.16399999999999</v>
      </c>
      <c r="EA33" s="146"/>
      <c r="EB33" s="279"/>
      <c r="EC33" s="279"/>
      <c r="ED33" s="279"/>
      <c r="EE33" s="366"/>
      <c r="EF33" s="366"/>
      <c r="EG33" s="279"/>
      <c r="EH33" s="279"/>
      <c r="EI33" s="279"/>
      <c r="EJ33" s="366"/>
      <c r="EK33" s="366"/>
      <c r="EL33" s="366">
        <v>2.3599999999999999E-2</v>
      </c>
      <c r="EM33" s="280"/>
      <c r="EN33" s="279"/>
      <c r="EO33" s="265" t="e">
        <f t="shared" si="141"/>
        <v>#DIV/0!</v>
      </c>
      <c r="EP33" s="323">
        <f t="shared" si="46"/>
        <v>288.18999000000002</v>
      </c>
      <c r="EQ33" s="323">
        <f t="shared" si="83"/>
        <v>214.9</v>
      </c>
      <c r="ER33" s="323">
        <v>73.289990000000003</v>
      </c>
      <c r="ES33" s="358">
        <f t="shared" si="142"/>
        <v>0.74568863408475772</v>
      </c>
      <c r="ET33" s="358">
        <f t="shared" si="143"/>
        <v>0.25431136591524223</v>
      </c>
      <c r="EU33" s="323">
        <f t="shared" si="49"/>
        <v>288.18999000000002</v>
      </c>
      <c r="EV33" s="323">
        <f t="shared" si="144"/>
        <v>214.9</v>
      </c>
      <c r="EW33" s="323">
        <f t="shared" si="145"/>
        <v>73.289990000000003</v>
      </c>
      <c r="EX33" s="358">
        <f t="shared" si="146"/>
        <v>0.74568863408475772</v>
      </c>
      <c r="EY33" s="358">
        <f t="shared" si="147"/>
        <v>0.25431136591524223</v>
      </c>
      <c r="EZ33" s="358">
        <v>7.8799999999999995E-2</v>
      </c>
      <c r="FA33" s="323">
        <f t="shared" si="90"/>
        <v>214.9</v>
      </c>
      <c r="FB33" s="323">
        <f t="shared" si="51"/>
        <v>0</v>
      </c>
      <c r="FC33" s="279">
        <f t="shared" ref="FC33" si="156">FD33+FE33</f>
        <v>3225.42</v>
      </c>
      <c r="FD33" s="279">
        <f t="shared" ref="FD33" si="157">AU33</f>
        <v>2971.2559999999999</v>
      </c>
      <c r="FE33" s="279">
        <v>254.16399999999999</v>
      </c>
      <c r="FF33" s="366">
        <f t="shared" ref="FF33" si="158">FD33/FC33</f>
        <v>0.92119971972642312</v>
      </c>
      <c r="FG33" s="366">
        <f t="shared" ref="FG33" si="159">FE33/FC33</f>
        <v>7.8800280273576773E-2</v>
      </c>
      <c r="FH33" s="279">
        <f t="shared" ref="FH33" si="160">FI33+FJ33</f>
        <v>3225.42</v>
      </c>
      <c r="FI33" s="279">
        <f t="shared" ref="FI33" si="161">DU33</f>
        <v>2971.2559999999999</v>
      </c>
      <c r="FJ33" s="279">
        <f t="shared" ref="FJ33" si="162">DZ33</f>
        <v>254.16399999999999</v>
      </c>
      <c r="FK33" s="366">
        <f t="shared" ref="FK33" si="163">FI33/FH33</f>
        <v>0.92119971972642312</v>
      </c>
      <c r="FL33" s="366">
        <f t="shared" ref="FL33" si="164">FJ33/FH33</f>
        <v>7.8800280273576773E-2</v>
      </c>
      <c r="FM33" s="366">
        <v>7.8799999999999995E-2</v>
      </c>
      <c r="FN33" s="280">
        <f t="shared" ref="FN33" si="165">FH33*FF33</f>
        <v>2971.2559999999999</v>
      </c>
      <c r="FO33" s="279">
        <f t="shared" ref="FO33" si="166">FI33-FN33</f>
        <v>0</v>
      </c>
    </row>
    <row r="34" spans="2:171" s="40" customFormat="1" ht="15.75" customHeight="1" x14ac:dyDescent="0.25">
      <c r="B34" s="32"/>
      <c r="C34" s="33"/>
      <c r="D34" s="33">
        <v>1</v>
      </c>
      <c r="E34" s="434">
        <v>24</v>
      </c>
      <c r="F34" s="32"/>
      <c r="G34" s="33"/>
      <c r="H34" s="33">
        <v>1</v>
      </c>
      <c r="M34" s="434">
        <v>24</v>
      </c>
      <c r="N34" s="435" t="s">
        <v>83</v>
      </c>
      <c r="O34" s="435"/>
      <c r="P34" s="24">
        <f t="shared" si="29"/>
        <v>0</v>
      </c>
      <c r="Q34" s="435" t="s">
        <v>491</v>
      </c>
      <c r="R34" s="435" t="s">
        <v>488</v>
      </c>
      <c r="S34" s="435" t="s">
        <v>490</v>
      </c>
      <c r="T34" s="435" t="s">
        <v>488</v>
      </c>
      <c r="U34" s="161">
        <v>1</v>
      </c>
      <c r="V34" s="434">
        <v>1</v>
      </c>
      <c r="W34" s="459">
        <f t="shared" si="118"/>
        <v>542.4</v>
      </c>
      <c r="X34" s="459"/>
      <c r="Y34" s="460">
        <v>542.4</v>
      </c>
      <c r="Z34" s="459"/>
      <c r="AA34" s="461"/>
      <c r="AB34" s="459">
        <f t="shared" si="119"/>
        <v>547.4</v>
      </c>
      <c r="AC34" s="459"/>
      <c r="AD34" s="460">
        <v>547.4</v>
      </c>
      <c r="AE34" s="459"/>
      <c r="AF34" s="461"/>
      <c r="AG34" s="459">
        <f t="shared" si="120"/>
        <v>547.4</v>
      </c>
      <c r="AH34" s="459"/>
      <c r="AI34" s="460">
        <v>547.4</v>
      </c>
      <c r="AJ34" s="459"/>
      <c r="AK34" s="461"/>
      <c r="AL34" s="459">
        <f t="shared" si="121"/>
        <v>238</v>
      </c>
      <c r="AM34" s="459"/>
      <c r="AN34" s="460">
        <v>238</v>
      </c>
      <c r="AO34" s="459"/>
      <c r="AP34" s="461"/>
      <c r="AQ34" s="383" t="s">
        <v>453</v>
      </c>
      <c r="AR34" s="459">
        <f t="shared" si="122"/>
        <v>542.4</v>
      </c>
      <c r="AS34" s="459"/>
      <c r="AT34" s="462">
        <v>542.4</v>
      </c>
      <c r="AU34" s="459"/>
      <c r="AV34" s="459"/>
      <c r="AW34" s="459" t="e">
        <f t="shared" si="123"/>
        <v>#REF!</v>
      </c>
      <c r="AX34" s="459" t="e">
        <f>#REF!-AS34</f>
        <v>#REF!</v>
      </c>
      <c r="AY34" s="459" t="e">
        <f>#REF!-AT34</f>
        <v>#REF!</v>
      </c>
      <c r="AZ34" s="459" t="e">
        <f>#REF!-AU34</f>
        <v>#REF!</v>
      </c>
      <c r="BA34" s="459" t="e">
        <f>#REF!-AV34</f>
        <v>#REF!</v>
      </c>
      <c r="BB34" s="459">
        <f t="shared" si="124"/>
        <v>547.4</v>
      </c>
      <c r="BC34" s="459"/>
      <c r="BD34" s="460">
        <f>238+309.4</f>
        <v>547.4</v>
      </c>
      <c r="BE34" s="459"/>
      <c r="BF34" s="459"/>
      <c r="BG34" s="459">
        <f t="shared" si="125"/>
        <v>0</v>
      </c>
      <c r="BH34" s="459"/>
      <c r="BI34" s="460"/>
      <c r="BJ34" s="459"/>
      <c r="BK34" s="459"/>
      <c r="BL34" s="459">
        <f t="shared" si="126"/>
        <v>542.4</v>
      </c>
      <c r="BM34" s="459"/>
      <c r="BN34" s="460">
        <v>542.4</v>
      </c>
      <c r="BO34" s="459"/>
      <c r="BP34" s="459"/>
      <c r="BQ34" s="459">
        <f t="shared" si="127"/>
        <v>542.4</v>
      </c>
      <c r="BR34" s="459"/>
      <c r="BS34" s="460">
        <v>542.4</v>
      </c>
      <c r="BT34" s="459"/>
      <c r="BU34" s="459"/>
      <c r="BV34" s="459">
        <f t="shared" si="128"/>
        <v>135.54606000000001</v>
      </c>
      <c r="BW34" s="459"/>
      <c r="BX34" s="459">
        <v>135.54606000000001</v>
      </c>
      <c r="BY34" s="459"/>
      <c r="BZ34" s="459"/>
      <c r="CA34" s="464">
        <f t="shared" si="129"/>
        <v>677.94605999999999</v>
      </c>
      <c r="CB34" s="459">
        <f t="shared" si="130"/>
        <v>677.94605999999999</v>
      </c>
      <c r="CC34" s="459">
        <f t="shared" si="131"/>
        <v>0</v>
      </c>
      <c r="CD34" s="459">
        <f t="shared" si="131"/>
        <v>677.94605999999999</v>
      </c>
      <c r="CE34" s="459">
        <f t="shared" si="131"/>
        <v>0</v>
      </c>
      <c r="CF34" s="459">
        <f t="shared" si="131"/>
        <v>0</v>
      </c>
      <c r="CG34" s="459">
        <f t="shared" si="132"/>
        <v>0</v>
      </c>
      <c r="CH34" s="459">
        <f t="shared" si="133"/>
        <v>0</v>
      </c>
      <c r="CI34" s="459">
        <f t="shared" si="133"/>
        <v>0</v>
      </c>
      <c r="CJ34" s="459">
        <f t="shared" si="133"/>
        <v>0</v>
      </c>
      <c r="CK34" s="459">
        <f t="shared" si="133"/>
        <v>0</v>
      </c>
      <c r="CL34" s="465"/>
      <c r="CM34" s="466"/>
      <c r="CN34" s="466"/>
      <c r="CO34" s="459">
        <f t="shared" si="134"/>
        <v>0</v>
      </c>
      <c r="CP34" s="459"/>
      <c r="CQ34" s="460"/>
      <c r="CR34" s="459"/>
      <c r="CS34" s="459"/>
      <c r="CT34" s="459">
        <f t="shared" si="135"/>
        <v>0</v>
      </c>
      <c r="CU34" s="459"/>
      <c r="CV34" s="460"/>
      <c r="CW34" s="459"/>
      <c r="CX34" s="459"/>
      <c r="CY34" s="459">
        <f t="shared" si="136"/>
        <v>0</v>
      </c>
      <c r="CZ34" s="459">
        <f t="shared" si="137"/>
        <v>0</v>
      </c>
      <c r="DA34" s="459">
        <f t="shared" si="137"/>
        <v>0</v>
      </c>
      <c r="DB34" s="459">
        <f t="shared" si="137"/>
        <v>0</v>
      </c>
      <c r="DC34" s="459">
        <f t="shared" si="137"/>
        <v>0</v>
      </c>
      <c r="DD34" s="459"/>
      <c r="DE34" s="459"/>
      <c r="DF34" s="459"/>
      <c r="DG34" s="459">
        <f t="shared" si="138"/>
        <v>0</v>
      </c>
      <c r="DH34" s="467"/>
      <c r="DI34" s="459">
        <f t="shared" si="139"/>
        <v>542.4</v>
      </c>
      <c r="DJ34" s="459">
        <f t="shared" si="140"/>
        <v>542.4</v>
      </c>
      <c r="DK34" s="467"/>
      <c r="DL34" s="459"/>
      <c r="DM34" s="459"/>
      <c r="DN34" s="467"/>
      <c r="DO34" s="459"/>
      <c r="DP34" s="467"/>
      <c r="DQ34" s="467"/>
      <c r="DR34" s="459">
        <f t="shared" si="8"/>
        <v>542.4</v>
      </c>
      <c r="DS34" s="459"/>
      <c r="DT34" s="460">
        <v>542.4</v>
      </c>
      <c r="DU34" s="459"/>
      <c r="DV34" s="459"/>
      <c r="DW34" s="459">
        <f t="shared" si="11"/>
        <v>135.54606000000001</v>
      </c>
      <c r="DX34" s="459"/>
      <c r="DY34" s="459">
        <v>135.54606000000001</v>
      </c>
      <c r="DZ34" s="459"/>
      <c r="EA34" s="146"/>
      <c r="EB34" s="279"/>
      <c r="EC34" s="279"/>
      <c r="ED34" s="279"/>
      <c r="EE34" s="366"/>
      <c r="EF34" s="366"/>
      <c r="EG34" s="279"/>
      <c r="EH34" s="279"/>
      <c r="EI34" s="279"/>
      <c r="EJ34" s="366"/>
      <c r="EK34" s="366"/>
      <c r="EL34" s="366">
        <v>2.1100000000000001E-2</v>
      </c>
      <c r="EM34" s="280"/>
      <c r="EN34" s="279"/>
      <c r="EO34" s="265" t="e">
        <f t="shared" si="141"/>
        <v>#DIV/0!</v>
      </c>
      <c r="EP34" s="323">
        <f t="shared" si="46"/>
        <v>677.94605999999999</v>
      </c>
      <c r="EQ34" s="323">
        <f t="shared" si="83"/>
        <v>542.4</v>
      </c>
      <c r="ER34" s="323">
        <v>135.54606000000001</v>
      </c>
      <c r="ES34" s="358">
        <f t="shared" si="142"/>
        <v>0.80006365108162147</v>
      </c>
      <c r="ET34" s="358">
        <f t="shared" si="143"/>
        <v>0.19993634891837858</v>
      </c>
      <c r="EU34" s="323">
        <f t="shared" si="49"/>
        <v>677.94605999999999</v>
      </c>
      <c r="EV34" s="323">
        <f t="shared" si="144"/>
        <v>542.4</v>
      </c>
      <c r="EW34" s="323">
        <f t="shared" si="145"/>
        <v>135.54606000000001</v>
      </c>
      <c r="EX34" s="358">
        <f t="shared" si="146"/>
        <v>0.80006365108162147</v>
      </c>
      <c r="EY34" s="358">
        <f t="shared" si="147"/>
        <v>0.19993634891837858</v>
      </c>
      <c r="EZ34" s="358">
        <v>7.0400000000000004E-2</v>
      </c>
      <c r="FA34" s="323">
        <f t="shared" si="90"/>
        <v>542.4</v>
      </c>
      <c r="FB34" s="323">
        <f t="shared" si="51"/>
        <v>0</v>
      </c>
      <c r="FC34" s="279"/>
      <c r="FD34" s="279"/>
      <c r="FE34" s="279"/>
      <c r="FF34" s="366"/>
      <c r="FG34" s="366"/>
      <c r="FH34" s="279"/>
      <c r="FI34" s="279"/>
      <c r="FJ34" s="279"/>
      <c r="FK34" s="366"/>
      <c r="FL34" s="366"/>
      <c r="FM34" s="366">
        <v>7.0400000000000004E-2</v>
      </c>
      <c r="FN34" s="280"/>
      <c r="FO34" s="279"/>
    </row>
    <row r="35" spans="2:171" s="40" customFormat="1" ht="15.75" customHeight="1" x14ac:dyDescent="0.25">
      <c r="B35" s="32"/>
      <c r="C35" s="33"/>
      <c r="D35" s="33">
        <v>1</v>
      </c>
      <c r="E35" s="434">
        <v>25</v>
      </c>
      <c r="F35" s="32"/>
      <c r="G35" s="33"/>
      <c r="H35" s="33">
        <v>1</v>
      </c>
      <c r="M35" s="434">
        <v>25</v>
      </c>
      <c r="N35" s="435" t="s">
        <v>84</v>
      </c>
      <c r="O35" s="435"/>
      <c r="P35" s="24">
        <f t="shared" si="29"/>
        <v>0</v>
      </c>
      <c r="Q35" s="435" t="s">
        <v>491</v>
      </c>
      <c r="R35" s="435" t="s">
        <v>488</v>
      </c>
      <c r="S35" s="435"/>
      <c r="T35" s="435"/>
      <c r="U35" s="161">
        <v>1</v>
      </c>
      <c r="V35" s="434"/>
      <c r="W35" s="459">
        <f t="shared" si="118"/>
        <v>186.2</v>
      </c>
      <c r="X35" s="459"/>
      <c r="Y35" s="460">
        <v>186.2</v>
      </c>
      <c r="Z35" s="459"/>
      <c r="AA35" s="461"/>
      <c r="AB35" s="459">
        <f t="shared" si="119"/>
        <v>188.6</v>
      </c>
      <c r="AC35" s="459"/>
      <c r="AD35" s="460">
        <v>188.6</v>
      </c>
      <c r="AE35" s="459"/>
      <c r="AF35" s="461"/>
      <c r="AG35" s="459">
        <f t="shared" si="120"/>
        <v>188.6</v>
      </c>
      <c r="AH35" s="459"/>
      <c r="AI35" s="460">
        <v>188.6</v>
      </c>
      <c r="AJ35" s="459"/>
      <c r="AK35" s="461"/>
      <c r="AL35" s="459">
        <f t="shared" si="121"/>
        <v>82</v>
      </c>
      <c r="AM35" s="459"/>
      <c r="AN35" s="460">
        <v>82</v>
      </c>
      <c r="AO35" s="459"/>
      <c r="AP35" s="461"/>
      <c r="AQ35" s="398" t="s">
        <v>409</v>
      </c>
      <c r="AR35" s="459">
        <f t="shared" si="122"/>
        <v>186.2</v>
      </c>
      <c r="AS35" s="459"/>
      <c r="AT35" s="462">
        <v>186.2</v>
      </c>
      <c r="AU35" s="459"/>
      <c r="AV35" s="461"/>
      <c r="AW35" s="459" t="e">
        <f t="shared" si="123"/>
        <v>#REF!</v>
      </c>
      <c r="AX35" s="459" t="e">
        <f>#REF!-AS35</f>
        <v>#REF!</v>
      </c>
      <c r="AY35" s="459" t="e">
        <f>#REF!-AT35</f>
        <v>#REF!</v>
      </c>
      <c r="AZ35" s="459" t="e">
        <f>#REF!-AU35</f>
        <v>#REF!</v>
      </c>
      <c r="BA35" s="459" t="e">
        <f>#REF!-AV35</f>
        <v>#REF!</v>
      </c>
      <c r="BB35" s="459">
        <f t="shared" si="124"/>
        <v>188.6</v>
      </c>
      <c r="BC35" s="459"/>
      <c r="BD35" s="460">
        <f>82+106.6</f>
        <v>188.6</v>
      </c>
      <c r="BE35" s="459"/>
      <c r="BF35" s="461"/>
      <c r="BG35" s="459">
        <f t="shared" si="125"/>
        <v>0</v>
      </c>
      <c r="BH35" s="459"/>
      <c r="BI35" s="460"/>
      <c r="BJ35" s="459"/>
      <c r="BK35" s="461"/>
      <c r="BL35" s="459">
        <f t="shared" si="126"/>
        <v>186.2</v>
      </c>
      <c r="BM35" s="459"/>
      <c r="BN35" s="462">
        <v>186.2</v>
      </c>
      <c r="BO35" s="459"/>
      <c r="BP35" s="470"/>
      <c r="BQ35" s="459">
        <f t="shared" si="127"/>
        <v>186.2</v>
      </c>
      <c r="BR35" s="459"/>
      <c r="BS35" s="462">
        <v>186.2</v>
      </c>
      <c r="BT35" s="459"/>
      <c r="BU35" s="470"/>
      <c r="BV35" s="459">
        <f t="shared" si="128"/>
        <v>50</v>
      </c>
      <c r="BW35" s="459"/>
      <c r="BX35" s="459">
        <v>50</v>
      </c>
      <c r="BY35" s="459"/>
      <c r="BZ35" s="459"/>
      <c r="CA35" s="464">
        <f t="shared" si="129"/>
        <v>236.2</v>
      </c>
      <c r="CB35" s="459">
        <f t="shared" si="130"/>
        <v>236.2</v>
      </c>
      <c r="CC35" s="459">
        <f t="shared" si="131"/>
        <v>0</v>
      </c>
      <c r="CD35" s="459">
        <f t="shared" si="131"/>
        <v>236.2</v>
      </c>
      <c r="CE35" s="459">
        <f t="shared" si="131"/>
        <v>0</v>
      </c>
      <c r="CF35" s="459">
        <f t="shared" si="131"/>
        <v>0</v>
      </c>
      <c r="CG35" s="459">
        <f t="shared" si="132"/>
        <v>0</v>
      </c>
      <c r="CH35" s="459">
        <f t="shared" si="133"/>
        <v>0</v>
      </c>
      <c r="CI35" s="459">
        <f t="shared" si="133"/>
        <v>0</v>
      </c>
      <c r="CJ35" s="459">
        <f t="shared" si="133"/>
        <v>0</v>
      </c>
      <c r="CK35" s="459">
        <f t="shared" si="133"/>
        <v>0</v>
      </c>
      <c r="CL35" s="465"/>
      <c r="CM35" s="466"/>
      <c r="CN35" s="466"/>
      <c r="CO35" s="459">
        <f t="shared" si="134"/>
        <v>0</v>
      </c>
      <c r="CP35" s="459"/>
      <c r="CQ35" s="460"/>
      <c r="CR35" s="459"/>
      <c r="CS35" s="461"/>
      <c r="CT35" s="459">
        <f t="shared" si="135"/>
        <v>0</v>
      </c>
      <c r="CU35" s="459"/>
      <c r="CV35" s="460"/>
      <c r="CW35" s="459"/>
      <c r="CX35" s="461"/>
      <c r="CY35" s="459">
        <f t="shared" si="136"/>
        <v>0</v>
      </c>
      <c r="CZ35" s="459">
        <f t="shared" si="137"/>
        <v>0</v>
      </c>
      <c r="DA35" s="459">
        <f t="shared" si="137"/>
        <v>0</v>
      </c>
      <c r="DB35" s="459">
        <f t="shared" si="137"/>
        <v>0</v>
      </c>
      <c r="DC35" s="459">
        <f t="shared" si="137"/>
        <v>0</v>
      </c>
      <c r="DD35" s="459"/>
      <c r="DE35" s="459"/>
      <c r="DF35" s="459"/>
      <c r="DG35" s="459">
        <f t="shared" si="138"/>
        <v>0</v>
      </c>
      <c r="DH35" s="467"/>
      <c r="DI35" s="459">
        <f t="shared" si="139"/>
        <v>186.2</v>
      </c>
      <c r="DJ35" s="459">
        <f t="shared" si="140"/>
        <v>186.2</v>
      </c>
      <c r="DK35" s="467"/>
      <c r="DL35" s="459"/>
      <c r="DM35" s="459"/>
      <c r="DN35" s="467"/>
      <c r="DO35" s="459"/>
      <c r="DP35" s="467"/>
      <c r="DQ35" s="467"/>
      <c r="DR35" s="459">
        <f t="shared" si="8"/>
        <v>186.2</v>
      </c>
      <c r="DS35" s="459"/>
      <c r="DT35" s="460">
        <v>186.2</v>
      </c>
      <c r="DU35" s="459"/>
      <c r="DV35" s="470"/>
      <c r="DW35" s="459">
        <f t="shared" si="11"/>
        <v>50</v>
      </c>
      <c r="DX35" s="459"/>
      <c r="DY35" s="459">
        <v>50</v>
      </c>
      <c r="DZ35" s="459"/>
      <c r="EA35" s="146"/>
      <c r="EB35" s="279"/>
      <c r="EC35" s="279"/>
      <c r="ED35" s="279"/>
      <c r="EE35" s="366"/>
      <c r="EF35" s="366"/>
      <c r="EG35" s="279"/>
      <c r="EH35" s="279"/>
      <c r="EI35" s="279"/>
      <c r="EJ35" s="366"/>
      <c r="EK35" s="366"/>
      <c r="EL35" s="366">
        <v>2.4799999999999999E-2</v>
      </c>
      <c r="EM35" s="280"/>
      <c r="EN35" s="279"/>
      <c r="EO35" s="265" t="e">
        <f t="shared" si="141"/>
        <v>#DIV/0!</v>
      </c>
      <c r="EP35" s="323">
        <f t="shared" si="46"/>
        <v>236.2</v>
      </c>
      <c r="EQ35" s="323">
        <f t="shared" si="83"/>
        <v>186.2</v>
      </c>
      <c r="ER35" s="323">
        <v>50</v>
      </c>
      <c r="ES35" s="358">
        <f t="shared" si="142"/>
        <v>0.78831498729889926</v>
      </c>
      <c r="ET35" s="358">
        <f t="shared" si="143"/>
        <v>0.21168501270110077</v>
      </c>
      <c r="EU35" s="323">
        <f t="shared" si="49"/>
        <v>236.2</v>
      </c>
      <c r="EV35" s="323">
        <f t="shared" si="144"/>
        <v>186.2</v>
      </c>
      <c r="EW35" s="323">
        <f t="shared" si="145"/>
        <v>50</v>
      </c>
      <c r="EX35" s="358">
        <f t="shared" si="146"/>
        <v>0.78831498729889926</v>
      </c>
      <c r="EY35" s="358">
        <f t="shared" si="147"/>
        <v>0.21168501270110077</v>
      </c>
      <c r="EZ35" s="358">
        <v>8.2799999999999999E-2</v>
      </c>
      <c r="FA35" s="323">
        <f t="shared" si="90"/>
        <v>186.2</v>
      </c>
      <c r="FB35" s="323">
        <f t="shared" si="51"/>
        <v>0</v>
      </c>
      <c r="FC35" s="279"/>
      <c r="FD35" s="279"/>
      <c r="FE35" s="279"/>
      <c r="FF35" s="366"/>
      <c r="FG35" s="366"/>
      <c r="FH35" s="279"/>
      <c r="FI35" s="279"/>
      <c r="FJ35" s="279"/>
      <c r="FK35" s="366"/>
      <c r="FL35" s="366"/>
      <c r="FM35" s="366">
        <v>8.2799999999999999E-2</v>
      </c>
      <c r="FN35" s="280"/>
      <c r="FO35" s="279"/>
    </row>
    <row r="36" spans="2:171" s="40" customFormat="1" ht="15.6" customHeight="1" x14ac:dyDescent="0.25">
      <c r="B36" s="32"/>
      <c r="C36" s="33"/>
      <c r="D36" s="33">
        <v>1</v>
      </c>
      <c r="E36" s="434">
        <v>26</v>
      </c>
      <c r="F36" s="32"/>
      <c r="G36" s="33"/>
      <c r="H36" s="33">
        <v>1</v>
      </c>
      <c r="M36" s="434">
        <v>26</v>
      </c>
      <c r="N36" s="435" t="s">
        <v>85</v>
      </c>
      <c r="O36" s="435"/>
      <c r="P36" s="68">
        <f t="shared" si="29"/>
        <v>40161.834000000003</v>
      </c>
      <c r="Q36" s="435" t="s">
        <v>537</v>
      </c>
      <c r="R36" s="435" t="s">
        <v>488</v>
      </c>
      <c r="S36" s="435" t="s">
        <v>537</v>
      </c>
      <c r="T36" s="435" t="s">
        <v>499</v>
      </c>
      <c r="U36" s="161">
        <v>2</v>
      </c>
      <c r="V36" s="434">
        <v>2</v>
      </c>
      <c r="W36" s="459">
        <f t="shared" si="118"/>
        <v>40642.834000000003</v>
      </c>
      <c r="X36" s="470">
        <f>70154.909-28502.67-1490.405</f>
        <v>40161.834000000003</v>
      </c>
      <c r="Y36" s="460">
        <v>481</v>
      </c>
      <c r="Z36" s="459"/>
      <c r="AA36" s="461"/>
      <c r="AB36" s="459">
        <f t="shared" si="119"/>
        <v>5535.3</v>
      </c>
      <c r="AC36" s="461">
        <v>5050</v>
      </c>
      <c r="AD36" s="460">
        <v>485.3</v>
      </c>
      <c r="AE36" s="459"/>
      <c r="AF36" s="461"/>
      <c r="AG36" s="459">
        <f t="shared" si="120"/>
        <v>922.00199999999995</v>
      </c>
      <c r="AH36" s="461">
        <v>436.702</v>
      </c>
      <c r="AI36" s="460">
        <v>485.3</v>
      </c>
      <c r="AJ36" s="459"/>
      <c r="AK36" s="461"/>
      <c r="AL36" s="459">
        <f t="shared" si="121"/>
        <v>647.702</v>
      </c>
      <c r="AM36" s="461">
        <v>436.702</v>
      </c>
      <c r="AN36" s="460">
        <v>211</v>
      </c>
      <c r="AO36" s="459"/>
      <c r="AP36" s="461"/>
      <c r="AQ36" s="398" t="s">
        <v>568</v>
      </c>
      <c r="AR36" s="459">
        <f t="shared" si="122"/>
        <v>40642.834000000003</v>
      </c>
      <c r="AS36" s="470">
        <v>40161.834000000003</v>
      </c>
      <c r="AT36" s="462">
        <v>481</v>
      </c>
      <c r="AU36" s="459"/>
      <c r="AV36" s="459"/>
      <c r="AW36" s="459" t="e">
        <f t="shared" si="123"/>
        <v>#REF!</v>
      </c>
      <c r="AX36" s="459" t="e">
        <f>#REF!-AS36</f>
        <v>#REF!</v>
      </c>
      <c r="AY36" s="459" t="e">
        <f>#REF!-AT36</f>
        <v>#REF!</v>
      </c>
      <c r="AZ36" s="459" t="e">
        <f>#REF!-AU36</f>
        <v>#REF!</v>
      </c>
      <c r="BA36" s="459" t="e">
        <f>#REF!-AV36</f>
        <v>#REF!</v>
      </c>
      <c r="BB36" s="459">
        <f t="shared" si="124"/>
        <v>485.3</v>
      </c>
      <c r="BC36" s="459"/>
      <c r="BD36" s="460">
        <v>485.3</v>
      </c>
      <c r="BE36" s="459"/>
      <c r="BF36" s="459"/>
      <c r="BG36" s="459">
        <f t="shared" si="125"/>
        <v>0</v>
      </c>
      <c r="BH36" s="459"/>
      <c r="BI36" s="460"/>
      <c r="BJ36" s="459"/>
      <c r="BK36" s="459"/>
      <c r="BL36" s="459">
        <f t="shared" si="126"/>
        <v>40642.834000000003</v>
      </c>
      <c r="BM36" s="470">
        <v>40161.834000000003</v>
      </c>
      <c r="BN36" s="460">
        <f>382.0102+98.9898</f>
        <v>481</v>
      </c>
      <c r="BO36" s="459"/>
      <c r="BP36" s="459"/>
      <c r="BQ36" s="459">
        <f t="shared" si="127"/>
        <v>481</v>
      </c>
      <c r="BR36" s="470"/>
      <c r="BS36" s="460">
        <f>382.0102+98.9898</f>
        <v>481</v>
      </c>
      <c r="BT36" s="459"/>
      <c r="BU36" s="459"/>
      <c r="BV36" s="459">
        <f t="shared" si="128"/>
        <v>111.35012</v>
      </c>
      <c r="BW36" s="459"/>
      <c r="BX36" s="459">
        <f>88.43387+22.91625</f>
        <v>111.35012</v>
      </c>
      <c r="BY36" s="459"/>
      <c r="BZ36" s="459"/>
      <c r="CA36" s="464">
        <f t="shared" si="129"/>
        <v>592.35012000000006</v>
      </c>
      <c r="CB36" s="459">
        <f t="shared" si="130"/>
        <v>592.35012000000006</v>
      </c>
      <c r="CC36" s="459">
        <f t="shared" si="131"/>
        <v>0</v>
      </c>
      <c r="CD36" s="459">
        <f t="shared" si="131"/>
        <v>592.35012000000006</v>
      </c>
      <c r="CE36" s="459">
        <f t="shared" si="131"/>
        <v>0</v>
      </c>
      <c r="CF36" s="459">
        <f t="shared" si="131"/>
        <v>0</v>
      </c>
      <c r="CG36" s="459">
        <f t="shared" si="132"/>
        <v>40161.834000000003</v>
      </c>
      <c r="CH36" s="459">
        <f t="shared" si="133"/>
        <v>40161.834000000003</v>
      </c>
      <c r="CI36" s="459">
        <f t="shared" si="133"/>
        <v>0</v>
      </c>
      <c r="CJ36" s="459">
        <f t="shared" si="133"/>
        <v>0</v>
      </c>
      <c r="CK36" s="459">
        <f t="shared" si="133"/>
        <v>0</v>
      </c>
      <c r="CL36" s="465"/>
      <c r="CM36" s="466"/>
      <c r="CN36" s="466"/>
      <c r="CO36" s="459">
        <f t="shared" si="134"/>
        <v>0</v>
      </c>
      <c r="CP36" s="459"/>
      <c r="CQ36" s="460"/>
      <c r="CR36" s="459"/>
      <c r="CS36" s="459"/>
      <c r="CT36" s="459">
        <f t="shared" si="135"/>
        <v>0</v>
      </c>
      <c r="CU36" s="459"/>
      <c r="CV36" s="460"/>
      <c r="CW36" s="459"/>
      <c r="CX36" s="459"/>
      <c r="CY36" s="459">
        <f t="shared" si="136"/>
        <v>0</v>
      </c>
      <c r="CZ36" s="459">
        <f t="shared" si="137"/>
        <v>0</v>
      </c>
      <c r="DA36" s="459">
        <f t="shared" si="137"/>
        <v>0</v>
      </c>
      <c r="DB36" s="459">
        <f t="shared" si="137"/>
        <v>0</v>
      </c>
      <c r="DC36" s="459">
        <f t="shared" si="137"/>
        <v>0</v>
      </c>
      <c r="DD36" s="459"/>
      <c r="DE36" s="459"/>
      <c r="DF36" s="459"/>
      <c r="DG36" s="459">
        <f t="shared" si="138"/>
        <v>40161.834000000003</v>
      </c>
      <c r="DH36" s="467"/>
      <c r="DI36" s="459">
        <f t="shared" si="139"/>
        <v>40642.834000000003</v>
      </c>
      <c r="DJ36" s="459">
        <f t="shared" si="140"/>
        <v>481</v>
      </c>
      <c r="DK36" s="467"/>
      <c r="DL36" s="459"/>
      <c r="DM36" s="459"/>
      <c r="DN36" s="467"/>
      <c r="DO36" s="459"/>
      <c r="DP36" s="467"/>
      <c r="DQ36" s="467"/>
      <c r="DR36" s="459">
        <f t="shared" si="8"/>
        <v>481</v>
      </c>
      <c r="DS36" s="470"/>
      <c r="DT36" s="460">
        <f>382.0102+98.9898</f>
        <v>481</v>
      </c>
      <c r="DU36" s="459"/>
      <c r="DV36" s="459"/>
      <c r="DW36" s="459">
        <f t="shared" si="11"/>
        <v>111.35012</v>
      </c>
      <c r="DX36" s="459"/>
      <c r="DY36" s="459">
        <f>88.43387+22.91625</f>
        <v>111.35012</v>
      </c>
      <c r="DZ36" s="459"/>
      <c r="EA36" s="146"/>
      <c r="EB36" s="279">
        <f t="shared" ref="EB36" si="167">EC36+ED36</f>
        <v>41260.934000000001</v>
      </c>
      <c r="EC36" s="279">
        <f t="shared" si="28"/>
        <v>40161.834000000003</v>
      </c>
      <c r="ED36" s="279">
        <v>1099.0999999999999</v>
      </c>
      <c r="EE36" s="366">
        <f t="shared" ref="EE36" si="168">EC36/EB36</f>
        <v>0.97336221230474329</v>
      </c>
      <c r="EF36" s="366">
        <f t="shared" ref="EF36" si="169">ED36/EB36</f>
        <v>2.6637787695256727E-2</v>
      </c>
      <c r="EG36" s="279">
        <f t="shared" si="43"/>
        <v>0</v>
      </c>
      <c r="EH36" s="279">
        <f t="shared" ref="EH36:EH62" si="170">DS36</f>
        <v>0</v>
      </c>
      <c r="EI36" s="279">
        <f t="shared" ref="EI36:EI62" si="171">DX36</f>
        <v>0</v>
      </c>
      <c r="EJ36" s="366" t="e">
        <f t="shared" ref="EJ36" si="172">EH36/EG36</f>
        <v>#DIV/0!</v>
      </c>
      <c r="EK36" s="366" t="e">
        <f t="shared" ref="EK36" si="173">EI36/EG36</f>
        <v>#DIV/0!</v>
      </c>
      <c r="EL36" s="366">
        <v>2.0799999999999999E-2</v>
      </c>
      <c r="EM36" s="280">
        <f>EG36*EE36</f>
        <v>0</v>
      </c>
      <c r="EN36" s="279">
        <f>EH36-EM36</f>
        <v>0</v>
      </c>
      <c r="EO36" s="265" t="e">
        <f t="shared" si="141"/>
        <v>#DIV/0!</v>
      </c>
      <c r="EP36" s="323">
        <f t="shared" si="46"/>
        <v>592.35012000000006</v>
      </c>
      <c r="EQ36" s="323">
        <f t="shared" si="83"/>
        <v>481</v>
      </c>
      <c r="ER36" s="323">
        <v>111.35012</v>
      </c>
      <c r="ES36" s="358">
        <f t="shared" si="142"/>
        <v>0.81201975615367472</v>
      </c>
      <c r="ET36" s="358">
        <f t="shared" si="143"/>
        <v>0.1879802438463252</v>
      </c>
      <c r="EU36" s="323">
        <f t="shared" si="49"/>
        <v>592.35012000000006</v>
      </c>
      <c r="EV36" s="323">
        <f t="shared" si="144"/>
        <v>481</v>
      </c>
      <c r="EW36" s="323">
        <f t="shared" si="145"/>
        <v>111.35012</v>
      </c>
      <c r="EX36" s="358">
        <f t="shared" si="146"/>
        <v>0.81201975615367472</v>
      </c>
      <c r="EY36" s="358">
        <f t="shared" si="147"/>
        <v>0.1879802438463252</v>
      </c>
      <c r="EZ36" s="358">
        <v>6.9400000000000003E-2</v>
      </c>
      <c r="FA36" s="323">
        <f t="shared" si="90"/>
        <v>481</v>
      </c>
      <c r="FB36" s="323">
        <f t="shared" si="51"/>
        <v>0</v>
      </c>
      <c r="FC36" s="279"/>
      <c r="FD36" s="279"/>
      <c r="FE36" s="279"/>
      <c r="FF36" s="366"/>
      <c r="FG36" s="366"/>
      <c r="FH36" s="279"/>
      <c r="FI36" s="279"/>
      <c r="FJ36" s="279"/>
      <c r="FK36" s="366"/>
      <c r="FL36" s="366"/>
      <c r="FM36" s="366">
        <v>6.9400000000000003E-2</v>
      </c>
      <c r="FN36" s="280"/>
      <c r="FO36" s="279"/>
    </row>
    <row r="37" spans="2:171" s="40" customFormat="1" ht="15.6" customHeight="1" x14ac:dyDescent="0.25">
      <c r="B37" s="32"/>
      <c r="C37" s="33"/>
      <c r="D37" s="33">
        <v>1</v>
      </c>
      <c r="E37" s="434">
        <v>27</v>
      </c>
      <c r="F37" s="32"/>
      <c r="G37" s="33"/>
      <c r="H37" s="33">
        <v>1</v>
      </c>
      <c r="M37" s="434">
        <v>27</v>
      </c>
      <c r="N37" s="435" t="s">
        <v>86</v>
      </c>
      <c r="O37" s="435"/>
      <c r="P37" s="24">
        <f t="shared" si="29"/>
        <v>0</v>
      </c>
      <c r="Q37" s="435" t="s">
        <v>491</v>
      </c>
      <c r="R37" s="435" t="s">
        <v>488</v>
      </c>
      <c r="S37" s="435" t="s">
        <v>491</v>
      </c>
      <c r="T37" s="435" t="s">
        <v>488</v>
      </c>
      <c r="U37" s="161">
        <v>1</v>
      </c>
      <c r="V37" s="434"/>
      <c r="W37" s="459">
        <f t="shared" si="118"/>
        <v>270.2</v>
      </c>
      <c r="X37" s="459"/>
      <c r="Y37" s="460">
        <v>270.2</v>
      </c>
      <c r="Z37" s="459"/>
      <c r="AA37" s="461"/>
      <c r="AB37" s="459">
        <f t="shared" si="119"/>
        <v>273.7</v>
      </c>
      <c r="AC37" s="459"/>
      <c r="AD37" s="460">
        <v>273.7</v>
      </c>
      <c r="AE37" s="459"/>
      <c r="AF37" s="461"/>
      <c r="AG37" s="459">
        <f t="shared" si="120"/>
        <v>273.7</v>
      </c>
      <c r="AH37" s="459"/>
      <c r="AI37" s="460">
        <v>273.7</v>
      </c>
      <c r="AJ37" s="459"/>
      <c r="AK37" s="461"/>
      <c r="AL37" s="459">
        <f t="shared" si="121"/>
        <v>119</v>
      </c>
      <c r="AM37" s="459"/>
      <c r="AN37" s="460">
        <v>119</v>
      </c>
      <c r="AO37" s="459"/>
      <c r="AP37" s="461"/>
      <c r="AQ37" s="398" t="s">
        <v>368</v>
      </c>
      <c r="AR37" s="459">
        <f t="shared" si="122"/>
        <v>270.2</v>
      </c>
      <c r="AS37" s="459"/>
      <c r="AT37" s="462">
        <v>270.2</v>
      </c>
      <c r="AU37" s="459"/>
      <c r="AV37" s="459"/>
      <c r="AW37" s="459" t="e">
        <f t="shared" si="123"/>
        <v>#REF!</v>
      </c>
      <c r="AX37" s="459" t="e">
        <f>#REF!-AS37</f>
        <v>#REF!</v>
      </c>
      <c r="AY37" s="459" t="e">
        <f>#REF!-AT37</f>
        <v>#REF!</v>
      </c>
      <c r="AZ37" s="459" t="e">
        <f>#REF!-AU37</f>
        <v>#REF!</v>
      </c>
      <c r="BA37" s="459" t="e">
        <f>#REF!-AV37</f>
        <v>#REF!</v>
      </c>
      <c r="BB37" s="459">
        <f t="shared" si="124"/>
        <v>273.7</v>
      </c>
      <c r="BC37" s="459"/>
      <c r="BD37" s="460">
        <v>273.7</v>
      </c>
      <c r="BE37" s="459"/>
      <c r="BF37" s="459"/>
      <c r="BG37" s="459">
        <f t="shared" si="125"/>
        <v>0</v>
      </c>
      <c r="BH37" s="459"/>
      <c r="BI37" s="460"/>
      <c r="BJ37" s="459"/>
      <c r="BK37" s="459"/>
      <c r="BL37" s="459">
        <f t="shared" si="126"/>
        <v>270.2</v>
      </c>
      <c r="BM37" s="459"/>
      <c r="BN37" s="462">
        <v>270.2</v>
      </c>
      <c r="BO37" s="459"/>
      <c r="BP37" s="459"/>
      <c r="BQ37" s="459">
        <f t="shared" si="127"/>
        <v>270.2</v>
      </c>
      <c r="BR37" s="459"/>
      <c r="BS37" s="462">
        <v>270.2</v>
      </c>
      <c r="BT37" s="459"/>
      <c r="BU37" s="459"/>
      <c r="BV37" s="459">
        <f t="shared" si="128"/>
        <v>594.03899999999999</v>
      </c>
      <c r="BW37" s="459"/>
      <c r="BX37" s="470">
        <v>594.03899999999999</v>
      </c>
      <c r="BY37" s="459"/>
      <c r="BZ37" s="459"/>
      <c r="CA37" s="464">
        <f t="shared" si="129"/>
        <v>864.23900000000003</v>
      </c>
      <c r="CB37" s="459">
        <f t="shared" si="130"/>
        <v>864.23900000000003</v>
      </c>
      <c r="CC37" s="459">
        <f t="shared" si="131"/>
        <v>0</v>
      </c>
      <c r="CD37" s="459">
        <f t="shared" si="131"/>
        <v>864.23900000000003</v>
      </c>
      <c r="CE37" s="459">
        <f t="shared" si="131"/>
        <v>0</v>
      </c>
      <c r="CF37" s="459">
        <f t="shared" si="131"/>
        <v>0</v>
      </c>
      <c r="CG37" s="459">
        <f t="shared" si="132"/>
        <v>0</v>
      </c>
      <c r="CH37" s="459">
        <f t="shared" si="133"/>
        <v>0</v>
      </c>
      <c r="CI37" s="459">
        <f t="shared" si="133"/>
        <v>0</v>
      </c>
      <c r="CJ37" s="459">
        <f t="shared" si="133"/>
        <v>0</v>
      </c>
      <c r="CK37" s="459">
        <f t="shared" si="133"/>
        <v>0</v>
      </c>
      <c r="CL37" s="465"/>
      <c r="CM37" s="466"/>
      <c r="CN37" s="466"/>
      <c r="CO37" s="459">
        <f t="shared" si="134"/>
        <v>0</v>
      </c>
      <c r="CP37" s="459"/>
      <c r="CQ37" s="460"/>
      <c r="CR37" s="459"/>
      <c r="CS37" s="459"/>
      <c r="CT37" s="459">
        <f t="shared" si="135"/>
        <v>0</v>
      </c>
      <c r="CU37" s="459"/>
      <c r="CV37" s="460"/>
      <c r="CW37" s="459"/>
      <c r="CX37" s="459"/>
      <c r="CY37" s="459">
        <f t="shared" si="136"/>
        <v>0</v>
      </c>
      <c r="CZ37" s="459">
        <f t="shared" si="137"/>
        <v>0</v>
      </c>
      <c r="DA37" s="459">
        <f t="shared" si="137"/>
        <v>0</v>
      </c>
      <c r="DB37" s="459">
        <f t="shared" si="137"/>
        <v>0</v>
      </c>
      <c r="DC37" s="459">
        <f t="shared" si="137"/>
        <v>0</v>
      </c>
      <c r="DD37" s="459"/>
      <c r="DE37" s="459"/>
      <c r="DF37" s="459"/>
      <c r="DG37" s="459">
        <f t="shared" si="138"/>
        <v>0</v>
      </c>
      <c r="DH37" s="467"/>
      <c r="DI37" s="459">
        <f t="shared" si="139"/>
        <v>270.2</v>
      </c>
      <c r="DJ37" s="459">
        <f t="shared" si="140"/>
        <v>270.2</v>
      </c>
      <c r="DK37" s="467"/>
      <c r="DL37" s="459"/>
      <c r="DM37" s="459"/>
      <c r="DN37" s="467"/>
      <c r="DO37" s="459"/>
      <c r="DP37" s="467"/>
      <c r="DQ37" s="467"/>
      <c r="DR37" s="459">
        <f t="shared" si="8"/>
        <v>270.2</v>
      </c>
      <c r="DS37" s="459"/>
      <c r="DT37" s="462">
        <v>270.2</v>
      </c>
      <c r="DU37" s="459"/>
      <c r="DV37" s="459"/>
      <c r="DW37" s="459">
        <f t="shared" si="11"/>
        <v>594.03899999999999</v>
      </c>
      <c r="DX37" s="459"/>
      <c r="DY37" s="470">
        <v>594.03899999999999</v>
      </c>
      <c r="DZ37" s="459"/>
      <c r="EA37" s="146"/>
      <c r="EB37" s="279"/>
      <c r="EC37" s="279"/>
      <c r="ED37" s="281"/>
      <c r="EE37" s="366"/>
      <c r="EF37" s="366"/>
      <c r="EG37" s="279"/>
      <c r="EH37" s="279"/>
      <c r="EI37" s="281"/>
      <c r="EJ37" s="366"/>
      <c r="EK37" s="366"/>
      <c r="EL37" s="366">
        <v>2.4299999999999999E-2</v>
      </c>
      <c r="EM37" s="280"/>
      <c r="EN37" s="279"/>
      <c r="EO37" s="265" t="e">
        <f t="shared" si="141"/>
        <v>#DIV/0!</v>
      </c>
      <c r="EP37" s="323">
        <f t="shared" si="46"/>
        <v>864.23900000000003</v>
      </c>
      <c r="EQ37" s="323">
        <f t="shared" si="83"/>
        <v>270.2</v>
      </c>
      <c r="ER37" s="324">
        <v>594.03899999999999</v>
      </c>
      <c r="ES37" s="358">
        <f t="shared" si="142"/>
        <v>0.31264499750647678</v>
      </c>
      <c r="ET37" s="358">
        <f t="shared" si="143"/>
        <v>0.68735500249352322</v>
      </c>
      <c r="EU37" s="323">
        <f t="shared" si="49"/>
        <v>864.23900000000003</v>
      </c>
      <c r="EV37" s="323">
        <f t="shared" si="144"/>
        <v>270.2</v>
      </c>
      <c r="EW37" s="324">
        <f t="shared" si="145"/>
        <v>594.03899999999999</v>
      </c>
      <c r="EX37" s="358">
        <f t="shared" si="146"/>
        <v>0.31264499750647678</v>
      </c>
      <c r="EY37" s="358">
        <f t="shared" si="147"/>
        <v>0.68735500249352322</v>
      </c>
      <c r="EZ37" s="358">
        <v>8.1100000000000005E-2</v>
      </c>
      <c r="FA37" s="323">
        <f t="shared" si="90"/>
        <v>270.2</v>
      </c>
      <c r="FB37" s="323">
        <f t="shared" si="51"/>
        <v>0</v>
      </c>
      <c r="FC37" s="279"/>
      <c r="FD37" s="279"/>
      <c r="FE37" s="281"/>
      <c r="FF37" s="366"/>
      <c r="FG37" s="366"/>
      <c r="FH37" s="279"/>
      <c r="FI37" s="279"/>
      <c r="FJ37" s="281"/>
      <c r="FK37" s="366"/>
      <c r="FL37" s="366"/>
      <c r="FM37" s="366">
        <v>8.1100000000000005E-2</v>
      </c>
      <c r="FN37" s="280"/>
      <c r="FO37" s="279"/>
    </row>
    <row r="38" spans="2:171" s="40" customFormat="1" ht="15.75" customHeight="1" x14ac:dyDescent="0.25">
      <c r="B38" s="32"/>
      <c r="C38" s="33"/>
      <c r="D38" s="33">
        <v>1</v>
      </c>
      <c r="E38" s="434">
        <v>28</v>
      </c>
      <c r="F38" s="32"/>
      <c r="G38" s="33"/>
      <c r="H38" s="33">
        <v>1</v>
      </c>
      <c r="M38" s="434">
        <v>28</v>
      </c>
      <c r="N38" s="435" t="s">
        <v>87</v>
      </c>
      <c r="O38" s="435"/>
      <c r="P38" s="24">
        <f t="shared" si="29"/>
        <v>0</v>
      </c>
      <c r="Q38" s="435" t="s">
        <v>574</v>
      </c>
      <c r="R38" s="435" t="s">
        <v>488</v>
      </c>
      <c r="S38" s="435"/>
      <c r="T38" s="435"/>
      <c r="U38" s="161">
        <v>1</v>
      </c>
      <c r="V38" s="434"/>
      <c r="W38" s="459">
        <f t="shared" si="118"/>
        <v>194.4</v>
      </c>
      <c r="X38" s="459"/>
      <c r="Y38" s="460">
        <v>194.4</v>
      </c>
      <c r="Z38" s="459"/>
      <c r="AA38" s="461"/>
      <c r="AB38" s="459">
        <f t="shared" si="119"/>
        <v>0</v>
      </c>
      <c r="AC38" s="459"/>
      <c r="AD38" s="460">
        <v>0</v>
      </c>
      <c r="AE38" s="459"/>
      <c r="AF38" s="461"/>
      <c r="AG38" s="459">
        <f t="shared" si="120"/>
        <v>0</v>
      </c>
      <c r="AH38" s="459"/>
      <c r="AI38" s="460">
        <v>0</v>
      </c>
      <c r="AJ38" s="459"/>
      <c r="AK38" s="461"/>
      <c r="AL38" s="459">
        <f t="shared" si="121"/>
        <v>85</v>
      </c>
      <c r="AM38" s="459"/>
      <c r="AN38" s="460">
        <v>85</v>
      </c>
      <c r="AO38" s="459"/>
      <c r="AP38" s="461"/>
      <c r="AQ38" s="383" t="s">
        <v>414</v>
      </c>
      <c r="AR38" s="459">
        <f t="shared" si="122"/>
        <v>194.4</v>
      </c>
      <c r="AS38" s="459"/>
      <c r="AT38" s="462">
        <v>194.4</v>
      </c>
      <c r="AU38" s="459"/>
      <c r="AV38" s="459"/>
      <c r="AW38" s="459" t="e">
        <f t="shared" si="123"/>
        <v>#REF!</v>
      </c>
      <c r="AX38" s="459" t="e">
        <f>#REF!-AS38</f>
        <v>#REF!</v>
      </c>
      <c r="AY38" s="459" t="e">
        <f>#REF!-AT38</f>
        <v>#REF!</v>
      </c>
      <c r="AZ38" s="459" t="e">
        <f>#REF!-AU38</f>
        <v>#REF!</v>
      </c>
      <c r="BA38" s="459" t="e">
        <f>#REF!-AV38</f>
        <v>#REF!</v>
      </c>
      <c r="BB38" s="459">
        <f t="shared" si="124"/>
        <v>0</v>
      </c>
      <c r="BC38" s="459"/>
      <c r="BD38" s="460"/>
      <c r="BE38" s="459"/>
      <c r="BF38" s="459"/>
      <c r="BG38" s="459">
        <f t="shared" si="125"/>
        <v>0</v>
      </c>
      <c r="BH38" s="459"/>
      <c r="BI38" s="460"/>
      <c r="BJ38" s="459"/>
      <c r="BK38" s="459"/>
      <c r="BL38" s="459">
        <f t="shared" si="126"/>
        <v>147.744</v>
      </c>
      <c r="BM38" s="459"/>
      <c r="BN38" s="470">
        <v>147.744</v>
      </c>
      <c r="BO38" s="459"/>
      <c r="BP38" s="459"/>
      <c r="BQ38" s="459">
        <f t="shared" si="127"/>
        <v>147.744</v>
      </c>
      <c r="BR38" s="459"/>
      <c r="BS38" s="470">
        <v>147.744</v>
      </c>
      <c r="BT38" s="459"/>
      <c r="BU38" s="459"/>
      <c r="BV38" s="459">
        <f t="shared" si="128"/>
        <v>505.46080000000001</v>
      </c>
      <c r="BW38" s="459"/>
      <c r="BX38" s="470">
        <v>505.46080000000001</v>
      </c>
      <c r="BY38" s="459"/>
      <c r="BZ38" s="459"/>
      <c r="CA38" s="464">
        <f t="shared" si="129"/>
        <v>653.20479999999998</v>
      </c>
      <c r="CB38" s="459">
        <f t="shared" si="130"/>
        <v>653.20479999999998</v>
      </c>
      <c r="CC38" s="459">
        <f t="shared" si="131"/>
        <v>0</v>
      </c>
      <c r="CD38" s="459">
        <f t="shared" si="131"/>
        <v>653.20479999999998</v>
      </c>
      <c r="CE38" s="459">
        <f t="shared" si="131"/>
        <v>0</v>
      </c>
      <c r="CF38" s="459">
        <f t="shared" si="131"/>
        <v>0</v>
      </c>
      <c r="CG38" s="459">
        <f t="shared" si="132"/>
        <v>0</v>
      </c>
      <c r="CH38" s="459">
        <f t="shared" si="133"/>
        <v>0</v>
      </c>
      <c r="CI38" s="459">
        <f t="shared" si="133"/>
        <v>0</v>
      </c>
      <c r="CJ38" s="459">
        <f t="shared" si="133"/>
        <v>0</v>
      </c>
      <c r="CK38" s="459">
        <f t="shared" si="133"/>
        <v>0</v>
      </c>
      <c r="CL38" s="465"/>
      <c r="CM38" s="466"/>
      <c r="CN38" s="466"/>
      <c r="CO38" s="459">
        <f t="shared" si="134"/>
        <v>0</v>
      </c>
      <c r="CP38" s="459"/>
      <c r="CQ38" s="460"/>
      <c r="CR38" s="459"/>
      <c r="CS38" s="459"/>
      <c r="CT38" s="459">
        <f t="shared" si="135"/>
        <v>0</v>
      </c>
      <c r="CU38" s="459"/>
      <c r="CV38" s="460"/>
      <c r="CW38" s="459"/>
      <c r="CX38" s="459"/>
      <c r="CY38" s="459">
        <f t="shared" si="136"/>
        <v>0</v>
      </c>
      <c r="CZ38" s="459">
        <f t="shared" si="137"/>
        <v>0</v>
      </c>
      <c r="DA38" s="459">
        <f t="shared" si="137"/>
        <v>0</v>
      </c>
      <c r="DB38" s="459">
        <f t="shared" si="137"/>
        <v>0</v>
      </c>
      <c r="DC38" s="459">
        <f t="shared" si="137"/>
        <v>0</v>
      </c>
      <c r="DD38" s="459"/>
      <c r="DE38" s="459"/>
      <c r="DF38" s="459"/>
      <c r="DG38" s="459">
        <f t="shared" si="138"/>
        <v>0</v>
      </c>
      <c r="DH38" s="467"/>
      <c r="DI38" s="459">
        <f t="shared" si="139"/>
        <v>147.744</v>
      </c>
      <c r="DJ38" s="459">
        <f t="shared" si="140"/>
        <v>147.744</v>
      </c>
      <c r="DK38" s="467"/>
      <c r="DL38" s="459"/>
      <c r="DM38" s="459"/>
      <c r="DN38" s="467"/>
      <c r="DO38" s="459"/>
      <c r="DP38" s="467"/>
      <c r="DQ38" s="467"/>
      <c r="DR38" s="459">
        <f t="shared" si="8"/>
        <v>147.744</v>
      </c>
      <c r="DS38" s="459"/>
      <c r="DT38" s="470">
        <v>147.744</v>
      </c>
      <c r="DU38" s="459"/>
      <c r="DV38" s="459"/>
      <c r="DW38" s="459">
        <f t="shared" si="11"/>
        <v>505.46080000000001</v>
      </c>
      <c r="DX38" s="459"/>
      <c r="DY38" s="470">
        <v>505.46080000000001</v>
      </c>
      <c r="DZ38" s="459"/>
      <c r="EA38" s="146"/>
      <c r="EB38" s="279"/>
      <c r="EC38" s="279"/>
      <c r="ED38" s="281"/>
      <c r="EE38" s="366"/>
      <c r="EF38" s="366"/>
      <c r="EG38" s="279"/>
      <c r="EH38" s="279"/>
      <c r="EI38" s="281"/>
      <c r="EJ38" s="366"/>
      <c r="EK38" s="366"/>
      <c r="EL38" s="366">
        <v>2.2599999999999999E-2</v>
      </c>
      <c r="EM38" s="280"/>
      <c r="EN38" s="279"/>
      <c r="EO38" s="265" t="e">
        <f t="shared" si="141"/>
        <v>#DIV/0!</v>
      </c>
      <c r="EP38" s="323">
        <f t="shared" si="46"/>
        <v>859.48</v>
      </c>
      <c r="EQ38" s="323">
        <f t="shared" si="83"/>
        <v>194.4</v>
      </c>
      <c r="ER38" s="324">
        <v>665.08</v>
      </c>
      <c r="ES38" s="358">
        <f t="shared" si="142"/>
        <v>0.22618327360729742</v>
      </c>
      <c r="ET38" s="358">
        <f t="shared" si="143"/>
        <v>0.7738167263927026</v>
      </c>
      <c r="EU38" s="323">
        <f t="shared" si="49"/>
        <v>653.20479999999998</v>
      </c>
      <c r="EV38" s="323">
        <f t="shared" si="144"/>
        <v>147.744</v>
      </c>
      <c r="EW38" s="324">
        <f t="shared" si="145"/>
        <v>505.46080000000001</v>
      </c>
      <c r="EX38" s="358">
        <f t="shared" si="146"/>
        <v>0.22618327360729745</v>
      </c>
      <c r="EY38" s="358">
        <f t="shared" si="147"/>
        <v>0.7738167263927026</v>
      </c>
      <c r="EZ38" s="358">
        <v>7.5300000000000006E-2</v>
      </c>
      <c r="FA38" s="323">
        <f t="shared" si="90"/>
        <v>147.744</v>
      </c>
      <c r="FB38" s="323">
        <f t="shared" si="51"/>
        <v>0</v>
      </c>
      <c r="FC38" s="279">
        <f t="shared" si="148"/>
        <v>0</v>
      </c>
      <c r="FD38" s="279">
        <f t="shared" si="53"/>
        <v>0</v>
      </c>
      <c r="FE38" s="281"/>
      <c r="FF38" s="366" t="e">
        <f t="shared" si="149"/>
        <v>#DIV/0!</v>
      </c>
      <c r="FG38" s="366" t="e">
        <f t="shared" si="150"/>
        <v>#DIV/0!</v>
      </c>
      <c r="FH38" s="279">
        <f t="shared" si="55"/>
        <v>0</v>
      </c>
      <c r="FI38" s="279">
        <f t="shared" si="151"/>
        <v>0</v>
      </c>
      <c r="FJ38" s="281">
        <f t="shared" si="152"/>
        <v>0</v>
      </c>
      <c r="FK38" s="366" t="e">
        <f t="shared" si="153"/>
        <v>#DIV/0!</v>
      </c>
      <c r="FL38" s="366" t="e">
        <f t="shared" si="154"/>
        <v>#DIV/0!</v>
      </c>
      <c r="FM38" s="366">
        <v>7.5300000000000006E-2</v>
      </c>
      <c r="FN38" s="280" t="e">
        <f t="shared" si="155"/>
        <v>#DIV/0!</v>
      </c>
      <c r="FO38" s="279" t="e">
        <f t="shared" si="57"/>
        <v>#DIV/0!</v>
      </c>
    </row>
    <row r="39" spans="2:171" s="119" customFormat="1" ht="15.75" customHeight="1" x14ac:dyDescent="0.2">
      <c r="B39" s="113"/>
      <c r="C39" s="114"/>
      <c r="D39" s="114"/>
      <c r="E39" s="115"/>
      <c r="F39" s="113"/>
      <c r="G39" s="114"/>
      <c r="H39" s="114"/>
      <c r="I39" s="666" t="s">
        <v>264</v>
      </c>
      <c r="J39" s="667"/>
      <c r="K39" s="667"/>
      <c r="L39" s="667"/>
      <c r="M39" s="115"/>
      <c r="N39" s="118" t="s">
        <v>15</v>
      </c>
      <c r="O39" s="118"/>
      <c r="P39" s="68">
        <f t="shared" si="29"/>
        <v>0</v>
      </c>
      <c r="Q39" s="118"/>
      <c r="R39" s="118"/>
      <c r="S39" s="118"/>
      <c r="T39" s="118"/>
      <c r="U39" s="163">
        <f>U40+U41+U42+U43+U44+U45+U46+U47+U48+U49+U50+U51+U52+U53+U54+U55+U56</f>
        <v>15</v>
      </c>
      <c r="V39" s="163">
        <f>V40+V41+V42+V43+V44+V45+V46+V47+V48+V49+V50+V51+V52+V53+V54+V55+V56</f>
        <v>17</v>
      </c>
      <c r="W39" s="452">
        <f t="shared" ref="W39:AA39" si="174">SUM(W40:W56)-W41</f>
        <v>40184.794999999998</v>
      </c>
      <c r="X39" s="452">
        <f t="shared" si="174"/>
        <v>0</v>
      </c>
      <c r="Y39" s="452">
        <f t="shared" si="174"/>
        <v>14850.6</v>
      </c>
      <c r="Z39" s="452">
        <f t="shared" si="174"/>
        <v>25334.195</v>
      </c>
      <c r="AA39" s="452">
        <f t="shared" si="174"/>
        <v>0</v>
      </c>
      <c r="AB39" s="452">
        <f t="shared" ref="AB39:AF39" si="175">SUM(AB40:AB56)-AB41</f>
        <v>61570.353000000003</v>
      </c>
      <c r="AC39" s="452">
        <f t="shared" si="175"/>
        <v>24000</v>
      </c>
      <c r="AD39" s="452">
        <f t="shared" si="175"/>
        <v>14979.9</v>
      </c>
      <c r="AE39" s="452">
        <f t="shared" si="175"/>
        <v>22590.453000000001</v>
      </c>
      <c r="AF39" s="452">
        <f t="shared" si="175"/>
        <v>0</v>
      </c>
      <c r="AG39" s="452">
        <f t="shared" ref="AG39:AK39" si="176">SUM(AG40:AG56)-AG41</f>
        <v>32817.512999999999</v>
      </c>
      <c r="AH39" s="452">
        <f t="shared" si="176"/>
        <v>0</v>
      </c>
      <c r="AI39" s="452">
        <f t="shared" si="176"/>
        <v>14979.9</v>
      </c>
      <c r="AJ39" s="452">
        <f t="shared" si="176"/>
        <v>17837.613000000001</v>
      </c>
      <c r="AK39" s="452">
        <f t="shared" si="176"/>
        <v>0</v>
      </c>
      <c r="AL39" s="454">
        <f t="shared" ref="AL39:AP39" si="177">SUM(AL40:AL56)-AL41</f>
        <v>24350.613000000001</v>
      </c>
      <c r="AM39" s="452">
        <f t="shared" si="177"/>
        <v>0</v>
      </c>
      <c r="AN39" s="452">
        <f t="shared" si="177"/>
        <v>6513</v>
      </c>
      <c r="AO39" s="452">
        <f t="shared" si="177"/>
        <v>17837.613000000001</v>
      </c>
      <c r="AP39" s="452">
        <f t="shared" si="177"/>
        <v>0</v>
      </c>
      <c r="AQ39" s="453"/>
      <c r="AR39" s="452">
        <f t="shared" ref="AR39:AU39" si="178">SUM(AR40:AR56)-AR41</f>
        <v>38574.205488</v>
      </c>
      <c r="AS39" s="452"/>
      <c r="AT39" s="452">
        <f t="shared" ref="AT39" si="179">SUM(AT40:AT56)-AT41</f>
        <v>14205.958138000002</v>
      </c>
      <c r="AU39" s="452">
        <f t="shared" si="178"/>
        <v>24368.247349999998</v>
      </c>
      <c r="AV39" s="452">
        <f>SUM(AV40:AV56)-AV41</f>
        <v>0</v>
      </c>
      <c r="AW39" s="452" t="e">
        <f t="shared" ref="AW39:BF39" si="180">SUM(AW40:AW56)-AW41</f>
        <v>#REF!</v>
      </c>
      <c r="AX39" s="452" t="e">
        <f t="shared" si="180"/>
        <v>#REF!</v>
      </c>
      <c r="AY39" s="452" t="e">
        <f t="shared" si="180"/>
        <v>#REF!</v>
      </c>
      <c r="AZ39" s="452" t="e">
        <f t="shared" si="180"/>
        <v>#REF!</v>
      </c>
      <c r="BA39" s="452" t="e">
        <f t="shared" si="180"/>
        <v>#REF!</v>
      </c>
      <c r="BB39" s="452">
        <f t="shared" si="180"/>
        <v>40010.564320000005</v>
      </c>
      <c r="BC39" s="452">
        <f t="shared" si="180"/>
        <v>5729.0403200000001</v>
      </c>
      <c r="BD39" s="452">
        <f t="shared" si="180"/>
        <v>14818.014999999999</v>
      </c>
      <c r="BE39" s="452">
        <f t="shared" si="180"/>
        <v>19463.509000000002</v>
      </c>
      <c r="BF39" s="452">
        <f t="shared" si="180"/>
        <v>0</v>
      </c>
      <c r="BG39" s="452">
        <f t="shared" ref="BG39:CK39" si="181">SUM(BG40:BG56)-BG41</f>
        <v>0</v>
      </c>
      <c r="BH39" s="452">
        <f t="shared" si="181"/>
        <v>0</v>
      </c>
      <c r="BI39" s="452">
        <f t="shared" si="181"/>
        <v>0</v>
      </c>
      <c r="BJ39" s="452">
        <f t="shared" si="181"/>
        <v>0</v>
      </c>
      <c r="BK39" s="452">
        <f t="shared" si="181"/>
        <v>0</v>
      </c>
      <c r="BL39" s="452">
        <f t="shared" si="181"/>
        <v>37317.505490000003</v>
      </c>
      <c r="BM39" s="452">
        <f t="shared" si="181"/>
        <v>0</v>
      </c>
      <c r="BN39" s="452">
        <f t="shared" si="181"/>
        <v>12949.258140000002</v>
      </c>
      <c r="BO39" s="452">
        <f t="shared" si="181"/>
        <v>24368.247350000005</v>
      </c>
      <c r="BP39" s="452">
        <f t="shared" si="181"/>
        <v>0</v>
      </c>
      <c r="BQ39" s="452">
        <f t="shared" si="181"/>
        <v>37317.505490000003</v>
      </c>
      <c r="BR39" s="452">
        <f t="shared" si="181"/>
        <v>0</v>
      </c>
      <c r="BS39" s="452">
        <f t="shared" si="181"/>
        <v>12949.258140000002</v>
      </c>
      <c r="BT39" s="452">
        <f t="shared" si="181"/>
        <v>24368.247350000005</v>
      </c>
      <c r="BU39" s="452">
        <f t="shared" si="181"/>
        <v>0</v>
      </c>
      <c r="BV39" s="454">
        <f t="shared" si="181"/>
        <v>5306.2344700000012</v>
      </c>
      <c r="BW39" s="452">
        <f t="shared" si="181"/>
        <v>0</v>
      </c>
      <c r="BX39" s="452">
        <f t="shared" si="181"/>
        <v>3111.7014300000001</v>
      </c>
      <c r="BY39" s="452">
        <f t="shared" si="181"/>
        <v>2194.5330400000003</v>
      </c>
      <c r="BZ39" s="452">
        <f t="shared" si="181"/>
        <v>0</v>
      </c>
      <c r="CA39" s="452">
        <f t="shared" si="181"/>
        <v>42623.739960000014</v>
      </c>
      <c r="CB39" s="452">
        <f t="shared" si="181"/>
        <v>42623.739960000014</v>
      </c>
      <c r="CC39" s="452">
        <f t="shared" si="181"/>
        <v>0</v>
      </c>
      <c r="CD39" s="452">
        <f t="shared" si="181"/>
        <v>16060.959569999999</v>
      </c>
      <c r="CE39" s="452">
        <f t="shared" si="181"/>
        <v>26562.780390000004</v>
      </c>
      <c r="CF39" s="452">
        <f t="shared" si="181"/>
        <v>0</v>
      </c>
      <c r="CG39" s="452">
        <f t="shared" si="181"/>
        <v>0</v>
      </c>
      <c r="CH39" s="452">
        <f t="shared" si="181"/>
        <v>0</v>
      </c>
      <c r="CI39" s="452">
        <f t="shared" si="181"/>
        <v>0</v>
      </c>
      <c r="CJ39" s="452">
        <f t="shared" si="181"/>
        <v>0</v>
      </c>
      <c r="CK39" s="452">
        <f t="shared" si="181"/>
        <v>0</v>
      </c>
      <c r="CL39" s="455">
        <f>CM39+CO39-BG39</f>
        <v>40010.564319999998</v>
      </c>
      <c r="CM39" s="456">
        <f t="shared" ref="CM39:DG39" si="182">SUM(CM40:CM56)-CM41</f>
        <v>40010.564319999998</v>
      </c>
      <c r="CN39" s="456">
        <f t="shared" si="182"/>
        <v>40010.564319999998</v>
      </c>
      <c r="CO39" s="452">
        <f t="shared" si="182"/>
        <v>0</v>
      </c>
      <c r="CP39" s="452">
        <f t="shared" si="182"/>
        <v>0</v>
      </c>
      <c r="CQ39" s="452">
        <f t="shared" si="182"/>
        <v>0</v>
      </c>
      <c r="CR39" s="452">
        <f t="shared" si="182"/>
        <v>0</v>
      </c>
      <c r="CS39" s="452">
        <f t="shared" si="182"/>
        <v>0</v>
      </c>
      <c r="CT39" s="452">
        <f t="shared" si="182"/>
        <v>0</v>
      </c>
      <c r="CU39" s="452">
        <f t="shared" si="182"/>
        <v>0</v>
      </c>
      <c r="CV39" s="452">
        <f t="shared" si="182"/>
        <v>0</v>
      </c>
      <c r="CW39" s="452">
        <f t="shared" si="182"/>
        <v>0</v>
      </c>
      <c r="CX39" s="452">
        <f t="shared" si="182"/>
        <v>0</v>
      </c>
      <c r="CY39" s="452">
        <f t="shared" si="182"/>
        <v>0</v>
      </c>
      <c r="CZ39" s="452">
        <f t="shared" si="182"/>
        <v>0</v>
      </c>
      <c r="DA39" s="452">
        <f t="shared" si="182"/>
        <v>0</v>
      </c>
      <c r="DB39" s="452">
        <f t="shared" si="182"/>
        <v>0</v>
      </c>
      <c r="DC39" s="452">
        <f t="shared" si="182"/>
        <v>0</v>
      </c>
      <c r="DD39" s="452">
        <f t="shared" si="182"/>
        <v>0</v>
      </c>
      <c r="DE39" s="452">
        <f t="shared" si="182"/>
        <v>0</v>
      </c>
      <c r="DF39" s="452">
        <f t="shared" si="182"/>
        <v>0</v>
      </c>
      <c r="DG39" s="452">
        <f t="shared" si="182"/>
        <v>0</v>
      </c>
      <c r="DH39" s="457"/>
      <c r="DI39" s="452">
        <f>SUM(DI40:DI56)-DI41</f>
        <v>37317.505490000003</v>
      </c>
      <c r="DJ39" s="452">
        <f>SUM(DJ40:DJ56)-DJ41</f>
        <v>37317.505490000003</v>
      </c>
      <c r="DK39" s="457"/>
      <c r="DL39" s="452">
        <f>SUM(DL40:DL56)-DL41</f>
        <v>37317.505490000003</v>
      </c>
      <c r="DM39" s="452">
        <f>SUM(DM40:DM56)-DM41</f>
        <v>0</v>
      </c>
      <c r="DN39" s="457"/>
      <c r="DO39" s="452">
        <f>SUM(DO40:DO56)-DO41</f>
        <v>2693.0588299999981</v>
      </c>
      <c r="DP39" s="457">
        <f>DG39-DO39</f>
        <v>-2693.0588299999981</v>
      </c>
      <c r="DQ39" s="457"/>
      <c r="DR39" s="452">
        <f t="shared" si="8"/>
        <v>37317.50549000001</v>
      </c>
      <c r="DS39" s="452">
        <f t="shared" ref="DS39:DU39" si="183">SUM(DS40:DS56)-DS41</f>
        <v>0</v>
      </c>
      <c r="DT39" s="452">
        <f t="shared" si="183"/>
        <v>12949.258140000002</v>
      </c>
      <c r="DU39" s="452">
        <f t="shared" si="183"/>
        <v>24368.247350000005</v>
      </c>
      <c r="DV39" s="452">
        <f t="shared" ref="DV39" si="184">SUM(DV40:DV56)-DV41</f>
        <v>0</v>
      </c>
      <c r="DW39" s="452">
        <f t="shared" si="11"/>
        <v>5306.2344699999994</v>
      </c>
      <c r="DX39" s="452">
        <f t="shared" ref="DX39:DZ39" si="185">SUM(DX40:DX56)-DX41</f>
        <v>0</v>
      </c>
      <c r="DY39" s="452">
        <f t="shared" si="185"/>
        <v>3111.7014299999996</v>
      </c>
      <c r="DZ39" s="452">
        <f t="shared" si="185"/>
        <v>2194.5330400000003</v>
      </c>
      <c r="EA39" s="145">
        <f t="shared" ref="EA39" si="186">SUM(EA40:EA56)-EA41</f>
        <v>0</v>
      </c>
      <c r="EB39" s="57">
        <f t="shared" si="13"/>
        <v>0</v>
      </c>
      <c r="EC39" s="57">
        <f t="shared" si="28"/>
        <v>0</v>
      </c>
      <c r="ED39" s="57">
        <f t="shared" ref="ED39" si="187">SUM(ED40:ED56)-ED41</f>
        <v>0</v>
      </c>
      <c r="EE39" s="360"/>
      <c r="EF39" s="360"/>
      <c r="EG39" s="57">
        <f t="shared" si="43"/>
        <v>0</v>
      </c>
      <c r="EH39" s="57">
        <f>SUM(EH40:EH56)</f>
        <v>0</v>
      </c>
      <c r="EI39" s="57">
        <f>SUM(EI40:EI56)</f>
        <v>0</v>
      </c>
      <c r="EJ39" s="360"/>
      <c r="EK39" s="360"/>
      <c r="EL39" s="360"/>
      <c r="EM39" s="273">
        <f t="shared" ref="EM39" si="188">SUM(EM40:EM56)</f>
        <v>0</v>
      </c>
      <c r="EN39" s="57">
        <f t="shared" si="45"/>
        <v>0</v>
      </c>
      <c r="EO39" s="264"/>
      <c r="EP39" s="57">
        <f t="shared" si="46"/>
        <v>17424.077968000001</v>
      </c>
      <c r="EQ39" s="57">
        <f t="shared" si="83"/>
        <v>14205.958138000002</v>
      </c>
      <c r="ER39" s="57">
        <f t="shared" ref="ER39" si="189">SUM(ER40:ER56)-ER41</f>
        <v>3218.1198299999996</v>
      </c>
      <c r="ES39" s="360"/>
      <c r="ET39" s="360"/>
      <c r="EU39" s="57">
        <f t="shared" si="49"/>
        <v>16060.959570000001</v>
      </c>
      <c r="EV39" s="57">
        <f>SUM(EV40:EV56)</f>
        <v>12949.258140000002</v>
      </c>
      <c r="EW39" s="57">
        <f>SUM(EW40:EW56)</f>
        <v>3111.7014299999996</v>
      </c>
      <c r="EX39" s="360"/>
      <c r="EY39" s="360"/>
      <c r="EZ39" s="360"/>
      <c r="FA39" s="57">
        <f>SUM(FA40:FA56)</f>
        <v>12949.258139850801</v>
      </c>
      <c r="FB39" s="57">
        <f t="shared" si="51"/>
        <v>1.4920078683644533E-7</v>
      </c>
      <c r="FC39" s="57">
        <f t="shared" ref="FC39" si="190">FD39+FE39+FF39</f>
        <v>26562.78039</v>
      </c>
      <c r="FD39" s="57">
        <f t="shared" si="53"/>
        <v>24368.247349999998</v>
      </c>
      <c r="FE39" s="57">
        <f t="shared" ref="FE39" si="191">SUM(FE40:FE56)-FE41</f>
        <v>2194.5330400000003</v>
      </c>
      <c r="FF39" s="360"/>
      <c r="FG39" s="360"/>
      <c r="FH39" s="57">
        <f t="shared" si="55"/>
        <v>26562.780390000007</v>
      </c>
      <c r="FI39" s="57">
        <f t="shared" si="151"/>
        <v>24368.247350000005</v>
      </c>
      <c r="FJ39" s="57">
        <f t="shared" si="152"/>
        <v>2194.5330400000003</v>
      </c>
      <c r="FK39" s="360"/>
      <c r="FL39" s="360"/>
      <c r="FM39" s="360"/>
      <c r="FN39" s="273" t="e">
        <f t="shared" ref="FN39" si="192">SUM(FN40:FN56)</f>
        <v>#REF!</v>
      </c>
      <c r="FO39" s="57" t="e">
        <f t="shared" si="57"/>
        <v>#REF!</v>
      </c>
    </row>
    <row r="40" spans="2:171" s="41" customFormat="1" ht="15.75" customHeight="1" x14ac:dyDescent="0.25">
      <c r="B40" s="34">
        <v>1</v>
      </c>
      <c r="C40" s="33"/>
      <c r="D40" s="33"/>
      <c r="E40" s="434">
        <v>29</v>
      </c>
      <c r="F40" s="34"/>
      <c r="G40" s="33"/>
      <c r="H40" s="33"/>
      <c r="I40" s="434"/>
      <c r="J40" s="435"/>
      <c r="K40" s="205"/>
      <c r="L40" s="53"/>
      <c r="M40" s="434"/>
      <c r="N40" s="448" t="s">
        <v>15</v>
      </c>
      <c r="O40" s="134"/>
      <c r="P40" s="2">
        <f t="shared" si="29"/>
        <v>0</v>
      </c>
      <c r="Q40" s="134"/>
      <c r="R40" s="134"/>
      <c r="S40" s="134" t="s">
        <v>490</v>
      </c>
      <c r="T40" s="134" t="s">
        <v>488</v>
      </c>
      <c r="U40" s="134"/>
      <c r="V40" s="134"/>
      <c r="W40" s="473">
        <f t="shared" ref="W40:W56" si="193">X40+Y40+Z40+AA40</f>
        <v>0</v>
      </c>
      <c r="X40" s="482"/>
      <c r="Y40" s="460">
        <f>22.5-22.5</f>
        <v>0</v>
      </c>
      <c r="Z40" s="482"/>
      <c r="AA40" s="468"/>
      <c r="AB40" s="473">
        <f t="shared" ref="AB40:AB56" si="194">AC40+AD40+AE40+AF40</f>
        <v>0</v>
      </c>
      <c r="AC40" s="482"/>
      <c r="AD40" s="460">
        <v>0</v>
      </c>
      <c r="AE40" s="482"/>
      <c r="AF40" s="468"/>
      <c r="AG40" s="473">
        <f t="shared" ref="AG40:AG56" si="195">AH40+AI40+AJ40+AK40</f>
        <v>0</v>
      </c>
      <c r="AH40" s="482"/>
      <c r="AI40" s="460">
        <v>0</v>
      </c>
      <c r="AJ40" s="482"/>
      <c r="AK40" s="468"/>
      <c r="AL40" s="473">
        <f t="shared" ref="AL40:AL56" si="196">AM40+AN40+AO40+AP40</f>
        <v>10</v>
      </c>
      <c r="AM40" s="482"/>
      <c r="AN40" s="460">
        <v>10</v>
      </c>
      <c r="AO40" s="482"/>
      <c r="AP40" s="482"/>
      <c r="AQ40" s="483"/>
      <c r="AR40" s="459">
        <f t="shared" si="122"/>
        <v>0</v>
      </c>
      <c r="AS40" s="482"/>
      <c r="AT40" s="482"/>
      <c r="AU40" s="482"/>
      <c r="AV40" s="482"/>
      <c r="AW40" s="459" t="e">
        <f t="shared" ref="AW40:AW56" si="197">AX40+AY40+AZ40+BA40</f>
        <v>#REF!</v>
      </c>
      <c r="AX40" s="459" t="e">
        <f>#REF!-AS40</f>
        <v>#REF!</v>
      </c>
      <c r="AY40" s="459" t="e">
        <f>#REF!-AT40</f>
        <v>#REF!</v>
      </c>
      <c r="AZ40" s="459" t="e">
        <f>#REF!-AU40</f>
        <v>#REF!</v>
      </c>
      <c r="BA40" s="459" t="e">
        <f>#REF!-AV40</f>
        <v>#REF!</v>
      </c>
      <c r="BB40" s="459">
        <f t="shared" ref="BB40:BB56" si="198">BC40+BD40+BE40+BF40</f>
        <v>0</v>
      </c>
      <c r="BC40" s="482"/>
      <c r="BD40" s="482"/>
      <c r="BE40" s="482"/>
      <c r="BF40" s="482"/>
      <c r="BG40" s="459">
        <f t="shared" ref="BG40:BG56" si="199">BH40+BI40+BJ40+BK40</f>
        <v>0</v>
      </c>
      <c r="BH40" s="482"/>
      <c r="BI40" s="482"/>
      <c r="BJ40" s="482"/>
      <c r="BK40" s="482"/>
      <c r="BL40" s="459">
        <f t="shared" ref="BL40:BL56" si="200">BM40+BN40+BO40+BP40</f>
        <v>0</v>
      </c>
      <c r="BM40" s="482"/>
      <c r="BN40" s="484"/>
      <c r="BO40" s="484"/>
      <c r="BP40" s="484"/>
      <c r="BQ40" s="459">
        <f t="shared" ref="BQ40:BQ56" si="201">BR40+BS40+BT40+BU40</f>
        <v>0</v>
      </c>
      <c r="BR40" s="484"/>
      <c r="BS40" s="484"/>
      <c r="BT40" s="484"/>
      <c r="BU40" s="484"/>
      <c r="BV40" s="459">
        <f t="shared" ref="BV40:BV56" si="202">BW40+BX40+BY40+BZ40</f>
        <v>0</v>
      </c>
      <c r="BW40" s="482"/>
      <c r="BX40" s="482"/>
      <c r="BY40" s="482"/>
      <c r="BZ40" s="482"/>
      <c r="CA40" s="464">
        <f t="shared" ref="CA40:CA56" si="203">CB40</f>
        <v>0</v>
      </c>
      <c r="CB40" s="459">
        <f t="shared" ref="CB40:CB56" si="204">CC40+CD40+CE40+CF40</f>
        <v>0</v>
      </c>
      <c r="CC40" s="459">
        <f t="shared" ref="CC40:CF56" si="205">BR40+BW40</f>
        <v>0</v>
      </c>
      <c r="CD40" s="459">
        <f t="shared" si="205"/>
        <v>0</v>
      </c>
      <c r="CE40" s="459">
        <f t="shared" si="205"/>
        <v>0</v>
      </c>
      <c r="CF40" s="459">
        <f t="shared" si="205"/>
        <v>0</v>
      </c>
      <c r="CG40" s="459">
        <f t="shared" ref="CG40:CG56" si="206">CH40+CI40+CJ40+CK40</f>
        <v>0</v>
      </c>
      <c r="CH40" s="459">
        <f t="shared" ref="CH40:CK56" si="207">BM40-BR40</f>
        <v>0</v>
      </c>
      <c r="CI40" s="459">
        <f t="shared" si="207"/>
        <v>0</v>
      </c>
      <c r="CJ40" s="459">
        <f t="shared" si="207"/>
        <v>0</v>
      </c>
      <c r="CK40" s="459">
        <f t="shared" si="207"/>
        <v>0</v>
      </c>
      <c r="CL40" s="485"/>
      <c r="CM40" s="486">
        <f>CL40</f>
        <v>0</v>
      </c>
      <c r="CN40" s="486">
        <f>CM40</f>
        <v>0</v>
      </c>
      <c r="CO40" s="459">
        <f t="shared" ref="CO40:CO56" si="208">CP40+CQ40+CR40+CS40</f>
        <v>0</v>
      </c>
      <c r="CP40" s="482"/>
      <c r="CQ40" s="482"/>
      <c r="CR40" s="482"/>
      <c r="CS40" s="482"/>
      <c r="CT40" s="459">
        <f t="shared" ref="CT40:CT56" si="209">CU40+CV40+CW40+CX40</f>
        <v>0</v>
      </c>
      <c r="CU40" s="482"/>
      <c r="CV40" s="482"/>
      <c r="CW40" s="482"/>
      <c r="CX40" s="482"/>
      <c r="CY40" s="459">
        <f t="shared" ref="CY40:CY56" si="210">CZ40+DA40+DB40+DC40</f>
        <v>0</v>
      </c>
      <c r="CZ40" s="459">
        <f t="shared" ref="CZ40:DC56" si="211">CP40-CU40</f>
        <v>0</v>
      </c>
      <c r="DA40" s="459">
        <f t="shared" si="211"/>
        <v>0</v>
      </c>
      <c r="DB40" s="459">
        <f t="shared" si="211"/>
        <v>0</v>
      </c>
      <c r="DC40" s="459">
        <f t="shared" si="211"/>
        <v>0</v>
      </c>
      <c r="DD40" s="482"/>
      <c r="DE40" s="482"/>
      <c r="DF40" s="482"/>
      <c r="DG40" s="459">
        <f t="shared" ref="DG40:DG56" si="212">CG40+CY40+DF40</f>
        <v>0</v>
      </c>
      <c r="DH40" s="467"/>
      <c r="DI40" s="459">
        <f t="shared" ref="DI40:DI56" si="213">BL40+CO40+DD40</f>
        <v>0</v>
      </c>
      <c r="DJ40" s="459">
        <f t="shared" ref="DJ40:DJ56" si="214">BQ40+CT40+DE40</f>
        <v>0</v>
      </c>
      <c r="DK40" s="487"/>
      <c r="DL40" s="459">
        <f t="shared" ref="DL40:DL41" si="215">DJ40</f>
        <v>0</v>
      </c>
      <c r="DM40" s="459">
        <f t="shared" ref="DM40:DM41" si="216">DG40</f>
        <v>0</v>
      </c>
      <c r="DN40" s="487"/>
      <c r="DO40" s="459">
        <f>CN40-DL40</f>
        <v>0</v>
      </c>
      <c r="DP40" s="487"/>
      <c r="DQ40" s="487"/>
      <c r="DR40" s="459">
        <f t="shared" si="8"/>
        <v>0</v>
      </c>
      <c r="DS40" s="484"/>
      <c r="DT40" s="484"/>
      <c r="DU40" s="484"/>
      <c r="DV40" s="484"/>
      <c r="DW40" s="459">
        <f t="shared" si="11"/>
        <v>0</v>
      </c>
      <c r="DX40" s="482"/>
      <c r="DY40" s="482"/>
      <c r="DZ40" s="482"/>
      <c r="EA40" s="152"/>
      <c r="EB40" s="279"/>
      <c r="EC40" s="284"/>
      <c r="ED40" s="284"/>
      <c r="EE40" s="368"/>
      <c r="EF40" s="368"/>
      <c r="EG40" s="279"/>
      <c r="EH40" s="284"/>
      <c r="EI40" s="284"/>
      <c r="EJ40" s="368"/>
      <c r="EK40" s="368"/>
      <c r="EL40" s="367">
        <v>2.9700000000000001E-2</v>
      </c>
      <c r="EM40" s="285"/>
      <c r="EN40" s="427"/>
      <c r="EO40" s="268" t="e">
        <f t="shared" ref="EO40:EO56" si="217">EM40/EJ40</f>
        <v>#DIV/0!</v>
      </c>
      <c r="EP40" s="323"/>
      <c r="EQ40" s="327"/>
      <c r="ER40" s="327"/>
      <c r="ES40" s="362"/>
      <c r="ET40" s="362"/>
      <c r="EU40" s="323"/>
      <c r="EV40" s="327"/>
      <c r="EW40" s="327"/>
      <c r="EX40" s="362"/>
      <c r="EY40" s="362"/>
      <c r="EZ40" s="361">
        <v>0.1</v>
      </c>
      <c r="FA40" s="357"/>
      <c r="FB40" s="357"/>
      <c r="FC40" s="279"/>
      <c r="FD40" s="284"/>
      <c r="FE40" s="284"/>
      <c r="FF40" s="368"/>
      <c r="FG40" s="368"/>
      <c r="FH40" s="279"/>
      <c r="FI40" s="284"/>
      <c r="FJ40" s="284"/>
      <c r="FK40" s="368"/>
      <c r="FL40" s="368"/>
      <c r="FM40" s="367">
        <v>0.1</v>
      </c>
      <c r="FN40" s="285"/>
      <c r="FO40" s="427"/>
    </row>
    <row r="41" spans="2:171" s="41" customFormat="1" ht="15.75" customHeight="1" x14ac:dyDescent="0.25">
      <c r="B41" s="34"/>
      <c r="C41" s="33"/>
      <c r="D41" s="33"/>
      <c r="E41" s="434"/>
      <c r="F41" s="34"/>
      <c r="G41" s="33"/>
      <c r="H41" s="33"/>
      <c r="I41" s="664"/>
      <c r="J41" s="665"/>
      <c r="K41" s="665"/>
      <c r="L41" s="159"/>
      <c r="M41" s="434"/>
      <c r="N41" s="19" t="s">
        <v>251</v>
      </c>
      <c r="O41" s="133"/>
      <c r="P41" s="2">
        <f t="shared" si="29"/>
        <v>0</v>
      </c>
      <c r="Q41" s="133"/>
      <c r="R41" s="133"/>
      <c r="S41" s="133"/>
      <c r="T41" s="133"/>
      <c r="U41" s="133"/>
      <c r="V41" s="133"/>
      <c r="W41" s="473">
        <f t="shared" si="193"/>
        <v>0</v>
      </c>
      <c r="X41" s="482"/>
      <c r="Y41" s="460"/>
      <c r="Z41" s="482"/>
      <c r="AA41" s="468"/>
      <c r="AB41" s="473">
        <f t="shared" si="194"/>
        <v>0</v>
      </c>
      <c r="AC41" s="482"/>
      <c r="AD41" s="460"/>
      <c r="AE41" s="482"/>
      <c r="AF41" s="468"/>
      <c r="AG41" s="473">
        <f t="shared" si="195"/>
        <v>0</v>
      </c>
      <c r="AH41" s="482"/>
      <c r="AI41" s="460"/>
      <c r="AJ41" s="482"/>
      <c r="AK41" s="468"/>
      <c r="AL41" s="473">
        <f t="shared" si="196"/>
        <v>0</v>
      </c>
      <c r="AM41" s="482"/>
      <c r="AN41" s="460"/>
      <c r="AO41" s="482"/>
      <c r="AP41" s="482"/>
      <c r="AQ41" s="483"/>
      <c r="AR41" s="459">
        <f t="shared" si="122"/>
        <v>0</v>
      </c>
      <c r="AS41" s="482"/>
      <c r="AT41" s="488"/>
      <c r="AU41" s="482"/>
      <c r="AV41" s="482"/>
      <c r="AW41" s="459" t="e">
        <f t="shared" si="197"/>
        <v>#REF!</v>
      </c>
      <c r="AX41" s="459" t="e">
        <f>#REF!-AS41</f>
        <v>#REF!</v>
      </c>
      <c r="AY41" s="459" t="e">
        <f>#REF!-AT41</f>
        <v>#REF!</v>
      </c>
      <c r="AZ41" s="459" t="e">
        <f>#REF!-AU41</f>
        <v>#REF!</v>
      </c>
      <c r="BA41" s="459" t="e">
        <f>#REF!-AV41</f>
        <v>#REF!</v>
      </c>
      <c r="BB41" s="459">
        <f t="shared" si="198"/>
        <v>0</v>
      </c>
      <c r="BC41" s="482"/>
      <c r="BD41" s="482"/>
      <c r="BE41" s="482"/>
      <c r="BF41" s="482"/>
      <c r="BG41" s="459">
        <f t="shared" si="199"/>
        <v>0</v>
      </c>
      <c r="BH41" s="482"/>
      <c r="BI41" s="482"/>
      <c r="BJ41" s="482"/>
      <c r="BK41" s="482"/>
      <c r="BL41" s="459">
        <f t="shared" si="200"/>
        <v>0</v>
      </c>
      <c r="BM41" s="482"/>
      <c r="BN41" s="484"/>
      <c r="BO41" s="484"/>
      <c r="BP41" s="484"/>
      <c r="BQ41" s="459">
        <f t="shared" si="201"/>
        <v>0</v>
      </c>
      <c r="BR41" s="484"/>
      <c r="BS41" s="484"/>
      <c r="BT41" s="484"/>
      <c r="BU41" s="484"/>
      <c r="BV41" s="459">
        <f t="shared" si="202"/>
        <v>0</v>
      </c>
      <c r="BW41" s="482"/>
      <c r="BX41" s="482"/>
      <c r="BY41" s="482"/>
      <c r="BZ41" s="482"/>
      <c r="CA41" s="464">
        <f t="shared" si="203"/>
        <v>0</v>
      </c>
      <c r="CB41" s="459">
        <f t="shared" si="204"/>
        <v>0</v>
      </c>
      <c r="CC41" s="459">
        <f t="shared" si="205"/>
        <v>0</v>
      </c>
      <c r="CD41" s="459">
        <f t="shared" si="205"/>
        <v>0</v>
      </c>
      <c r="CE41" s="459">
        <f t="shared" si="205"/>
        <v>0</v>
      </c>
      <c r="CF41" s="459">
        <f t="shared" si="205"/>
        <v>0</v>
      </c>
      <c r="CG41" s="459">
        <f t="shared" si="206"/>
        <v>0</v>
      </c>
      <c r="CH41" s="459">
        <f t="shared" si="207"/>
        <v>0</v>
      </c>
      <c r="CI41" s="459">
        <f t="shared" si="207"/>
        <v>0</v>
      </c>
      <c r="CJ41" s="459">
        <f t="shared" si="207"/>
        <v>0</v>
      </c>
      <c r="CK41" s="459">
        <f t="shared" si="207"/>
        <v>0</v>
      </c>
      <c r="CL41" s="485"/>
      <c r="CM41" s="486"/>
      <c r="CN41" s="486"/>
      <c r="CO41" s="459">
        <f t="shared" si="208"/>
        <v>0</v>
      </c>
      <c r="CP41" s="482"/>
      <c r="CQ41" s="482"/>
      <c r="CR41" s="482"/>
      <c r="CS41" s="482"/>
      <c r="CT41" s="459">
        <f t="shared" si="209"/>
        <v>0</v>
      </c>
      <c r="CU41" s="482"/>
      <c r="CV41" s="482"/>
      <c r="CW41" s="482"/>
      <c r="CX41" s="482"/>
      <c r="CY41" s="459">
        <f t="shared" si="210"/>
        <v>0</v>
      </c>
      <c r="CZ41" s="459">
        <f t="shared" si="211"/>
        <v>0</v>
      </c>
      <c r="DA41" s="459">
        <f t="shared" si="211"/>
        <v>0</v>
      </c>
      <c r="DB41" s="459">
        <f t="shared" si="211"/>
        <v>0</v>
      </c>
      <c r="DC41" s="459">
        <f t="shared" si="211"/>
        <v>0</v>
      </c>
      <c r="DD41" s="482"/>
      <c r="DE41" s="482"/>
      <c r="DF41" s="482"/>
      <c r="DG41" s="459">
        <f t="shared" si="212"/>
        <v>0</v>
      </c>
      <c r="DH41" s="467"/>
      <c r="DI41" s="459">
        <f t="shared" si="213"/>
        <v>0</v>
      </c>
      <c r="DJ41" s="459">
        <f t="shared" si="214"/>
        <v>0</v>
      </c>
      <c r="DK41" s="487"/>
      <c r="DL41" s="459">
        <f t="shared" si="215"/>
        <v>0</v>
      </c>
      <c r="DM41" s="459">
        <f t="shared" si="216"/>
        <v>0</v>
      </c>
      <c r="DN41" s="487"/>
      <c r="DO41" s="482"/>
      <c r="DP41" s="487"/>
      <c r="DQ41" s="487"/>
      <c r="DR41" s="459">
        <f t="shared" si="8"/>
        <v>0</v>
      </c>
      <c r="DS41" s="484"/>
      <c r="DT41" s="484"/>
      <c r="DU41" s="484"/>
      <c r="DV41" s="484"/>
      <c r="DW41" s="459">
        <f t="shared" si="11"/>
        <v>0</v>
      </c>
      <c r="DX41" s="482"/>
      <c r="DY41" s="482"/>
      <c r="DZ41" s="482"/>
      <c r="EA41" s="152"/>
      <c r="EB41" s="279"/>
      <c r="EC41" s="284"/>
      <c r="ED41" s="284"/>
      <c r="EE41" s="368"/>
      <c r="EF41" s="368"/>
      <c r="EG41" s="279"/>
      <c r="EH41" s="284"/>
      <c r="EI41" s="284"/>
      <c r="EJ41" s="368"/>
      <c r="EK41" s="368"/>
      <c r="EL41" s="368"/>
      <c r="EM41" s="285"/>
      <c r="EN41" s="427"/>
      <c r="EO41" s="268" t="e">
        <f t="shared" si="217"/>
        <v>#DIV/0!</v>
      </c>
      <c r="EP41" s="323"/>
      <c r="EQ41" s="327"/>
      <c r="ER41" s="327"/>
      <c r="ES41" s="362"/>
      <c r="ET41" s="362"/>
      <c r="EU41" s="323"/>
      <c r="EV41" s="327"/>
      <c r="EW41" s="327"/>
      <c r="EX41" s="362"/>
      <c r="EY41" s="362"/>
      <c r="EZ41" s="362"/>
      <c r="FA41" s="357"/>
      <c r="FB41" s="357"/>
      <c r="FC41" s="279"/>
      <c r="FD41" s="284"/>
      <c r="FE41" s="284"/>
      <c r="FF41" s="368"/>
      <c r="FG41" s="368"/>
      <c r="FH41" s="279"/>
      <c r="FI41" s="284"/>
      <c r="FJ41" s="284"/>
      <c r="FK41" s="368"/>
      <c r="FL41" s="368"/>
      <c r="FM41" s="368"/>
      <c r="FN41" s="285"/>
      <c r="FO41" s="427"/>
    </row>
    <row r="42" spans="2:171" s="40" customFormat="1" ht="15.75" customHeight="1" x14ac:dyDescent="0.25">
      <c r="B42" s="32"/>
      <c r="C42" s="33"/>
      <c r="D42" s="33">
        <v>1</v>
      </c>
      <c r="E42" s="434">
        <v>30</v>
      </c>
      <c r="F42" s="32"/>
      <c r="G42" s="33"/>
      <c r="H42" s="33">
        <v>1</v>
      </c>
      <c r="I42" s="657"/>
      <c r="J42" s="658"/>
      <c r="K42" s="658"/>
      <c r="L42" s="658"/>
      <c r="M42" s="434">
        <v>29</v>
      </c>
      <c r="N42" s="435" t="s">
        <v>88</v>
      </c>
      <c r="O42" s="435"/>
      <c r="P42" s="24">
        <f t="shared" si="29"/>
        <v>0</v>
      </c>
      <c r="Q42" s="435" t="s">
        <v>491</v>
      </c>
      <c r="R42" s="435" t="s">
        <v>488</v>
      </c>
      <c r="S42" s="435" t="s">
        <v>491</v>
      </c>
      <c r="T42" s="435" t="s">
        <v>488</v>
      </c>
      <c r="U42" s="161">
        <v>1</v>
      </c>
      <c r="V42" s="434">
        <v>1</v>
      </c>
      <c r="W42" s="473">
        <f t="shared" si="193"/>
        <v>571</v>
      </c>
      <c r="X42" s="459"/>
      <c r="Y42" s="460">
        <v>571</v>
      </c>
      <c r="Z42" s="459"/>
      <c r="AA42" s="464"/>
      <c r="AB42" s="473">
        <f t="shared" si="194"/>
        <v>577.29999999999995</v>
      </c>
      <c r="AC42" s="459"/>
      <c r="AD42" s="460">
        <v>577.29999999999995</v>
      </c>
      <c r="AE42" s="459"/>
      <c r="AF42" s="464"/>
      <c r="AG42" s="473">
        <f t="shared" si="195"/>
        <v>577.29999999999995</v>
      </c>
      <c r="AH42" s="459"/>
      <c r="AI42" s="460">
        <v>577.29999999999995</v>
      </c>
      <c r="AJ42" s="459"/>
      <c r="AK42" s="464"/>
      <c r="AL42" s="473">
        <f t="shared" si="196"/>
        <v>251</v>
      </c>
      <c r="AM42" s="459"/>
      <c r="AN42" s="460">
        <v>251</v>
      </c>
      <c r="AO42" s="459"/>
      <c r="AP42" s="459"/>
      <c r="AQ42" s="398" t="s">
        <v>534</v>
      </c>
      <c r="AR42" s="459">
        <f t="shared" si="122"/>
        <v>504.67</v>
      </c>
      <c r="AS42" s="459"/>
      <c r="AT42" s="462">
        <f>571-66.33</f>
        <v>504.67</v>
      </c>
      <c r="AU42" s="459"/>
      <c r="AV42" s="459"/>
      <c r="AW42" s="459" t="e">
        <f t="shared" si="197"/>
        <v>#REF!</v>
      </c>
      <c r="AX42" s="459" t="e">
        <f>#REF!-AS42</f>
        <v>#REF!</v>
      </c>
      <c r="AY42" s="459" t="e">
        <f>#REF!-AT42</f>
        <v>#REF!</v>
      </c>
      <c r="AZ42" s="459" t="e">
        <f>#REF!-AU42</f>
        <v>#REF!</v>
      </c>
      <c r="BA42" s="459" t="e">
        <f>#REF!-AV42</f>
        <v>#REF!</v>
      </c>
      <c r="BB42" s="459">
        <f t="shared" si="198"/>
        <v>577.29999999999995</v>
      </c>
      <c r="BC42" s="459"/>
      <c r="BD42" s="460">
        <f>251+326.3</f>
        <v>577.29999999999995</v>
      </c>
      <c r="BE42" s="459"/>
      <c r="BF42" s="459"/>
      <c r="BG42" s="459">
        <f t="shared" si="199"/>
        <v>0</v>
      </c>
      <c r="BH42" s="459"/>
      <c r="BI42" s="461"/>
      <c r="BJ42" s="459"/>
      <c r="BK42" s="459"/>
      <c r="BL42" s="459">
        <f t="shared" si="200"/>
        <v>504.67</v>
      </c>
      <c r="BM42" s="459"/>
      <c r="BN42" s="460">
        <v>504.67</v>
      </c>
      <c r="BO42" s="459"/>
      <c r="BP42" s="459"/>
      <c r="BQ42" s="459">
        <f t="shared" si="201"/>
        <v>504.67</v>
      </c>
      <c r="BR42" s="459"/>
      <c r="BS42" s="460">
        <v>504.67</v>
      </c>
      <c r="BT42" s="459"/>
      <c r="BU42" s="459"/>
      <c r="BV42" s="459">
        <f t="shared" si="202"/>
        <v>56.076920000000001</v>
      </c>
      <c r="BW42" s="459"/>
      <c r="BX42" s="459">
        <v>56.076920000000001</v>
      </c>
      <c r="BY42" s="459"/>
      <c r="BZ42" s="459"/>
      <c r="CA42" s="464">
        <f t="shared" si="203"/>
        <v>560.74692000000005</v>
      </c>
      <c r="CB42" s="459">
        <f t="shared" si="204"/>
        <v>560.74692000000005</v>
      </c>
      <c r="CC42" s="459">
        <f t="shared" si="205"/>
        <v>0</v>
      </c>
      <c r="CD42" s="459">
        <f t="shared" si="205"/>
        <v>560.74692000000005</v>
      </c>
      <c r="CE42" s="459">
        <f t="shared" si="205"/>
        <v>0</v>
      </c>
      <c r="CF42" s="459">
        <f t="shared" si="205"/>
        <v>0</v>
      </c>
      <c r="CG42" s="459">
        <f t="shared" si="206"/>
        <v>0</v>
      </c>
      <c r="CH42" s="459">
        <f t="shared" si="207"/>
        <v>0</v>
      </c>
      <c r="CI42" s="459">
        <f t="shared" si="207"/>
        <v>0</v>
      </c>
      <c r="CJ42" s="459">
        <f t="shared" si="207"/>
        <v>0</v>
      </c>
      <c r="CK42" s="459">
        <f t="shared" si="207"/>
        <v>0</v>
      </c>
      <c r="CL42" s="465"/>
      <c r="CM42" s="466"/>
      <c r="CN42" s="466"/>
      <c r="CO42" s="459">
        <f t="shared" si="208"/>
        <v>0</v>
      </c>
      <c r="CP42" s="459"/>
      <c r="CQ42" s="461"/>
      <c r="CR42" s="459"/>
      <c r="CS42" s="459"/>
      <c r="CT42" s="459">
        <f t="shared" si="209"/>
        <v>0</v>
      </c>
      <c r="CU42" s="459"/>
      <c r="CV42" s="461"/>
      <c r="CW42" s="459"/>
      <c r="CX42" s="459"/>
      <c r="CY42" s="459">
        <f t="shared" si="210"/>
        <v>0</v>
      </c>
      <c r="CZ42" s="459">
        <f t="shared" si="211"/>
        <v>0</v>
      </c>
      <c r="DA42" s="459">
        <f t="shared" si="211"/>
        <v>0</v>
      </c>
      <c r="DB42" s="459">
        <f t="shared" si="211"/>
        <v>0</v>
      </c>
      <c r="DC42" s="459">
        <f t="shared" si="211"/>
        <v>0</v>
      </c>
      <c r="DD42" s="459"/>
      <c r="DE42" s="459"/>
      <c r="DF42" s="459"/>
      <c r="DG42" s="459">
        <f t="shared" si="212"/>
        <v>0</v>
      </c>
      <c r="DH42" s="467"/>
      <c r="DI42" s="459">
        <f t="shared" si="213"/>
        <v>504.67</v>
      </c>
      <c r="DJ42" s="459">
        <f t="shared" si="214"/>
        <v>504.67</v>
      </c>
      <c r="DK42" s="467"/>
      <c r="DL42" s="459"/>
      <c r="DM42" s="459"/>
      <c r="DN42" s="467"/>
      <c r="DO42" s="459"/>
      <c r="DP42" s="467"/>
      <c r="DQ42" s="467"/>
      <c r="DR42" s="459">
        <f t="shared" si="8"/>
        <v>504.67</v>
      </c>
      <c r="DS42" s="459"/>
      <c r="DT42" s="460">
        <v>504.67</v>
      </c>
      <c r="DU42" s="459"/>
      <c r="DV42" s="459"/>
      <c r="DW42" s="459">
        <f t="shared" si="11"/>
        <v>56.076920000000001</v>
      </c>
      <c r="DX42" s="459"/>
      <c r="DY42" s="459">
        <v>56.076920000000001</v>
      </c>
      <c r="DZ42" s="459"/>
      <c r="EA42" s="146"/>
      <c r="EB42" s="279"/>
      <c r="EC42" s="279"/>
      <c r="ED42" s="279"/>
      <c r="EE42" s="366"/>
      <c r="EF42" s="366"/>
      <c r="EG42" s="279"/>
      <c r="EH42" s="279"/>
      <c r="EI42" s="279"/>
      <c r="EJ42" s="366"/>
      <c r="EK42" s="366"/>
      <c r="EL42" s="366">
        <v>2.76E-2</v>
      </c>
      <c r="EM42" s="280"/>
      <c r="EN42" s="279"/>
      <c r="EO42" s="265" t="e">
        <f t="shared" si="217"/>
        <v>#DIV/0!</v>
      </c>
      <c r="EP42" s="323">
        <f t="shared" si="46"/>
        <v>560.74692000000005</v>
      </c>
      <c r="EQ42" s="323">
        <f t="shared" si="83"/>
        <v>504.67</v>
      </c>
      <c r="ER42" s="323">
        <v>56.076920000000001</v>
      </c>
      <c r="ES42" s="358">
        <f t="shared" ref="ES42:ES56" si="218">EQ42/EP42</f>
        <v>0.89999602672806478</v>
      </c>
      <c r="ET42" s="358">
        <f t="shared" ref="ET42:ET56" si="219">ER42/EP42</f>
        <v>0.10000397327193522</v>
      </c>
      <c r="EU42" s="323">
        <f t="shared" si="49"/>
        <v>560.74692000000005</v>
      </c>
      <c r="EV42" s="323">
        <f t="shared" ref="EV42:EV56" si="220">DT42</f>
        <v>504.67</v>
      </c>
      <c r="EW42" s="323">
        <f t="shared" ref="EW42:EW56" si="221">DY42</f>
        <v>56.076920000000001</v>
      </c>
      <c r="EX42" s="358">
        <f t="shared" ref="EX42:EX56" si="222">EV42/EU42</f>
        <v>0.89999602672806478</v>
      </c>
      <c r="EY42" s="358">
        <f t="shared" ref="EY42:EY56" si="223">EW42/EU42</f>
        <v>0.10000397327193522</v>
      </c>
      <c r="EZ42" s="358">
        <v>9.2100000000000001E-2</v>
      </c>
      <c r="FA42" s="323">
        <f t="shared" ref="FA42:FA56" si="224">EU42*ES42</f>
        <v>504.67</v>
      </c>
      <c r="FB42" s="323">
        <f t="shared" si="51"/>
        <v>0</v>
      </c>
      <c r="FC42" s="279"/>
      <c r="FD42" s="279"/>
      <c r="FE42" s="279"/>
      <c r="FF42" s="366"/>
      <c r="FG42" s="366"/>
      <c r="FH42" s="279"/>
      <c r="FI42" s="279"/>
      <c r="FJ42" s="279"/>
      <c r="FK42" s="366"/>
      <c r="FL42" s="366"/>
      <c r="FM42" s="366">
        <v>9.2100000000000001E-2</v>
      </c>
      <c r="FN42" s="280"/>
      <c r="FO42" s="279"/>
    </row>
    <row r="43" spans="2:171" s="40" customFormat="1" ht="15.6" customHeight="1" x14ac:dyDescent="0.25">
      <c r="B43" s="32"/>
      <c r="C43" s="33">
        <v>1</v>
      </c>
      <c r="D43" s="33"/>
      <c r="E43" s="434">
        <v>31</v>
      </c>
      <c r="F43" s="32"/>
      <c r="G43" s="33">
        <v>1</v>
      </c>
      <c r="H43" s="33">
        <v>1</v>
      </c>
      <c r="I43" s="434"/>
      <c r="J43" s="435"/>
      <c r="K43" s="207"/>
      <c r="L43" s="53"/>
      <c r="M43" s="434">
        <v>30</v>
      </c>
      <c r="N43" s="435" t="s">
        <v>28</v>
      </c>
      <c r="O43" s="435"/>
      <c r="P43" s="24">
        <f t="shared" si="29"/>
        <v>0</v>
      </c>
      <c r="Q43" s="435"/>
      <c r="R43" s="435"/>
      <c r="S43" s="435" t="s">
        <v>490</v>
      </c>
      <c r="T43" s="435" t="s">
        <v>488</v>
      </c>
      <c r="U43" s="161">
        <v>1</v>
      </c>
      <c r="V43" s="434">
        <v>1</v>
      </c>
      <c r="W43" s="473">
        <f t="shared" si="193"/>
        <v>16715.699000000001</v>
      </c>
      <c r="X43" s="459"/>
      <c r="Y43" s="460">
        <f>2826.4+22.5</f>
        <v>2848.9</v>
      </c>
      <c r="Z43" s="459">
        <f>21140.712-7273.913</f>
        <v>13866.798999999999</v>
      </c>
      <c r="AA43" s="461"/>
      <c r="AB43" s="473">
        <f t="shared" si="194"/>
        <v>3155.6</v>
      </c>
      <c r="AC43" s="459"/>
      <c r="AD43" s="460">
        <v>3155.6</v>
      </c>
      <c r="AE43" s="459"/>
      <c r="AF43" s="461"/>
      <c r="AG43" s="473">
        <f t="shared" si="195"/>
        <v>3155.6</v>
      </c>
      <c r="AH43" s="459"/>
      <c r="AI43" s="460">
        <v>3155.6</v>
      </c>
      <c r="AJ43" s="459"/>
      <c r="AK43" s="461"/>
      <c r="AL43" s="473">
        <f t="shared" si="196"/>
        <v>1362</v>
      </c>
      <c r="AM43" s="459"/>
      <c r="AN43" s="460">
        <v>1362</v>
      </c>
      <c r="AO43" s="459"/>
      <c r="AP43" s="461"/>
      <c r="AQ43" s="398" t="s">
        <v>441</v>
      </c>
      <c r="AR43" s="459">
        <f t="shared" si="122"/>
        <v>16579.146000000001</v>
      </c>
      <c r="AS43" s="459"/>
      <c r="AT43" s="462">
        <f>2826.4-114.053</f>
        <v>2712.3470000000002</v>
      </c>
      <c r="AU43" s="459">
        <f>21140.712-7273.913</f>
        <v>13866.798999999999</v>
      </c>
      <c r="AV43" s="461"/>
      <c r="AW43" s="459" t="e">
        <f t="shared" si="197"/>
        <v>#REF!</v>
      </c>
      <c r="AX43" s="459" t="e">
        <f>#REF!-AS43</f>
        <v>#REF!</v>
      </c>
      <c r="AY43" s="459" t="e">
        <f>#REF!-AT43</f>
        <v>#REF!</v>
      </c>
      <c r="AZ43" s="459" t="e">
        <f>#REF!-AU43</f>
        <v>#REF!</v>
      </c>
      <c r="BA43" s="459" t="e">
        <f>#REF!-AV43</f>
        <v>#REF!</v>
      </c>
      <c r="BB43" s="459">
        <f t="shared" si="198"/>
        <v>3155.6</v>
      </c>
      <c r="BC43" s="459"/>
      <c r="BD43" s="460">
        <v>3155.6</v>
      </c>
      <c r="BE43" s="459"/>
      <c r="BF43" s="461"/>
      <c r="BG43" s="459">
        <f t="shared" si="199"/>
        <v>0</v>
      </c>
      <c r="BH43" s="459"/>
      <c r="BI43" s="460"/>
      <c r="BJ43" s="459"/>
      <c r="BK43" s="461"/>
      <c r="BL43" s="459">
        <f t="shared" si="200"/>
        <v>16579.146000000001</v>
      </c>
      <c r="BM43" s="459"/>
      <c r="BN43" s="460">
        <v>2712.3470000000002</v>
      </c>
      <c r="BO43" s="459">
        <v>13866.799000000001</v>
      </c>
      <c r="BP43" s="470"/>
      <c r="BQ43" s="459">
        <f t="shared" si="201"/>
        <v>16579.146000000001</v>
      </c>
      <c r="BR43" s="459"/>
      <c r="BS43" s="460">
        <v>2712.3470000000002</v>
      </c>
      <c r="BT43" s="459">
        <v>13866.799000000001</v>
      </c>
      <c r="BU43" s="470"/>
      <c r="BV43" s="459">
        <f t="shared" si="202"/>
        <v>1637.6955700000001</v>
      </c>
      <c r="BW43" s="459"/>
      <c r="BX43" s="459">
        <v>267.92759000000001</v>
      </c>
      <c r="BY43" s="459">
        <v>1369.7679800000001</v>
      </c>
      <c r="BZ43" s="459"/>
      <c r="CA43" s="464">
        <f t="shared" si="203"/>
        <v>18216.841570000001</v>
      </c>
      <c r="CB43" s="459">
        <f t="shared" si="204"/>
        <v>18216.841570000001</v>
      </c>
      <c r="CC43" s="459">
        <f t="shared" si="205"/>
        <v>0</v>
      </c>
      <c r="CD43" s="459">
        <f t="shared" si="205"/>
        <v>2980.27459</v>
      </c>
      <c r="CE43" s="459">
        <f t="shared" si="205"/>
        <v>15236.566980000001</v>
      </c>
      <c r="CF43" s="459">
        <f t="shared" si="205"/>
        <v>0</v>
      </c>
      <c r="CG43" s="459">
        <f t="shared" si="206"/>
        <v>0</v>
      </c>
      <c r="CH43" s="459">
        <f t="shared" si="207"/>
        <v>0</v>
      </c>
      <c r="CI43" s="459">
        <f t="shared" si="207"/>
        <v>0</v>
      </c>
      <c r="CJ43" s="459">
        <f t="shared" si="207"/>
        <v>0</v>
      </c>
      <c r="CK43" s="459">
        <f t="shared" si="207"/>
        <v>0</v>
      </c>
      <c r="CL43" s="465"/>
      <c r="CM43" s="559">
        <f>BB43+BB48+BB54</f>
        <v>24905.309000000001</v>
      </c>
      <c r="CN43" s="559">
        <f>CM43+CO43-BG54</f>
        <v>24905.309000000001</v>
      </c>
      <c r="CO43" s="459">
        <f t="shared" si="208"/>
        <v>0</v>
      </c>
      <c r="CP43" s="459"/>
      <c r="CQ43" s="460"/>
      <c r="CR43" s="459"/>
      <c r="CS43" s="461"/>
      <c r="CT43" s="459">
        <f t="shared" si="209"/>
        <v>0</v>
      </c>
      <c r="CU43" s="459"/>
      <c r="CV43" s="460"/>
      <c r="CW43" s="459"/>
      <c r="CX43" s="461"/>
      <c r="CY43" s="459">
        <f t="shared" si="210"/>
        <v>0</v>
      </c>
      <c r="CZ43" s="459">
        <f t="shared" si="211"/>
        <v>0</v>
      </c>
      <c r="DA43" s="459">
        <f t="shared" si="211"/>
        <v>0</v>
      </c>
      <c r="DB43" s="459">
        <f t="shared" si="211"/>
        <v>0</v>
      </c>
      <c r="DC43" s="459">
        <f t="shared" si="211"/>
        <v>0</v>
      </c>
      <c r="DD43" s="459"/>
      <c r="DE43" s="459"/>
      <c r="DF43" s="459"/>
      <c r="DG43" s="459">
        <f t="shared" si="212"/>
        <v>0</v>
      </c>
      <c r="DH43" s="467"/>
      <c r="DI43" s="459">
        <f t="shared" si="213"/>
        <v>16579.146000000001</v>
      </c>
      <c r="DJ43" s="459">
        <f t="shared" si="214"/>
        <v>16579.146000000001</v>
      </c>
      <c r="DK43" s="467"/>
      <c r="DL43" s="560">
        <f>DJ43+DJ48+DJ54</f>
        <v>26224.716</v>
      </c>
      <c r="DM43" s="560">
        <f>DG43+DG48+DG54</f>
        <v>0</v>
      </c>
      <c r="DN43" s="467"/>
      <c r="DO43" s="459">
        <f>CN43-DL43</f>
        <v>-1319.4069999999992</v>
      </c>
      <c r="DP43" s="467"/>
      <c r="DQ43" s="467"/>
      <c r="DR43" s="459">
        <f t="shared" si="8"/>
        <v>16579.146000000001</v>
      </c>
      <c r="DS43" s="459"/>
      <c r="DT43" s="460">
        <v>2712.3470000000002</v>
      </c>
      <c r="DU43" s="459">
        <v>13866.799000000001</v>
      </c>
      <c r="DV43" s="470"/>
      <c r="DW43" s="459">
        <f t="shared" si="11"/>
        <v>1637.6955700000001</v>
      </c>
      <c r="DX43" s="459"/>
      <c r="DY43" s="459">
        <v>267.92759000000001</v>
      </c>
      <c r="DZ43" s="459">
        <v>1369.7679800000001</v>
      </c>
      <c r="EA43" s="146"/>
      <c r="EB43" s="279"/>
      <c r="EC43" s="279"/>
      <c r="ED43" s="279"/>
      <c r="EE43" s="366"/>
      <c r="EF43" s="366"/>
      <c r="EG43" s="279"/>
      <c r="EH43" s="279"/>
      <c r="EI43" s="279"/>
      <c r="EJ43" s="366"/>
      <c r="EK43" s="366"/>
      <c r="EL43" s="366">
        <v>2.7E-2</v>
      </c>
      <c r="EM43" s="280"/>
      <c r="EN43" s="279"/>
      <c r="EO43" s="265" t="e">
        <f t="shared" si="217"/>
        <v>#DIV/0!</v>
      </c>
      <c r="EP43" s="323">
        <f t="shared" si="46"/>
        <v>2980.27459</v>
      </c>
      <c r="EQ43" s="323">
        <f t="shared" si="83"/>
        <v>2712.3470000000002</v>
      </c>
      <c r="ER43" s="323">
        <v>267.92759000000001</v>
      </c>
      <c r="ES43" s="358">
        <f t="shared" si="218"/>
        <v>0.91009969655178657</v>
      </c>
      <c r="ET43" s="358">
        <f t="shared" si="219"/>
        <v>8.9900303448213481E-2</v>
      </c>
      <c r="EU43" s="323">
        <f t="shared" si="49"/>
        <v>2980.27459</v>
      </c>
      <c r="EV43" s="323">
        <f t="shared" si="220"/>
        <v>2712.3470000000002</v>
      </c>
      <c r="EW43" s="323">
        <f t="shared" si="221"/>
        <v>267.92759000000001</v>
      </c>
      <c r="EX43" s="358">
        <f t="shared" si="222"/>
        <v>0.91009969655178657</v>
      </c>
      <c r="EY43" s="358">
        <f t="shared" si="223"/>
        <v>8.9900303448213481E-2</v>
      </c>
      <c r="EZ43" s="358">
        <v>8.9899999999999994E-2</v>
      </c>
      <c r="FA43" s="323">
        <f t="shared" si="224"/>
        <v>2712.3470000000002</v>
      </c>
      <c r="FB43" s="323">
        <f t="shared" si="51"/>
        <v>0</v>
      </c>
      <c r="FC43" s="279">
        <f t="shared" ref="FC43:FC54" si="225">FD43+FE43</f>
        <v>15236.56698</v>
      </c>
      <c r="FD43" s="279">
        <f t="shared" si="53"/>
        <v>13866.798999999999</v>
      </c>
      <c r="FE43" s="279">
        <v>1369.7679800000001</v>
      </c>
      <c r="FF43" s="366">
        <f t="shared" ref="FF43:FF54" si="226">FD43/FC43</f>
        <v>0.9100999600633134</v>
      </c>
      <c r="FG43" s="366">
        <f t="shared" ref="FG43:FG54" si="227">FE43/FC43</f>
        <v>8.990003993668659E-2</v>
      </c>
      <c r="FH43" s="279">
        <f t="shared" si="55"/>
        <v>15236.566980000001</v>
      </c>
      <c r="FI43" s="279">
        <f t="shared" si="151"/>
        <v>13866.799000000001</v>
      </c>
      <c r="FJ43" s="279">
        <f t="shared" si="152"/>
        <v>1369.7679800000001</v>
      </c>
      <c r="FK43" s="366">
        <f t="shared" ref="FK43:FK54" si="228">FI43/FH43</f>
        <v>0.9100999600633134</v>
      </c>
      <c r="FL43" s="366">
        <f t="shared" ref="FL43:FL54" si="229">FJ43/FH43</f>
        <v>8.9900039936686577E-2</v>
      </c>
      <c r="FM43" s="366">
        <v>8.9899999999999994E-2</v>
      </c>
      <c r="FN43" s="280">
        <f t="shared" ref="FN43:FN103" si="230">FH43*FF43</f>
        <v>13866.799000000001</v>
      </c>
      <c r="FO43" s="279">
        <f t="shared" si="57"/>
        <v>0</v>
      </c>
    </row>
    <row r="44" spans="2:171" s="40" customFormat="1" ht="15.75" customHeight="1" x14ac:dyDescent="0.25">
      <c r="B44" s="32"/>
      <c r="C44" s="33"/>
      <c r="D44" s="33">
        <v>1</v>
      </c>
      <c r="E44" s="434">
        <v>32</v>
      </c>
      <c r="F44" s="32"/>
      <c r="G44" s="33"/>
      <c r="H44" s="33"/>
      <c r="I44" s="664"/>
      <c r="J44" s="665"/>
      <c r="K44" s="665"/>
      <c r="L44" s="159"/>
      <c r="M44" s="434">
        <v>31</v>
      </c>
      <c r="N44" s="435" t="s">
        <v>89</v>
      </c>
      <c r="O44" s="435"/>
      <c r="P44" s="24">
        <f t="shared" si="29"/>
        <v>0</v>
      </c>
      <c r="Q44" s="435" t="s">
        <v>501</v>
      </c>
      <c r="R44" s="435" t="s">
        <v>488</v>
      </c>
      <c r="S44" s="435" t="s">
        <v>490</v>
      </c>
      <c r="T44" s="435" t="s">
        <v>488</v>
      </c>
      <c r="U44" s="161">
        <v>1</v>
      </c>
      <c r="V44" s="434">
        <v>1</v>
      </c>
      <c r="W44" s="473">
        <f t="shared" si="193"/>
        <v>292.7</v>
      </c>
      <c r="X44" s="459"/>
      <c r="Y44" s="460">
        <v>292.7</v>
      </c>
      <c r="Z44" s="459"/>
      <c r="AA44" s="464"/>
      <c r="AB44" s="473">
        <f t="shared" si="194"/>
        <v>285.2</v>
      </c>
      <c r="AC44" s="459"/>
      <c r="AD44" s="460">
        <v>285.2</v>
      </c>
      <c r="AE44" s="459"/>
      <c r="AF44" s="464"/>
      <c r="AG44" s="473">
        <f t="shared" si="195"/>
        <v>285.2</v>
      </c>
      <c r="AH44" s="459"/>
      <c r="AI44" s="460">
        <v>285.2</v>
      </c>
      <c r="AJ44" s="459"/>
      <c r="AK44" s="464"/>
      <c r="AL44" s="473">
        <f t="shared" si="196"/>
        <v>124</v>
      </c>
      <c r="AM44" s="459"/>
      <c r="AN44" s="460">
        <v>124</v>
      </c>
      <c r="AO44" s="459"/>
      <c r="AP44" s="459"/>
      <c r="AQ44" s="398" t="s">
        <v>461</v>
      </c>
      <c r="AR44" s="459">
        <f t="shared" si="122"/>
        <v>227.03177799999997</v>
      </c>
      <c r="AS44" s="459"/>
      <c r="AT44" s="462">
        <f>292.7-65.668222</f>
        <v>227.03177799999997</v>
      </c>
      <c r="AU44" s="459"/>
      <c r="AV44" s="459"/>
      <c r="AW44" s="459" t="e">
        <f t="shared" si="197"/>
        <v>#REF!</v>
      </c>
      <c r="AX44" s="459" t="e">
        <f>#REF!-AS44</f>
        <v>#REF!</v>
      </c>
      <c r="AY44" s="459" t="e">
        <f>#REF!-AT44</f>
        <v>#REF!</v>
      </c>
      <c r="AZ44" s="459" t="e">
        <f>#REF!-AU44</f>
        <v>#REF!</v>
      </c>
      <c r="BA44" s="459" t="e">
        <f>#REF!-AV44</f>
        <v>#REF!</v>
      </c>
      <c r="BB44" s="459">
        <f t="shared" si="198"/>
        <v>185.06900000000002</v>
      </c>
      <c r="BC44" s="459"/>
      <c r="BD44" s="460">
        <f>124+61.069</f>
        <v>185.06900000000002</v>
      </c>
      <c r="BE44" s="459"/>
      <c r="BF44" s="459"/>
      <c r="BG44" s="459">
        <f t="shared" si="199"/>
        <v>0</v>
      </c>
      <c r="BH44" s="459"/>
      <c r="BI44" s="460"/>
      <c r="BJ44" s="459"/>
      <c r="BK44" s="459"/>
      <c r="BL44" s="459">
        <f t="shared" si="200"/>
        <v>227.03178</v>
      </c>
      <c r="BM44" s="459"/>
      <c r="BN44" s="460">
        <v>227.03178</v>
      </c>
      <c r="BO44" s="459"/>
      <c r="BP44" s="459"/>
      <c r="BQ44" s="459">
        <f t="shared" si="201"/>
        <v>227.03178</v>
      </c>
      <c r="BR44" s="459"/>
      <c r="BS44" s="460">
        <v>227.03178</v>
      </c>
      <c r="BT44" s="459"/>
      <c r="BU44" s="459"/>
      <c r="BV44" s="459">
        <f t="shared" si="202"/>
        <v>18.302060000000001</v>
      </c>
      <c r="BW44" s="459"/>
      <c r="BX44" s="460">
        <v>18.302060000000001</v>
      </c>
      <c r="BY44" s="459"/>
      <c r="BZ44" s="459"/>
      <c r="CA44" s="464">
        <f t="shared" si="203"/>
        <v>245.33384000000001</v>
      </c>
      <c r="CB44" s="459">
        <f t="shared" si="204"/>
        <v>245.33384000000001</v>
      </c>
      <c r="CC44" s="459">
        <f t="shared" si="205"/>
        <v>0</v>
      </c>
      <c r="CD44" s="459">
        <f t="shared" si="205"/>
        <v>245.33384000000001</v>
      </c>
      <c r="CE44" s="459">
        <f t="shared" si="205"/>
        <v>0</v>
      </c>
      <c r="CF44" s="459">
        <f t="shared" si="205"/>
        <v>0</v>
      </c>
      <c r="CG44" s="459">
        <f t="shared" si="206"/>
        <v>0</v>
      </c>
      <c r="CH44" s="459">
        <f t="shared" si="207"/>
        <v>0</v>
      </c>
      <c r="CI44" s="459">
        <f t="shared" si="207"/>
        <v>0</v>
      </c>
      <c r="CJ44" s="459">
        <f t="shared" si="207"/>
        <v>0</v>
      </c>
      <c r="CK44" s="459">
        <f t="shared" si="207"/>
        <v>0</v>
      </c>
      <c r="CL44" s="465"/>
      <c r="CM44" s="466">
        <f>BB42+BB44+BB45+BB46+BB47+BB49+BB50+BB51+BB52+BB53+BB55+BB56</f>
        <v>15105.255319999998</v>
      </c>
      <c r="CN44" s="466">
        <f>CM44+CO46+CO51-BG47-BG49-BG53</f>
        <v>15105.255319999998</v>
      </c>
      <c r="CO44" s="459">
        <f t="shared" si="208"/>
        <v>0</v>
      </c>
      <c r="CP44" s="459"/>
      <c r="CQ44" s="460"/>
      <c r="CR44" s="459"/>
      <c r="CS44" s="459"/>
      <c r="CT44" s="459">
        <f t="shared" si="209"/>
        <v>0</v>
      </c>
      <c r="CU44" s="459"/>
      <c r="CV44" s="460"/>
      <c r="CW44" s="459"/>
      <c r="CX44" s="459"/>
      <c r="CY44" s="459">
        <f t="shared" si="210"/>
        <v>0</v>
      </c>
      <c r="CZ44" s="459">
        <f t="shared" si="211"/>
        <v>0</v>
      </c>
      <c r="DA44" s="459">
        <f t="shared" si="211"/>
        <v>0</v>
      </c>
      <c r="DB44" s="459">
        <f t="shared" si="211"/>
        <v>0</v>
      </c>
      <c r="DC44" s="459">
        <f t="shared" si="211"/>
        <v>0</v>
      </c>
      <c r="DD44" s="459"/>
      <c r="DE44" s="459"/>
      <c r="DF44" s="459"/>
      <c r="DG44" s="459">
        <f t="shared" si="212"/>
        <v>0</v>
      </c>
      <c r="DH44" s="467"/>
      <c r="DI44" s="459">
        <f t="shared" si="213"/>
        <v>227.03178</v>
      </c>
      <c r="DJ44" s="459">
        <f t="shared" si="214"/>
        <v>227.03178</v>
      </c>
      <c r="DK44" s="467"/>
      <c r="DL44" s="459">
        <f>DJ42+DJ44+DJ45+DJ46+DJ47+DJ49+DJ50+DJ51+DJ52+DJ53+DJ55+DJ56</f>
        <v>11092.789490000001</v>
      </c>
      <c r="DM44" s="459">
        <f>DG42+DG44+DG45+DG46+DG47+DG49+DG50+DG51+DG52+DG53+DG55+DG56</f>
        <v>0</v>
      </c>
      <c r="DN44" s="467"/>
      <c r="DO44" s="459">
        <f>CN44-DL44</f>
        <v>4012.4658299999974</v>
      </c>
      <c r="DP44" s="467"/>
      <c r="DQ44" s="467"/>
      <c r="DR44" s="459">
        <f t="shared" si="8"/>
        <v>227.03178</v>
      </c>
      <c r="DS44" s="459"/>
      <c r="DT44" s="460">
        <v>227.03178</v>
      </c>
      <c r="DU44" s="459"/>
      <c r="DV44" s="459"/>
      <c r="DW44" s="459">
        <f t="shared" si="11"/>
        <v>18.302060000000001</v>
      </c>
      <c r="DX44" s="459"/>
      <c r="DY44" s="460">
        <v>18.302060000000001</v>
      </c>
      <c r="DZ44" s="459"/>
      <c r="EA44" s="146"/>
      <c r="EB44" s="279"/>
      <c r="EC44" s="279"/>
      <c r="ED44" s="279"/>
      <c r="EE44" s="366"/>
      <c r="EF44" s="366"/>
      <c r="EG44" s="279"/>
      <c r="EH44" s="279"/>
      <c r="EI44" s="279"/>
      <c r="EJ44" s="366"/>
      <c r="EK44" s="366"/>
      <c r="EL44" s="366">
        <v>2.24E-2</v>
      </c>
      <c r="EM44" s="280"/>
      <c r="EN44" s="279"/>
      <c r="EO44" s="265" t="e">
        <f t="shared" si="217"/>
        <v>#DIV/0!</v>
      </c>
      <c r="EP44" s="323">
        <f t="shared" si="46"/>
        <v>245.33383799999999</v>
      </c>
      <c r="EQ44" s="323">
        <f t="shared" si="83"/>
        <v>227.03177799999997</v>
      </c>
      <c r="ER44" s="323">
        <v>18.302060000000001</v>
      </c>
      <c r="ES44" s="358">
        <f t="shared" si="218"/>
        <v>0.92539936541489232</v>
      </c>
      <c r="ET44" s="358">
        <f t="shared" si="219"/>
        <v>7.460063458510767E-2</v>
      </c>
      <c r="EU44" s="323">
        <f t="shared" si="49"/>
        <v>245.33384000000001</v>
      </c>
      <c r="EV44" s="323">
        <f t="shared" si="220"/>
        <v>227.03178</v>
      </c>
      <c r="EW44" s="323">
        <f t="shared" si="221"/>
        <v>18.302060000000001</v>
      </c>
      <c r="EX44" s="358">
        <f t="shared" si="222"/>
        <v>0.9253993660230484</v>
      </c>
      <c r="EY44" s="358">
        <f t="shared" si="223"/>
        <v>7.4600633976951575E-2</v>
      </c>
      <c r="EZ44" s="358">
        <v>7.46E-2</v>
      </c>
      <c r="FA44" s="323">
        <f t="shared" si="224"/>
        <v>227.03177985079873</v>
      </c>
      <c r="FB44" s="323">
        <f t="shared" si="51"/>
        <v>1.4920127000550565E-7</v>
      </c>
      <c r="FC44" s="279"/>
      <c r="FD44" s="279"/>
      <c r="FE44" s="279"/>
      <c r="FF44" s="366"/>
      <c r="FG44" s="366"/>
      <c r="FH44" s="279"/>
      <c r="FI44" s="279"/>
      <c r="FJ44" s="279"/>
      <c r="FK44" s="366"/>
      <c r="FL44" s="366"/>
      <c r="FM44" s="366">
        <v>7.46E-2</v>
      </c>
      <c r="FN44" s="280"/>
      <c r="FO44" s="279"/>
    </row>
    <row r="45" spans="2:171" s="40" customFormat="1" ht="15.6" customHeight="1" x14ac:dyDescent="0.25">
      <c r="B45" s="32"/>
      <c r="C45" s="33"/>
      <c r="D45" s="33">
        <v>1</v>
      </c>
      <c r="E45" s="434">
        <v>33</v>
      </c>
      <c r="F45" s="32"/>
      <c r="G45" s="33"/>
      <c r="H45" s="33"/>
      <c r="I45" s="657"/>
      <c r="J45" s="658"/>
      <c r="K45" s="658"/>
      <c r="L45" s="658"/>
      <c r="M45" s="434">
        <v>32</v>
      </c>
      <c r="N45" s="435" t="s">
        <v>200</v>
      </c>
      <c r="O45" s="435"/>
      <c r="P45" s="24">
        <f t="shared" si="29"/>
        <v>0</v>
      </c>
      <c r="Q45" s="435" t="s">
        <v>501</v>
      </c>
      <c r="R45" s="435" t="s">
        <v>488</v>
      </c>
      <c r="S45" s="435" t="s">
        <v>491</v>
      </c>
      <c r="T45" s="435" t="s">
        <v>488</v>
      </c>
      <c r="U45" s="161">
        <v>1</v>
      </c>
      <c r="V45" s="434">
        <v>2</v>
      </c>
      <c r="W45" s="473">
        <f t="shared" si="193"/>
        <v>718.4</v>
      </c>
      <c r="X45" s="459"/>
      <c r="Y45" s="460">
        <v>718.4</v>
      </c>
      <c r="Z45" s="459"/>
      <c r="AA45" s="464"/>
      <c r="AB45" s="473">
        <f t="shared" si="194"/>
        <v>724.5</v>
      </c>
      <c r="AC45" s="459"/>
      <c r="AD45" s="460">
        <v>724.5</v>
      </c>
      <c r="AE45" s="459"/>
      <c r="AF45" s="464"/>
      <c r="AG45" s="473">
        <f t="shared" si="195"/>
        <v>724.5</v>
      </c>
      <c r="AH45" s="459"/>
      <c r="AI45" s="460">
        <v>724.5</v>
      </c>
      <c r="AJ45" s="459"/>
      <c r="AK45" s="464"/>
      <c r="AL45" s="473">
        <f t="shared" si="196"/>
        <v>315</v>
      </c>
      <c r="AM45" s="459"/>
      <c r="AN45" s="460">
        <v>315</v>
      </c>
      <c r="AO45" s="459"/>
      <c r="AP45" s="459"/>
      <c r="AQ45" s="383" t="s">
        <v>484</v>
      </c>
      <c r="AR45" s="459">
        <f t="shared" si="122"/>
        <v>718.4</v>
      </c>
      <c r="AS45" s="459"/>
      <c r="AT45" s="462">
        <v>718.4</v>
      </c>
      <c r="AU45" s="459"/>
      <c r="AV45" s="459"/>
      <c r="AW45" s="459" t="e">
        <f t="shared" si="197"/>
        <v>#REF!</v>
      </c>
      <c r="AX45" s="459" t="e">
        <f>#REF!-AS45</f>
        <v>#REF!</v>
      </c>
      <c r="AY45" s="459" t="e">
        <f>#REF!-AT45</f>
        <v>#REF!</v>
      </c>
      <c r="AZ45" s="459" t="e">
        <f>#REF!-AU45</f>
        <v>#REF!</v>
      </c>
      <c r="BA45" s="459" t="e">
        <f>#REF!-AV45</f>
        <v>#REF!</v>
      </c>
      <c r="BB45" s="459">
        <f t="shared" si="198"/>
        <v>662.74600000000009</v>
      </c>
      <c r="BC45" s="459"/>
      <c r="BD45" s="460">
        <f>314.6+348.146</f>
        <v>662.74600000000009</v>
      </c>
      <c r="BE45" s="459"/>
      <c r="BF45" s="459"/>
      <c r="BG45" s="459">
        <f t="shared" si="199"/>
        <v>0</v>
      </c>
      <c r="BH45" s="459"/>
      <c r="BI45" s="459"/>
      <c r="BJ45" s="459"/>
      <c r="BK45" s="459"/>
      <c r="BL45" s="459">
        <f t="shared" si="200"/>
        <v>718.4</v>
      </c>
      <c r="BM45" s="459"/>
      <c r="BN45" s="462">
        <v>718.4</v>
      </c>
      <c r="BO45" s="459"/>
      <c r="BP45" s="459"/>
      <c r="BQ45" s="459">
        <f t="shared" si="201"/>
        <v>718.4</v>
      </c>
      <c r="BR45" s="459"/>
      <c r="BS45" s="462">
        <v>718.4</v>
      </c>
      <c r="BT45" s="459"/>
      <c r="BU45" s="459"/>
      <c r="BV45" s="459">
        <f t="shared" si="202"/>
        <v>916.72728000000006</v>
      </c>
      <c r="BW45" s="459"/>
      <c r="BX45" s="459">
        <f>316.72728+200+400</f>
        <v>916.72728000000006</v>
      </c>
      <c r="BY45" s="459"/>
      <c r="BZ45" s="459"/>
      <c r="CA45" s="464">
        <f t="shared" si="203"/>
        <v>1635.1272800000002</v>
      </c>
      <c r="CB45" s="459">
        <f t="shared" si="204"/>
        <v>1635.1272800000002</v>
      </c>
      <c r="CC45" s="459">
        <f t="shared" si="205"/>
        <v>0</v>
      </c>
      <c r="CD45" s="459">
        <f t="shared" si="205"/>
        <v>1635.1272800000002</v>
      </c>
      <c r="CE45" s="459">
        <f t="shared" si="205"/>
        <v>0</v>
      </c>
      <c r="CF45" s="459">
        <f t="shared" si="205"/>
        <v>0</v>
      </c>
      <c r="CG45" s="459">
        <f t="shared" si="206"/>
        <v>0</v>
      </c>
      <c r="CH45" s="459">
        <f t="shared" si="207"/>
        <v>0</v>
      </c>
      <c r="CI45" s="459">
        <f t="shared" si="207"/>
        <v>0</v>
      </c>
      <c r="CJ45" s="459">
        <f t="shared" si="207"/>
        <v>0</v>
      </c>
      <c r="CK45" s="459">
        <f t="shared" si="207"/>
        <v>0</v>
      </c>
      <c r="CL45" s="465"/>
      <c r="CM45" s="466"/>
      <c r="CN45" s="466"/>
      <c r="CO45" s="459">
        <f t="shared" si="208"/>
        <v>0</v>
      </c>
      <c r="CP45" s="459"/>
      <c r="CQ45" s="459"/>
      <c r="CR45" s="459"/>
      <c r="CS45" s="459"/>
      <c r="CT45" s="459">
        <f t="shared" si="209"/>
        <v>0</v>
      </c>
      <c r="CU45" s="459"/>
      <c r="CV45" s="459"/>
      <c r="CW45" s="459"/>
      <c r="CX45" s="459"/>
      <c r="CY45" s="459">
        <f t="shared" si="210"/>
        <v>0</v>
      </c>
      <c r="CZ45" s="459">
        <f t="shared" si="211"/>
        <v>0</v>
      </c>
      <c r="DA45" s="459">
        <f t="shared" si="211"/>
        <v>0</v>
      </c>
      <c r="DB45" s="459">
        <f t="shared" si="211"/>
        <v>0</v>
      </c>
      <c r="DC45" s="459">
        <f t="shared" si="211"/>
        <v>0</v>
      </c>
      <c r="DD45" s="459"/>
      <c r="DE45" s="459"/>
      <c r="DF45" s="459"/>
      <c r="DG45" s="459">
        <f t="shared" si="212"/>
        <v>0</v>
      </c>
      <c r="DH45" s="467"/>
      <c r="DI45" s="459">
        <f t="shared" si="213"/>
        <v>718.4</v>
      </c>
      <c r="DJ45" s="459">
        <f t="shared" si="214"/>
        <v>718.4</v>
      </c>
      <c r="DK45" s="467"/>
      <c r="DL45" s="459"/>
      <c r="DM45" s="459"/>
      <c r="DN45" s="467"/>
      <c r="DO45" s="459"/>
      <c r="DP45" s="467"/>
      <c r="DQ45" s="467"/>
      <c r="DR45" s="459">
        <f t="shared" si="8"/>
        <v>718.4</v>
      </c>
      <c r="DS45" s="459"/>
      <c r="DT45" s="462">
        <v>718.4</v>
      </c>
      <c r="DU45" s="459"/>
      <c r="DV45" s="459"/>
      <c r="DW45" s="459">
        <f t="shared" si="11"/>
        <v>916.72727999999995</v>
      </c>
      <c r="DX45" s="459"/>
      <c r="DY45" s="459">
        <v>916.72727999999995</v>
      </c>
      <c r="DZ45" s="459"/>
      <c r="EA45" s="146"/>
      <c r="EB45" s="279"/>
      <c r="EC45" s="279"/>
      <c r="ED45" s="279"/>
      <c r="EE45" s="366"/>
      <c r="EF45" s="366"/>
      <c r="EG45" s="279"/>
      <c r="EH45" s="279"/>
      <c r="EI45" s="279"/>
      <c r="EJ45" s="366"/>
      <c r="EK45" s="366"/>
      <c r="EL45" s="366">
        <v>2.5700000000000001E-2</v>
      </c>
      <c r="EM45" s="280"/>
      <c r="EN45" s="279"/>
      <c r="EO45" s="265" t="e">
        <f t="shared" si="217"/>
        <v>#DIV/0!</v>
      </c>
      <c r="EP45" s="323">
        <f t="shared" si="46"/>
        <v>1635.1272799999999</v>
      </c>
      <c r="EQ45" s="323">
        <f t="shared" si="83"/>
        <v>718.4</v>
      </c>
      <c r="ER45" s="323">
        <v>916.72727999999995</v>
      </c>
      <c r="ES45" s="358">
        <f t="shared" si="218"/>
        <v>0.43935417675864352</v>
      </c>
      <c r="ET45" s="358">
        <f t="shared" si="219"/>
        <v>0.56064582324135648</v>
      </c>
      <c r="EU45" s="323">
        <f t="shared" si="49"/>
        <v>1635.1272799999999</v>
      </c>
      <c r="EV45" s="323">
        <f t="shared" si="220"/>
        <v>718.4</v>
      </c>
      <c r="EW45" s="323">
        <f t="shared" si="221"/>
        <v>916.72727999999995</v>
      </c>
      <c r="EX45" s="358">
        <f t="shared" si="222"/>
        <v>0.43935417675864352</v>
      </c>
      <c r="EY45" s="358">
        <f t="shared" si="223"/>
        <v>0.56064582324135648</v>
      </c>
      <c r="EZ45" s="358">
        <v>8.5800000000000001E-2</v>
      </c>
      <c r="FA45" s="323">
        <f t="shared" si="224"/>
        <v>718.4</v>
      </c>
      <c r="FB45" s="323">
        <f t="shared" si="51"/>
        <v>0</v>
      </c>
      <c r="FC45" s="279"/>
      <c r="FD45" s="279"/>
      <c r="FE45" s="279"/>
      <c r="FF45" s="366"/>
      <c r="FG45" s="366"/>
      <c r="FH45" s="279"/>
      <c r="FI45" s="279"/>
      <c r="FJ45" s="279"/>
      <c r="FK45" s="366"/>
      <c r="FL45" s="366"/>
      <c r="FM45" s="366">
        <v>8.5800000000000001E-2</v>
      </c>
      <c r="FN45" s="280"/>
      <c r="FO45" s="279"/>
    </row>
    <row r="46" spans="2:171" s="40" customFormat="1" ht="15" customHeight="1" x14ac:dyDescent="0.25">
      <c r="B46" s="32"/>
      <c r="C46" s="33"/>
      <c r="D46" s="33">
        <v>1</v>
      </c>
      <c r="E46" s="434">
        <v>34</v>
      </c>
      <c r="F46" s="32"/>
      <c r="G46" s="33"/>
      <c r="H46" s="33">
        <v>1</v>
      </c>
      <c r="I46" s="434"/>
      <c r="J46" s="435"/>
      <c r="K46" s="205"/>
      <c r="L46" s="53"/>
      <c r="M46" s="434">
        <v>33</v>
      </c>
      <c r="N46" s="435" t="s">
        <v>90</v>
      </c>
      <c r="O46" s="435"/>
      <c r="P46" s="24">
        <f t="shared" si="29"/>
        <v>0</v>
      </c>
      <c r="Q46" s="435" t="s">
        <v>501</v>
      </c>
      <c r="R46" s="435" t="s">
        <v>488</v>
      </c>
      <c r="S46" s="435"/>
      <c r="T46" s="435"/>
      <c r="U46" s="161">
        <v>1</v>
      </c>
      <c r="V46" s="434">
        <v>1</v>
      </c>
      <c r="W46" s="473">
        <f t="shared" si="193"/>
        <v>601.70000000000005</v>
      </c>
      <c r="X46" s="459"/>
      <c r="Y46" s="460">
        <v>601.70000000000005</v>
      </c>
      <c r="Z46" s="459"/>
      <c r="AA46" s="461"/>
      <c r="AB46" s="473">
        <f t="shared" si="194"/>
        <v>381.8</v>
      </c>
      <c r="AC46" s="459"/>
      <c r="AD46" s="460">
        <v>381.8</v>
      </c>
      <c r="AE46" s="459"/>
      <c r="AF46" s="461"/>
      <c r="AG46" s="473">
        <f t="shared" si="195"/>
        <v>381.8</v>
      </c>
      <c r="AH46" s="459"/>
      <c r="AI46" s="460">
        <v>381.8</v>
      </c>
      <c r="AJ46" s="459"/>
      <c r="AK46" s="461"/>
      <c r="AL46" s="473">
        <f t="shared" si="196"/>
        <v>166</v>
      </c>
      <c r="AM46" s="459"/>
      <c r="AN46" s="460">
        <v>166</v>
      </c>
      <c r="AO46" s="459"/>
      <c r="AP46" s="461"/>
      <c r="AQ46" s="383" t="s">
        <v>553</v>
      </c>
      <c r="AR46" s="459">
        <f t="shared" si="122"/>
        <v>568.43700000000001</v>
      </c>
      <c r="AS46" s="459"/>
      <c r="AT46" s="462">
        <f>601.7-33.263</f>
        <v>568.43700000000001</v>
      </c>
      <c r="AU46" s="459"/>
      <c r="AV46" s="461"/>
      <c r="AW46" s="459" t="e">
        <f t="shared" si="197"/>
        <v>#REF!</v>
      </c>
      <c r="AX46" s="459" t="e">
        <f>#REF!-AS46</f>
        <v>#REF!</v>
      </c>
      <c r="AY46" s="459" t="e">
        <f>#REF!-AT46</f>
        <v>#REF!</v>
      </c>
      <c r="AZ46" s="459" t="e">
        <f>#REF!-AU46</f>
        <v>#REF!</v>
      </c>
      <c r="BA46" s="459" t="e">
        <f>#REF!-AV46</f>
        <v>#REF!</v>
      </c>
      <c r="BB46" s="459">
        <f t="shared" si="198"/>
        <v>381.8</v>
      </c>
      <c r="BC46" s="459"/>
      <c r="BD46" s="460">
        <f>166+215.8</f>
        <v>381.8</v>
      </c>
      <c r="BE46" s="459"/>
      <c r="BF46" s="461"/>
      <c r="BG46" s="459">
        <f t="shared" si="199"/>
        <v>0</v>
      </c>
      <c r="BH46" s="459"/>
      <c r="BI46" s="460"/>
      <c r="BJ46" s="459"/>
      <c r="BK46" s="461"/>
      <c r="BL46" s="459">
        <f t="shared" si="200"/>
        <v>568.43700000000001</v>
      </c>
      <c r="BM46" s="459"/>
      <c r="BN46" s="460">
        <v>568.43700000000001</v>
      </c>
      <c r="BO46" s="459"/>
      <c r="BP46" s="470"/>
      <c r="BQ46" s="459">
        <f t="shared" si="201"/>
        <v>568.43700000000001</v>
      </c>
      <c r="BR46" s="459"/>
      <c r="BS46" s="460">
        <v>568.43700000000001</v>
      </c>
      <c r="BT46" s="459"/>
      <c r="BU46" s="470"/>
      <c r="BV46" s="459">
        <f t="shared" si="202"/>
        <v>54.713000000000001</v>
      </c>
      <c r="BW46" s="459"/>
      <c r="BX46" s="459">
        <v>54.713000000000001</v>
      </c>
      <c r="BY46" s="459"/>
      <c r="BZ46" s="459"/>
      <c r="CA46" s="464">
        <f t="shared" si="203"/>
        <v>623.15</v>
      </c>
      <c r="CB46" s="459">
        <f t="shared" si="204"/>
        <v>623.15</v>
      </c>
      <c r="CC46" s="459">
        <f t="shared" si="205"/>
        <v>0</v>
      </c>
      <c r="CD46" s="459">
        <f t="shared" si="205"/>
        <v>623.15</v>
      </c>
      <c r="CE46" s="459">
        <f t="shared" si="205"/>
        <v>0</v>
      </c>
      <c r="CF46" s="459">
        <f t="shared" si="205"/>
        <v>0</v>
      </c>
      <c r="CG46" s="459">
        <f t="shared" si="206"/>
        <v>0</v>
      </c>
      <c r="CH46" s="459">
        <f t="shared" si="207"/>
        <v>0</v>
      </c>
      <c r="CI46" s="459">
        <f t="shared" si="207"/>
        <v>0</v>
      </c>
      <c r="CJ46" s="459">
        <f t="shared" si="207"/>
        <v>0</v>
      </c>
      <c r="CK46" s="459">
        <f t="shared" si="207"/>
        <v>0</v>
      </c>
      <c r="CL46" s="465"/>
      <c r="CM46" s="466"/>
      <c r="CN46" s="466"/>
      <c r="CO46" s="459">
        <f t="shared" si="208"/>
        <v>0</v>
      </c>
      <c r="CP46" s="459"/>
      <c r="CQ46" s="460"/>
      <c r="CR46" s="459"/>
      <c r="CS46" s="461"/>
      <c r="CT46" s="459">
        <f t="shared" si="209"/>
        <v>0</v>
      </c>
      <c r="CU46" s="459"/>
      <c r="CV46" s="460"/>
      <c r="CW46" s="459"/>
      <c r="CX46" s="461"/>
      <c r="CY46" s="459">
        <f t="shared" si="210"/>
        <v>0</v>
      </c>
      <c r="CZ46" s="459">
        <f t="shared" si="211"/>
        <v>0</v>
      </c>
      <c r="DA46" s="459">
        <f t="shared" si="211"/>
        <v>0</v>
      </c>
      <c r="DB46" s="459">
        <f t="shared" si="211"/>
        <v>0</v>
      </c>
      <c r="DC46" s="459">
        <f t="shared" si="211"/>
        <v>0</v>
      </c>
      <c r="DD46" s="459"/>
      <c r="DE46" s="459"/>
      <c r="DF46" s="459"/>
      <c r="DG46" s="459">
        <f t="shared" si="212"/>
        <v>0</v>
      </c>
      <c r="DH46" s="467"/>
      <c r="DI46" s="459">
        <f t="shared" si="213"/>
        <v>568.43700000000001</v>
      </c>
      <c r="DJ46" s="459">
        <f t="shared" si="214"/>
        <v>568.43700000000001</v>
      </c>
      <c r="DK46" s="467"/>
      <c r="DL46" s="459"/>
      <c r="DM46" s="459"/>
      <c r="DN46" s="467"/>
      <c r="DO46" s="459"/>
      <c r="DP46" s="467"/>
      <c r="DQ46" s="467"/>
      <c r="DR46" s="459">
        <f t="shared" si="8"/>
        <v>568.43700000000001</v>
      </c>
      <c r="DS46" s="459"/>
      <c r="DT46" s="460">
        <v>568.43700000000001</v>
      </c>
      <c r="DU46" s="459"/>
      <c r="DV46" s="470"/>
      <c r="DW46" s="459">
        <f t="shared" si="11"/>
        <v>54.713000000000001</v>
      </c>
      <c r="DX46" s="459"/>
      <c r="DY46" s="459">
        <v>54.713000000000001</v>
      </c>
      <c r="DZ46" s="459"/>
      <c r="EA46" s="146"/>
      <c r="EB46" s="279"/>
      <c r="EC46" s="279"/>
      <c r="ED46" s="279"/>
      <c r="EE46" s="366"/>
      <c r="EF46" s="366"/>
      <c r="EG46" s="279"/>
      <c r="EH46" s="279"/>
      <c r="EI46" s="279"/>
      <c r="EJ46" s="366"/>
      <c r="EK46" s="366"/>
      <c r="EL46" s="366">
        <v>2.63E-2</v>
      </c>
      <c r="EM46" s="280"/>
      <c r="EN46" s="279"/>
      <c r="EO46" s="265" t="e">
        <f t="shared" si="217"/>
        <v>#DIV/0!</v>
      </c>
      <c r="EP46" s="323">
        <f t="shared" si="46"/>
        <v>623.15</v>
      </c>
      <c r="EQ46" s="323">
        <f t="shared" si="83"/>
        <v>568.43700000000001</v>
      </c>
      <c r="ER46" s="323">
        <v>54.713000000000001</v>
      </c>
      <c r="ES46" s="358">
        <f t="shared" si="218"/>
        <v>0.91219930995747422</v>
      </c>
      <c r="ET46" s="358">
        <f t="shared" si="219"/>
        <v>8.7800690042525886E-2</v>
      </c>
      <c r="EU46" s="323">
        <f t="shared" si="49"/>
        <v>623.15</v>
      </c>
      <c r="EV46" s="323">
        <f t="shared" si="220"/>
        <v>568.43700000000001</v>
      </c>
      <c r="EW46" s="323">
        <f t="shared" si="221"/>
        <v>54.713000000000001</v>
      </c>
      <c r="EX46" s="358">
        <f t="shared" si="222"/>
        <v>0.91219930995747422</v>
      </c>
      <c r="EY46" s="358">
        <f t="shared" si="223"/>
        <v>8.7800690042525886E-2</v>
      </c>
      <c r="EZ46" s="358">
        <v>8.7800000000000003E-2</v>
      </c>
      <c r="FA46" s="323">
        <f t="shared" si="224"/>
        <v>568.43700000000001</v>
      </c>
      <c r="FB46" s="323">
        <f t="shared" si="51"/>
        <v>0</v>
      </c>
      <c r="FC46" s="279"/>
      <c r="FD46" s="279"/>
      <c r="FE46" s="279"/>
      <c r="FF46" s="366"/>
      <c r="FG46" s="366"/>
      <c r="FH46" s="279"/>
      <c r="FI46" s="279"/>
      <c r="FJ46" s="279"/>
      <c r="FK46" s="366"/>
      <c r="FL46" s="366"/>
      <c r="FM46" s="366">
        <v>8.7800000000000003E-2</v>
      </c>
      <c r="FN46" s="280"/>
      <c r="FO46" s="279"/>
    </row>
    <row r="47" spans="2:171" s="40" customFormat="1" ht="16.149999999999999" customHeight="1" x14ac:dyDescent="0.25">
      <c r="B47" s="32"/>
      <c r="C47" s="33"/>
      <c r="D47" s="33">
        <v>1</v>
      </c>
      <c r="E47" s="434">
        <v>35</v>
      </c>
      <c r="F47" s="32"/>
      <c r="G47" s="33"/>
      <c r="H47" s="33">
        <v>1</v>
      </c>
      <c r="I47" s="664" t="s">
        <v>271</v>
      </c>
      <c r="J47" s="665"/>
      <c r="K47" s="665"/>
      <c r="L47" s="159">
        <f>L46</f>
        <v>0</v>
      </c>
      <c r="M47" s="434">
        <v>34</v>
      </c>
      <c r="N47" s="435" t="s">
        <v>91</v>
      </c>
      <c r="O47" s="435"/>
      <c r="P47" s="24">
        <f t="shared" si="29"/>
        <v>0</v>
      </c>
      <c r="Q47" s="435" t="s">
        <v>489</v>
      </c>
      <c r="R47" s="435" t="s">
        <v>488</v>
      </c>
      <c r="S47" s="435" t="s">
        <v>491</v>
      </c>
      <c r="T47" s="435" t="s">
        <v>488</v>
      </c>
      <c r="U47" s="161">
        <v>1</v>
      </c>
      <c r="V47" s="434">
        <v>1</v>
      </c>
      <c r="W47" s="473">
        <f t="shared" si="193"/>
        <v>955.8</v>
      </c>
      <c r="X47" s="459"/>
      <c r="Y47" s="460">
        <v>955.8</v>
      </c>
      <c r="Z47" s="459"/>
      <c r="AA47" s="461"/>
      <c r="AB47" s="473">
        <f t="shared" si="194"/>
        <v>963.7</v>
      </c>
      <c r="AC47" s="459"/>
      <c r="AD47" s="460">
        <v>963.7</v>
      </c>
      <c r="AE47" s="459"/>
      <c r="AF47" s="461"/>
      <c r="AG47" s="473">
        <f t="shared" si="195"/>
        <v>963.7</v>
      </c>
      <c r="AH47" s="459"/>
      <c r="AI47" s="460">
        <v>963.7</v>
      </c>
      <c r="AJ47" s="459"/>
      <c r="AK47" s="461"/>
      <c r="AL47" s="473">
        <f t="shared" si="196"/>
        <v>419</v>
      </c>
      <c r="AM47" s="459"/>
      <c r="AN47" s="460">
        <v>419</v>
      </c>
      <c r="AO47" s="459"/>
      <c r="AP47" s="461"/>
      <c r="AQ47" s="383" t="s">
        <v>517</v>
      </c>
      <c r="AR47" s="459">
        <f t="shared" si="122"/>
        <v>792.20100000000002</v>
      </c>
      <c r="AS47" s="459"/>
      <c r="AT47" s="462">
        <f>955.8-163.599</f>
        <v>792.20100000000002</v>
      </c>
      <c r="AU47" s="459"/>
      <c r="AV47" s="459"/>
      <c r="AW47" s="459" t="e">
        <f t="shared" si="197"/>
        <v>#REF!</v>
      </c>
      <c r="AX47" s="459" t="e">
        <f>#REF!-AS47</f>
        <v>#REF!</v>
      </c>
      <c r="AY47" s="459" t="e">
        <f>#REF!-AT47</f>
        <v>#REF!</v>
      </c>
      <c r="AZ47" s="459" t="e">
        <f>#REF!-AU47</f>
        <v>#REF!</v>
      </c>
      <c r="BA47" s="459" t="e">
        <f>#REF!-AV47</f>
        <v>#REF!</v>
      </c>
      <c r="BB47" s="459">
        <f t="shared" si="198"/>
        <v>963.7</v>
      </c>
      <c r="BC47" s="459"/>
      <c r="BD47" s="460">
        <f>419+544.7</f>
        <v>963.7</v>
      </c>
      <c r="BE47" s="459"/>
      <c r="BF47" s="459"/>
      <c r="BG47" s="459">
        <f t="shared" si="199"/>
        <v>0</v>
      </c>
      <c r="BH47" s="459"/>
      <c r="BI47" s="459"/>
      <c r="BJ47" s="459"/>
      <c r="BK47" s="459"/>
      <c r="BL47" s="459">
        <f t="shared" si="200"/>
        <v>792.20100000000002</v>
      </c>
      <c r="BM47" s="459"/>
      <c r="BN47" s="460">
        <v>792.20100000000002</v>
      </c>
      <c r="BO47" s="459"/>
      <c r="BP47" s="459"/>
      <c r="BQ47" s="459">
        <f t="shared" si="201"/>
        <v>792.20100000000002</v>
      </c>
      <c r="BR47" s="459"/>
      <c r="BS47" s="460">
        <v>792.20100000000002</v>
      </c>
      <c r="BT47" s="459"/>
      <c r="BU47" s="459"/>
      <c r="BV47" s="459">
        <f t="shared" si="202"/>
        <v>69.91892</v>
      </c>
      <c r="BW47" s="459"/>
      <c r="BX47" s="459">
        <v>69.91892</v>
      </c>
      <c r="BY47" s="459"/>
      <c r="BZ47" s="459"/>
      <c r="CA47" s="464">
        <f t="shared" si="203"/>
        <v>862.11991999999998</v>
      </c>
      <c r="CB47" s="459">
        <f t="shared" si="204"/>
        <v>862.11991999999998</v>
      </c>
      <c r="CC47" s="459">
        <f t="shared" si="205"/>
        <v>0</v>
      </c>
      <c r="CD47" s="459">
        <f t="shared" si="205"/>
        <v>862.11991999999998</v>
      </c>
      <c r="CE47" s="459">
        <f t="shared" si="205"/>
        <v>0</v>
      </c>
      <c r="CF47" s="459">
        <f t="shared" si="205"/>
        <v>0</v>
      </c>
      <c r="CG47" s="459">
        <f t="shared" si="206"/>
        <v>0</v>
      </c>
      <c r="CH47" s="459">
        <f t="shared" si="207"/>
        <v>0</v>
      </c>
      <c r="CI47" s="459">
        <f t="shared" si="207"/>
        <v>0</v>
      </c>
      <c r="CJ47" s="459">
        <f t="shared" si="207"/>
        <v>0</v>
      </c>
      <c r="CK47" s="459">
        <f t="shared" si="207"/>
        <v>0</v>
      </c>
      <c r="CL47" s="465"/>
      <c r="CM47" s="466"/>
      <c r="CN47" s="466"/>
      <c r="CO47" s="459">
        <f t="shared" si="208"/>
        <v>0</v>
      </c>
      <c r="CP47" s="459"/>
      <c r="CQ47" s="459"/>
      <c r="CR47" s="459"/>
      <c r="CS47" s="459"/>
      <c r="CT47" s="459">
        <f t="shared" si="209"/>
        <v>0</v>
      </c>
      <c r="CU47" s="459"/>
      <c r="CV47" s="459"/>
      <c r="CW47" s="459"/>
      <c r="CX47" s="459"/>
      <c r="CY47" s="459">
        <f t="shared" si="210"/>
        <v>0</v>
      </c>
      <c r="CZ47" s="459">
        <f t="shared" si="211"/>
        <v>0</v>
      </c>
      <c r="DA47" s="459">
        <f t="shared" si="211"/>
        <v>0</v>
      </c>
      <c r="DB47" s="459">
        <f t="shared" si="211"/>
        <v>0</v>
      </c>
      <c r="DC47" s="459">
        <f t="shared" si="211"/>
        <v>0</v>
      </c>
      <c r="DD47" s="459"/>
      <c r="DE47" s="459"/>
      <c r="DF47" s="459"/>
      <c r="DG47" s="459">
        <f t="shared" si="212"/>
        <v>0</v>
      </c>
      <c r="DH47" s="467"/>
      <c r="DI47" s="459">
        <f t="shared" si="213"/>
        <v>792.20100000000002</v>
      </c>
      <c r="DJ47" s="459">
        <f t="shared" si="214"/>
        <v>792.20100000000002</v>
      </c>
      <c r="DK47" s="467"/>
      <c r="DL47" s="459"/>
      <c r="DM47" s="459"/>
      <c r="DN47" s="467"/>
      <c r="DO47" s="459"/>
      <c r="DP47" s="467"/>
      <c r="DQ47" s="467"/>
      <c r="DR47" s="459">
        <f t="shared" si="8"/>
        <v>792.20100000000002</v>
      </c>
      <c r="DS47" s="459"/>
      <c r="DT47" s="460">
        <v>792.20100000000002</v>
      </c>
      <c r="DU47" s="459"/>
      <c r="DV47" s="459"/>
      <c r="DW47" s="459">
        <f t="shared" si="11"/>
        <v>69.91892</v>
      </c>
      <c r="DX47" s="459"/>
      <c r="DY47" s="459">
        <v>69.91892</v>
      </c>
      <c r="DZ47" s="459"/>
      <c r="EA47" s="146"/>
      <c r="EB47" s="279"/>
      <c r="EC47" s="279"/>
      <c r="ED47" s="279"/>
      <c r="EE47" s="366"/>
      <c r="EF47" s="366"/>
      <c r="EG47" s="279"/>
      <c r="EH47" s="279"/>
      <c r="EI47" s="279"/>
      <c r="EJ47" s="366"/>
      <c r="EK47" s="366"/>
      <c r="EL47" s="366">
        <v>2.4299999999999999E-2</v>
      </c>
      <c r="EM47" s="280"/>
      <c r="EN47" s="279"/>
      <c r="EO47" s="265" t="e">
        <f t="shared" si="217"/>
        <v>#DIV/0!</v>
      </c>
      <c r="EP47" s="323">
        <f t="shared" si="46"/>
        <v>862.11991999999998</v>
      </c>
      <c r="EQ47" s="323">
        <f t="shared" si="83"/>
        <v>792.20100000000002</v>
      </c>
      <c r="ER47" s="323">
        <v>69.91892</v>
      </c>
      <c r="ES47" s="358">
        <f t="shared" si="218"/>
        <v>0.9188988464621024</v>
      </c>
      <c r="ET47" s="358">
        <f t="shared" si="219"/>
        <v>8.1101153537897611E-2</v>
      </c>
      <c r="EU47" s="323">
        <f t="shared" si="49"/>
        <v>862.11991999999998</v>
      </c>
      <c r="EV47" s="323">
        <f t="shared" si="220"/>
        <v>792.20100000000002</v>
      </c>
      <c r="EW47" s="323">
        <f t="shared" si="221"/>
        <v>69.91892</v>
      </c>
      <c r="EX47" s="358">
        <f t="shared" si="222"/>
        <v>0.9188988464621024</v>
      </c>
      <c r="EY47" s="358">
        <f t="shared" si="223"/>
        <v>8.1101153537897611E-2</v>
      </c>
      <c r="EZ47" s="358">
        <v>8.1100000000000005E-2</v>
      </c>
      <c r="FA47" s="323">
        <f t="shared" si="224"/>
        <v>792.20100000000002</v>
      </c>
      <c r="FB47" s="323">
        <f t="shared" si="51"/>
        <v>0</v>
      </c>
      <c r="FC47" s="279"/>
      <c r="FD47" s="279"/>
      <c r="FE47" s="279"/>
      <c r="FF47" s="366"/>
      <c r="FG47" s="366"/>
      <c r="FH47" s="279"/>
      <c r="FI47" s="279"/>
      <c r="FJ47" s="279"/>
      <c r="FK47" s="366"/>
      <c r="FL47" s="366"/>
      <c r="FM47" s="366">
        <v>8.1100000000000005E-2</v>
      </c>
      <c r="FN47" s="280"/>
      <c r="FO47" s="279"/>
    </row>
    <row r="48" spans="2:171" s="40" customFormat="1" ht="15.75" customHeight="1" x14ac:dyDescent="0.25">
      <c r="B48" s="32"/>
      <c r="C48" s="33">
        <v>1</v>
      </c>
      <c r="D48" s="33"/>
      <c r="E48" s="434">
        <v>36</v>
      </c>
      <c r="F48" s="32"/>
      <c r="G48" s="33">
        <v>1</v>
      </c>
      <c r="H48" s="33">
        <v>1</v>
      </c>
      <c r="M48" s="434">
        <v>35</v>
      </c>
      <c r="N48" s="435" t="s">
        <v>36</v>
      </c>
      <c r="O48" s="435"/>
      <c r="P48" s="24">
        <f t="shared" si="29"/>
        <v>0</v>
      </c>
      <c r="Q48" s="435" t="s">
        <v>574</v>
      </c>
      <c r="R48" s="435" t="s">
        <v>488</v>
      </c>
      <c r="S48" s="435" t="s">
        <v>491</v>
      </c>
      <c r="T48" s="435" t="s">
        <v>488</v>
      </c>
      <c r="U48" s="161">
        <v>1</v>
      </c>
      <c r="V48" s="434">
        <v>1</v>
      </c>
      <c r="W48" s="473">
        <f t="shared" si="193"/>
        <v>6567.47</v>
      </c>
      <c r="X48" s="459"/>
      <c r="Y48" s="460">
        <v>730.7</v>
      </c>
      <c r="Z48" s="459">
        <f>6119-282.23</f>
        <v>5836.77</v>
      </c>
      <c r="AA48" s="461"/>
      <c r="AB48" s="473">
        <f t="shared" si="194"/>
        <v>5736</v>
      </c>
      <c r="AC48" s="459"/>
      <c r="AD48" s="460">
        <v>736</v>
      </c>
      <c r="AE48" s="459">
        <v>5000</v>
      </c>
      <c r="AF48" s="461"/>
      <c r="AG48" s="473">
        <f t="shared" si="195"/>
        <v>736</v>
      </c>
      <c r="AH48" s="459"/>
      <c r="AI48" s="460">
        <v>736</v>
      </c>
      <c r="AJ48" s="459"/>
      <c r="AK48" s="461"/>
      <c r="AL48" s="473">
        <f t="shared" si="196"/>
        <v>320</v>
      </c>
      <c r="AM48" s="459"/>
      <c r="AN48" s="460">
        <v>320</v>
      </c>
      <c r="AO48" s="459"/>
      <c r="AP48" s="461"/>
      <c r="AQ48" s="383" t="s">
        <v>439</v>
      </c>
      <c r="AR48" s="459">
        <f t="shared" si="122"/>
        <v>6567.47</v>
      </c>
      <c r="AS48" s="459"/>
      <c r="AT48" s="462">
        <v>730.7</v>
      </c>
      <c r="AU48" s="459">
        <f>6119-282.23</f>
        <v>5836.77</v>
      </c>
      <c r="AV48" s="461"/>
      <c r="AW48" s="459" t="e">
        <f t="shared" si="197"/>
        <v>#REF!</v>
      </c>
      <c r="AX48" s="459" t="e">
        <f>#REF!-AS48</f>
        <v>#REF!</v>
      </c>
      <c r="AY48" s="459" t="e">
        <f>#REF!-AT48</f>
        <v>#REF!</v>
      </c>
      <c r="AZ48" s="459" t="e">
        <f>#REF!-AU48</f>
        <v>#REF!</v>
      </c>
      <c r="BA48" s="459" t="e">
        <f>#REF!-AV48</f>
        <v>#REF!</v>
      </c>
      <c r="BB48" s="459">
        <f t="shared" si="198"/>
        <v>5689.2119999999995</v>
      </c>
      <c r="BC48" s="459"/>
      <c r="BD48" s="460">
        <v>736</v>
      </c>
      <c r="BE48" s="459">
        <f>4456+497.212</f>
        <v>4953.2119999999995</v>
      </c>
      <c r="BF48" s="461"/>
      <c r="BG48" s="459">
        <f t="shared" si="199"/>
        <v>0</v>
      </c>
      <c r="BH48" s="459"/>
      <c r="BI48" s="459"/>
      <c r="BJ48" s="459"/>
      <c r="BK48" s="461"/>
      <c r="BL48" s="459">
        <f t="shared" si="200"/>
        <v>6567.47</v>
      </c>
      <c r="BM48" s="459"/>
      <c r="BN48" s="462">
        <v>730.7</v>
      </c>
      <c r="BO48" s="459">
        <f>4716+1120.77</f>
        <v>5836.77</v>
      </c>
      <c r="BP48" s="470"/>
      <c r="BQ48" s="459">
        <f t="shared" si="201"/>
        <v>6567.47</v>
      </c>
      <c r="BR48" s="459"/>
      <c r="BS48" s="462">
        <v>730.7</v>
      </c>
      <c r="BT48" s="459">
        <f>4716+1120.77</f>
        <v>5836.77</v>
      </c>
      <c r="BU48" s="470"/>
      <c r="BV48" s="459">
        <f t="shared" si="202"/>
        <v>737.03444000000002</v>
      </c>
      <c r="BW48" s="459"/>
      <c r="BX48" s="459">
        <v>328.21122000000003</v>
      </c>
      <c r="BY48" s="459">
        <f>330.32422+78.499</f>
        <v>408.82321999999999</v>
      </c>
      <c r="BZ48" s="459"/>
      <c r="CA48" s="464">
        <f t="shared" si="203"/>
        <v>7304.5044400000006</v>
      </c>
      <c r="CB48" s="459">
        <f t="shared" si="204"/>
        <v>7304.5044400000006</v>
      </c>
      <c r="CC48" s="459">
        <f t="shared" si="205"/>
        <v>0</v>
      </c>
      <c r="CD48" s="459">
        <f t="shared" si="205"/>
        <v>1058.91122</v>
      </c>
      <c r="CE48" s="459">
        <f t="shared" si="205"/>
        <v>6245.5932200000007</v>
      </c>
      <c r="CF48" s="459">
        <f t="shared" si="205"/>
        <v>0</v>
      </c>
      <c r="CG48" s="459">
        <f t="shared" si="206"/>
        <v>0</v>
      </c>
      <c r="CH48" s="459">
        <f t="shared" si="207"/>
        <v>0</v>
      </c>
      <c r="CI48" s="459">
        <f t="shared" si="207"/>
        <v>0</v>
      </c>
      <c r="CJ48" s="459">
        <f t="shared" si="207"/>
        <v>0</v>
      </c>
      <c r="CK48" s="459">
        <f t="shared" si="207"/>
        <v>0</v>
      </c>
      <c r="CL48" s="465"/>
      <c r="CM48" s="466"/>
      <c r="CN48" s="466"/>
      <c r="CO48" s="459">
        <f t="shared" si="208"/>
        <v>0</v>
      </c>
      <c r="CP48" s="459"/>
      <c r="CQ48" s="459"/>
      <c r="CR48" s="459"/>
      <c r="CS48" s="461"/>
      <c r="CT48" s="459">
        <f t="shared" si="209"/>
        <v>0</v>
      </c>
      <c r="CU48" s="459"/>
      <c r="CV48" s="459"/>
      <c r="CW48" s="459"/>
      <c r="CX48" s="461"/>
      <c r="CY48" s="459">
        <f t="shared" si="210"/>
        <v>0</v>
      </c>
      <c r="CZ48" s="459">
        <f t="shared" si="211"/>
        <v>0</v>
      </c>
      <c r="DA48" s="459">
        <f t="shared" si="211"/>
        <v>0</v>
      </c>
      <c r="DB48" s="459">
        <f t="shared" si="211"/>
        <v>0</v>
      </c>
      <c r="DC48" s="459">
        <f t="shared" si="211"/>
        <v>0</v>
      </c>
      <c r="DD48" s="459"/>
      <c r="DE48" s="459"/>
      <c r="DF48" s="459">
        <f>DD48-DE48</f>
        <v>0</v>
      </c>
      <c r="DG48" s="459">
        <f t="shared" si="212"/>
        <v>0</v>
      </c>
      <c r="DH48" s="467"/>
      <c r="DI48" s="459">
        <f t="shared" si="213"/>
        <v>6567.47</v>
      </c>
      <c r="DJ48" s="459">
        <f t="shared" si="214"/>
        <v>6567.47</v>
      </c>
      <c r="DK48" s="467"/>
      <c r="DL48" s="459"/>
      <c r="DM48" s="459"/>
      <c r="DN48" s="467"/>
      <c r="DO48" s="459"/>
      <c r="DP48" s="467"/>
      <c r="DQ48" s="467"/>
      <c r="DR48" s="459">
        <f t="shared" si="8"/>
        <v>6567.47</v>
      </c>
      <c r="DS48" s="459"/>
      <c r="DT48" s="462">
        <v>730.7</v>
      </c>
      <c r="DU48" s="459">
        <v>5836.77</v>
      </c>
      <c r="DV48" s="470"/>
      <c r="DW48" s="459">
        <f t="shared" si="11"/>
        <v>737.03444000000002</v>
      </c>
      <c r="DX48" s="459"/>
      <c r="DY48" s="459">
        <v>328.21122000000003</v>
      </c>
      <c r="DZ48" s="459">
        <v>408.82321999999999</v>
      </c>
      <c r="EA48" s="146"/>
      <c r="EB48" s="279"/>
      <c r="EC48" s="279"/>
      <c r="ED48" s="279"/>
      <c r="EE48" s="366"/>
      <c r="EF48" s="366"/>
      <c r="EG48" s="279"/>
      <c r="EH48" s="279"/>
      <c r="EI48" s="279"/>
      <c r="EJ48" s="366"/>
      <c r="EK48" s="366"/>
      <c r="EL48" s="366">
        <v>1.9599999999999999E-2</v>
      </c>
      <c r="EM48" s="280"/>
      <c r="EN48" s="279"/>
      <c r="EO48" s="265" t="e">
        <f t="shared" si="217"/>
        <v>#DIV/0!</v>
      </c>
      <c r="EP48" s="323">
        <f t="shared" si="46"/>
        <v>1058.91122</v>
      </c>
      <c r="EQ48" s="323">
        <f t="shared" si="83"/>
        <v>730.7</v>
      </c>
      <c r="ER48" s="323">
        <v>328.21122000000003</v>
      </c>
      <c r="ES48" s="358">
        <f t="shared" si="218"/>
        <v>0.69004840651324861</v>
      </c>
      <c r="ET48" s="358">
        <f t="shared" si="219"/>
        <v>0.30995159348675144</v>
      </c>
      <c r="EU48" s="323">
        <f t="shared" si="49"/>
        <v>1058.91122</v>
      </c>
      <c r="EV48" s="323">
        <f t="shared" si="220"/>
        <v>730.7</v>
      </c>
      <c r="EW48" s="323">
        <f t="shared" si="221"/>
        <v>328.21122000000003</v>
      </c>
      <c r="EX48" s="358">
        <f t="shared" si="222"/>
        <v>0.69004840651324861</v>
      </c>
      <c r="EY48" s="358">
        <f t="shared" si="223"/>
        <v>0.30995159348675144</v>
      </c>
      <c r="EZ48" s="358">
        <v>6.54E-2</v>
      </c>
      <c r="FA48" s="323">
        <f t="shared" si="224"/>
        <v>730.7</v>
      </c>
      <c r="FB48" s="323">
        <f t="shared" si="51"/>
        <v>0</v>
      </c>
      <c r="FC48" s="279">
        <f t="shared" ref="FC48" si="231">FD48+FE48</f>
        <v>6245.5932200000007</v>
      </c>
      <c r="FD48" s="279">
        <f t="shared" ref="FD48" si="232">AU48</f>
        <v>5836.77</v>
      </c>
      <c r="FE48" s="279">
        <v>408.82321999999999</v>
      </c>
      <c r="FF48" s="366">
        <f t="shared" ref="FF48" si="233">FD48/FC48</f>
        <v>0.93454213145184628</v>
      </c>
      <c r="FG48" s="366">
        <f t="shared" ref="FG48" si="234">FE48/FC48</f>
        <v>6.5457868548153691E-2</v>
      </c>
      <c r="FH48" s="279">
        <f t="shared" ref="FH48" si="235">FI48+FJ48</f>
        <v>6245.5932200000007</v>
      </c>
      <c r="FI48" s="279">
        <f t="shared" ref="FI48" si="236">DU48</f>
        <v>5836.77</v>
      </c>
      <c r="FJ48" s="279">
        <f t="shared" ref="FJ48" si="237">DZ48</f>
        <v>408.82321999999999</v>
      </c>
      <c r="FK48" s="366">
        <f t="shared" ref="FK48" si="238">FI48/FH48</f>
        <v>0.93454213145184628</v>
      </c>
      <c r="FL48" s="366">
        <f t="shared" ref="FL48" si="239">FJ48/FH48</f>
        <v>6.5457868548153691E-2</v>
      </c>
      <c r="FM48" s="366">
        <v>6.54E-2</v>
      </c>
      <c r="FN48" s="280">
        <f t="shared" ref="FN48" si="240">FH48*FF48</f>
        <v>5836.77</v>
      </c>
      <c r="FO48" s="279">
        <f t="shared" ref="FO48" si="241">FI48-FN48</f>
        <v>0</v>
      </c>
    </row>
    <row r="49" spans="2:171" s="40" customFormat="1" ht="15.75" customHeight="1" x14ac:dyDescent="0.25">
      <c r="B49" s="32"/>
      <c r="C49" s="33"/>
      <c r="D49" s="33">
        <v>1</v>
      </c>
      <c r="E49" s="434">
        <v>37</v>
      </c>
      <c r="F49" s="32"/>
      <c r="G49" s="33"/>
      <c r="H49" s="33">
        <v>1</v>
      </c>
      <c r="M49" s="434">
        <v>36</v>
      </c>
      <c r="N49" s="435" t="s">
        <v>92</v>
      </c>
      <c r="O49" s="435"/>
      <c r="P49" s="24">
        <f t="shared" si="29"/>
        <v>0</v>
      </c>
      <c r="Q49" s="435"/>
      <c r="R49" s="435"/>
      <c r="S49" s="435" t="s">
        <v>491</v>
      </c>
      <c r="T49" s="435" t="s">
        <v>488</v>
      </c>
      <c r="U49" s="161">
        <v>1</v>
      </c>
      <c r="V49" s="434">
        <v>2</v>
      </c>
      <c r="W49" s="473">
        <f t="shared" si="193"/>
        <v>2398.6999999999998</v>
      </c>
      <c r="X49" s="459"/>
      <c r="Y49" s="460">
        <v>2398.6999999999998</v>
      </c>
      <c r="Z49" s="459"/>
      <c r="AA49" s="461"/>
      <c r="AB49" s="473">
        <f t="shared" si="194"/>
        <v>2421.9</v>
      </c>
      <c r="AC49" s="459"/>
      <c r="AD49" s="460">
        <v>2421.9</v>
      </c>
      <c r="AE49" s="459"/>
      <c r="AF49" s="461"/>
      <c r="AG49" s="473">
        <f t="shared" si="195"/>
        <v>2421.9</v>
      </c>
      <c r="AH49" s="459"/>
      <c r="AI49" s="460">
        <v>2421.9</v>
      </c>
      <c r="AJ49" s="459"/>
      <c r="AK49" s="461"/>
      <c r="AL49" s="473">
        <f t="shared" si="196"/>
        <v>1053</v>
      </c>
      <c r="AM49" s="459"/>
      <c r="AN49" s="460">
        <v>1053</v>
      </c>
      <c r="AO49" s="459"/>
      <c r="AP49" s="461"/>
      <c r="AQ49" s="383" t="s">
        <v>515</v>
      </c>
      <c r="AR49" s="459">
        <f t="shared" si="122"/>
        <v>2394.23</v>
      </c>
      <c r="AS49" s="459"/>
      <c r="AT49" s="462">
        <f>2398.7-4.47</f>
        <v>2394.23</v>
      </c>
      <c r="AU49" s="459"/>
      <c r="AV49" s="459"/>
      <c r="AW49" s="459" t="e">
        <f t="shared" si="197"/>
        <v>#REF!</v>
      </c>
      <c r="AX49" s="459" t="e">
        <f>#REF!-AS49</f>
        <v>#REF!</v>
      </c>
      <c r="AY49" s="459" t="e">
        <f>#REF!-AT49</f>
        <v>#REF!</v>
      </c>
      <c r="AZ49" s="459" t="e">
        <f>#REF!-AU49</f>
        <v>#REF!</v>
      </c>
      <c r="BA49" s="459" t="e">
        <f>#REF!-AV49</f>
        <v>#REF!</v>
      </c>
      <c r="BB49" s="459">
        <f t="shared" si="198"/>
        <v>2421.9</v>
      </c>
      <c r="BC49" s="459"/>
      <c r="BD49" s="460">
        <f>1053+1368.9</f>
        <v>2421.9</v>
      </c>
      <c r="BE49" s="459"/>
      <c r="BF49" s="459"/>
      <c r="BG49" s="459">
        <f t="shared" si="199"/>
        <v>0</v>
      </c>
      <c r="BH49" s="459"/>
      <c r="BI49" s="460"/>
      <c r="BJ49" s="459"/>
      <c r="BK49" s="459"/>
      <c r="BL49" s="459">
        <f t="shared" si="200"/>
        <v>2394.23</v>
      </c>
      <c r="BM49" s="459"/>
      <c r="BN49" s="460">
        <f>1497.536+896.694</f>
        <v>2394.23</v>
      </c>
      <c r="BO49" s="459"/>
      <c r="BP49" s="459"/>
      <c r="BQ49" s="459">
        <f t="shared" si="201"/>
        <v>2394.23</v>
      </c>
      <c r="BR49" s="459"/>
      <c r="BS49" s="460">
        <f>1497.536+896.694</f>
        <v>2394.23</v>
      </c>
      <c r="BT49" s="459"/>
      <c r="BU49" s="459"/>
      <c r="BV49" s="459">
        <f t="shared" si="202"/>
        <v>793.90549999999996</v>
      </c>
      <c r="BW49" s="459"/>
      <c r="BX49" s="459">
        <f>496.5995+297.306</f>
        <v>793.90549999999996</v>
      </c>
      <c r="BY49" s="459"/>
      <c r="BZ49" s="459"/>
      <c r="CA49" s="464">
        <f t="shared" si="203"/>
        <v>3188.1354999999999</v>
      </c>
      <c r="CB49" s="459">
        <f t="shared" si="204"/>
        <v>3188.1354999999999</v>
      </c>
      <c r="CC49" s="459">
        <f t="shared" si="205"/>
        <v>0</v>
      </c>
      <c r="CD49" s="459">
        <f t="shared" si="205"/>
        <v>3188.1354999999999</v>
      </c>
      <c r="CE49" s="459">
        <f t="shared" si="205"/>
        <v>0</v>
      </c>
      <c r="CF49" s="459">
        <f t="shared" si="205"/>
        <v>0</v>
      </c>
      <c r="CG49" s="459">
        <f t="shared" si="206"/>
        <v>0</v>
      </c>
      <c r="CH49" s="459">
        <f t="shared" si="207"/>
        <v>0</v>
      </c>
      <c r="CI49" s="459">
        <f t="shared" si="207"/>
        <v>0</v>
      </c>
      <c r="CJ49" s="459">
        <f t="shared" si="207"/>
        <v>0</v>
      </c>
      <c r="CK49" s="459">
        <f t="shared" si="207"/>
        <v>0</v>
      </c>
      <c r="CL49" s="465"/>
      <c r="CM49" s="466"/>
      <c r="CN49" s="466"/>
      <c r="CO49" s="459">
        <f t="shared" si="208"/>
        <v>0</v>
      </c>
      <c r="CP49" s="459"/>
      <c r="CQ49" s="460"/>
      <c r="CR49" s="459"/>
      <c r="CS49" s="459"/>
      <c r="CT49" s="459">
        <f t="shared" si="209"/>
        <v>0</v>
      </c>
      <c r="CU49" s="459"/>
      <c r="CV49" s="460"/>
      <c r="CW49" s="459"/>
      <c r="CX49" s="459"/>
      <c r="CY49" s="459">
        <f t="shared" si="210"/>
        <v>0</v>
      </c>
      <c r="CZ49" s="459">
        <f t="shared" si="211"/>
        <v>0</v>
      </c>
      <c r="DA49" s="459">
        <f t="shared" si="211"/>
        <v>0</v>
      </c>
      <c r="DB49" s="459">
        <f t="shared" si="211"/>
        <v>0</v>
      </c>
      <c r="DC49" s="459">
        <f t="shared" si="211"/>
        <v>0</v>
      </c>
      <c r="DD49" s="459"/>
      <c r="DE49" s="459"/>
      <c r="DF49" s="459"/>
      <c r="DG49" s="459">
        <f t="shared" si="212"/>
        <v>0</v>
      </c>
      <c r="DH49" s="467"/>
      <c r="DI49" s="459">
        <f t="shared" si="213"/>
        <v>2394.23</v>
      </c>
      <c r="DJ49" s="459">
        <f t="shared" si="214"/>
        <v>2394.23</v>
      </c>
      <c r="DK49" s="467"/>
      <c r="DL49" s="459"/>
      <c r="DM49" s="459"/>
      <c r="DN49" s="467"/>
      <c r="DO49" s="459"/>
      <c r="DP49" s="467"/>
      <c r="DQ49" s="467"/>
      <c r="DR49" s="459">
        <f t="shared" si="8"/>
        <v>2394.23</v>
      </c>
      <c r="DS49" s="459"/>
      <c r="DT49" s="460">
        <f>1497.536+896.694</f>
        <v>2394.23</v>
      </c>
      <c r="DU49" s="459"/>
      <c r="DV49" s="459"/>
      <c r="DW49" s="459">
        <f t="shared" si="11"/>
        <v>793.90549999999996</v>
      </c>
      <c r="DX49" s="459"/>
      <c r="DY49" s="459">
        <f>496.5995+297.306</f>
        <v>793.90549999999996</v>
      </c>
      <c r="DZ49" s="459"/>
      <c r="EA49" s="146"/>
      <c r="EB49" s="279"/>
      <c r="EC49" s="279"/>
      <c r="ED49" s="279"/>
      <c r="EE49" s="366"/>
      <c r="EF49" s="366"/>
      <c r="EG49" s="279"/>
      <c r="EH49" s="279"/>
      <c r="EI49" s="279"/>
      <c r="EJ49" s="366"/>
      <c r="EK49" s="366"/>
      <c r="EL49" s="366">
        <v>2.1899999999999999E-2</v>
      </c>
      <c r="EM49" s="280"/>
      <c r="EN49" s="279"/>
      <c r="EO49" s="265" t="e">
        <f t="shared" si="217"/>
        <v>#DIV/0!</v>
      </c>
      <c r="EP49" s="323">
        <f t="shared" si="46"/>
        <v>3188.1354999999999</v>
      </c>
      <c r="EQ49" s="323">
        <f t="shared" si="83"/>
        <v>2394.23</v>
      </c>
      <c r="ER49" s="323">
        <v>793.90549999999996</v>
      </c>
      <c r="ES49" s="358">
        <f t="shared" si="218"/>
        <v>0.75098125534501281</v>
      </c>
      <c r="ET49" s="358">
        <f t="shared" si="219"/>
        <v>0.24901874465498722</v>
      </c>
      <c r="EU49" s="323">
        <f t="shared" si="49"/>
        <v>3188.1354999999999</v>
      </c>
      <c r="EV49" s="323">
        <f t="shared" si="220"/>
        <v>2394.23</v>
      </c>
      <c r="EW49" s="323">
        <f t="shared" si="221"/>
        <v>793.90549999999996</v>
      </c>
      <c r="EX49" s="358">
        <f t="shared" si="222"/>
        <v>0.75098125534501281</v>
      </c>
      <c r="EY49" s="358">
        <f t="shared" si="223"/>
        <v>0.24901874465498722</v>
      </c>
      <c r="EZ49" s="358">
        <v>7.2999999999999995E-2</v>
      </c>
      <c r="FA49" s="323">
        <f t="shared" si="224"/>
        <v>2394.23</v>
      </c>
      <c r="FB49" s="323">
        <f t="shared" si="51"/>
        <v>0</v>
      </c>
      <c r="FC49" s="279"/>
      <c r="FD49" s="279"/>
      <c r="FE49" s="279"/>
      <c r="FF49" s="366"/>
      <c r="FG49" s="366"/>
      <c r="FH49" s="279"/>
      <c r="FI49" s="279"/>
      <c r="FJ49" s="279"/>
      <c r="FK49" s="366"/>
      <c r="FL49" s="366"/>
      <c r="FM49" s="366">
        <v>7.2999999999999995E-2</v>
      </c>
      <c r="FN49" s="280"/>
      <c r="FO49" s="279"/>
    </row>
    <row r="50" spans="2:171" s="40" customFormat="1" ht="15.75" customHeight="1" x14ac:dyDescent="0.25">
      <c r="B50" s="32"/>
      <c r="C50" s="33"/>
      <c r="D50" s="33">
        <v>1</v>
      </c>
      <c r="E50" s="434">
        <v>38</v>
      </c>
      <c r="F50" s="32"/>
      <c r="G50" s="33"/>
      <c r="H50" s="33"/>
      <c r="M50" s="434">
        <v>37</v>
      </c>
      <c r="N50" s="435" t="s">
        <v>201</v>
      </c>
      <c r="O50" s="435"/>
      <c r="P50" s="24">
        <f t="shared" si="29"/>
        <v>0</v>
      </c>
      <c r="Q50" s="435" t="s">
        <v>491</v>
      </c>
      <c r="R50" s="435" t="s">
        <v>488</v>
      </c>
      <c r="S50" s="435" t="s">
        <v>490</v>
      </c>
      <c r="T50" s="435" t="s">
        <v>488</v>
      </c>
      <c r="U50" s="161">
        <v>1</v>
      </c>
      <c r="V50" s="434"/>
      <c r="W50" s="473">
        <f t="shared" si="193"/>
        <v>1256.7</v>
      </c>
      <c r="X50" s="459"/>
      <c r="Y50" s="460">
        <v>1256.7</v>
      </c>
      <c r="Z50" s="459"/>
      <c r="AA50" s="464"/>
      <c r="AB50" s="473">
        <f t="shared" si="194"/>
        <v>1267.3</v>
      </c>
      <c r="AC50" s="459"/>
      <c r="AD50" s="460">
        <v>1267.3</v>
      </c>
      <c r="AE50" s="459"/>
      <c r="AF50" s="464"/>
      <c r="AG50" s="473">
        <f t="shared" si="195"/>
        <v>1267.3</v>
      </c>
      <c r="AH50" s="459"/>
      <c r="AI50" s="460">
        <v>1267.3</v>
      </c>
      <c r="AJ50" s="459"/>
      <c r="AK50" s="464"/>
      <c r="AL50" s="473">
        <f t="shared" si="196"/>
        <v>551</v>
      </c>
      <c r="AM50" s="459"/>
      <c r="AN50" s="460">
        <v>551</v>
      </c>
      <c r="AO50" s="459"/>
      <c r="AP50" s="459"/>
      <c r="AQ50" s="383" t="s">
        <v>421</v>
      </c>
      <c r="AR50" s="459">
        <f t="shared" si="122"/>
        <v>1256.7</v>
      </c>
      <c r="AS50" s="459"/>
      <c r="AT50" s="462">
        <v>1256.7</v>
      </c>
      <c r="AU50" s="459"/>
      <c r="AV50" s="459"/>
      <c r="AW50" s="459" t="e">
        <f t="shared" si="197"/>
        <v>#REF!</v>
      </c>
      <c r="AX50" s="459" t="e">
        <f>#REF!-AS50</f>
        <v>#REF!</v>
      </c>
      <c r="AY50" s="459" t="e">
        <f>#REF!-AT50</f>
        <v>#REF!</v>
      </c>
      <c r="AZ50" s="459" t="e">
        <f>#REF!-AU50</f>
        <v>#REF!</v>
      </c>
      <c r="BA50" s="459" t="e">
        <f>#REF!-AV50</f>
        <v>#REF!</v>
      </c>
      <c r="BB50" s="459">
        <f t="shared" si="198"/>
        <v>1267.3</v>
      </c>
      <c r="BC50" s="459"/>
      <c r="BD50" s="460">
        <f>551+716.3</f>
        <v>1267.3</v>
      </c>
      <c r="BE50" s="459"/>
      <c r="BF50" s="459"/>
      <c r="BG50" s="459">
        <f t="shared" si="199"/>
        <v>0</v>
      </c>
      <c r="BH50" s="459"/>
      <c r="BI50" s="459"/>
      <c r="BJ50" s="459"/>
      <c r="BK50" s="459"/>
      <c r="BL50" s="459">
        <f t="shared" si="200"/>
        <v>0</v>
      </c>
      <c r="BM50" s="459"/>
      <c r="BN50" s="460"/>
      <c r="BO50" s="459"/>
      <c r="BP50" s="459"/>
      <c r="BQ50" s="459">
        <f t="shared" si="201"/>
        <v>0</v>
      </c>
      <c r="BR50" s="459"/>
      <c r="BS50" s="460"/>
      <c r="BT50" s="459"/>
      <c r="BU50" s="459"/>
      <c r="BV50" s="459">
        <f t="shared" si="202"/>
        <v>0</v>
      </c>
      <c r="BW50" s="459"/>
      <c r="BX50" s="460"/>
      <c r="BY50" s="459"/>
      <c r="BZ50" s="459"/>
      <c r="CA50" s="464">
        <f t="shared" si="203"/>
        <v>0</v>
      </c>
      <c r="CB50" s="459">
        <f t="shared" si="204"/>
        <v>0</v>
      </c>
      <c r="CC50" s="459">
        <f t="shared" si="205"/>
        <v>0</v>
      </c>
      <c r="CD50" s="459">
        <f t="shared" si="205"/>
        <v>0</v>
      </c>
      <c r="CE50" s="459">
        <f t="shared" si="205"/>
        <v>0</v>
      </c>
      <c r="CF50" s="459">
        <f t="shared" si="205"/>
        <v>0</v>
      </c>
      <c r="CG50" s="459">
        <f t="shared" si="206"/>
        <v>0</v>
      </c>
      <c r="CH50" s="459">
        <f t="shared" si="207"/>
        <v>0</v>
      </c>
      <c r="CI50" s="459">
        <f t="shared" si="207"/>
        <v>0</v>
      </c>
      <c r="CJ50" s="459">
        <f t="shared" si="207"/>
        <v>0</v>
      </c>
      <c r="CK50" s="459">
        <f t="shared" si="207"/>
        <v>0</v>
      </c>
      <c r="CL50" s="465"/>
      <c r="CM50" s="466"/>
      <c r="CN50" s="466"/>
      <c r="CO50" s="459">
        <f t="shared" si="208"/>
        <v>0</v>
      </c>
      <c r="CP50" s="459"/>
      <c r="CQ50" s="459"/>
      <c r="CR50" s="459"/>
      <c r="CS50" s="459"/>
      <c r="CT50" s="459">
        <f t="shared" si="209"/>
        <v>0</v>
      </c>
      <c r="CU50" s="459"/>
      <c r="CV50" s="459"/>
      <c r="CW50" s="459"/>
      <c r="CX50" s="459"/>
      <c r="CY50" s="459">
        <f t="shared" si="210"/>
        <v>0</v>
      </c>
      <c r="CZ50" s="459">
        <f t="shared" si="211"/>
        <v>0</v>
      </c>
      <c r="DA50" s="459">
        <f t="shared" si="211"/>
        <v>0</v>
      </c>
      <c r="DB50" s="459">
        <f t="shared" si="211"/>
        <v>0</v>
      </c>
      <c r="DC50" s="459">
        <f t="shared" si="211"/>
        <v>0</v>
      </c>
      <c r="DD50" s="459"/>
      <c r="DE50" s="459"/>
      <c r="DF50" s="459"/>
      <c r="DG50" s="459">
        <f t="shared" si="212"/>
        <v>0</v>
      </c>
      <c r="DH50" s="467"/>
      <c r="DI50" s="459">
        <f t="shared" si="213"/>
        <v>0</v>
      </c>
      <c r="DJ50" s="459">
        <f t="shared" si="214"/>
        <v>0</v>
      </c>
      <c r="DK50" s="467"/>
      <c r="DL50" s="459"/>
      <c r="DM50" s="459"/>
      <c r="DN50" s="467"/>
      <c r="DO50" s="459"/>
      <c r="DP50" s="467"/>
      <c r="DQ50" s="467"/>
      <c r="DR50" s="459">
        <f t="shared" si="8"/>
        <v>0</v>
      </c>
      <c r="DS50" s="459"/>
      <c r="DT50" s="460"/>
      <c r="DU50" s="459"/>
      <c r="DV50" s="459"/>
      <c r="DW50" s="459">
        <f t="shared" si="11"/>
        <v>0</v>
      </c>
      <c r="DX50" s="459"/>
      <c r="DY50" s="460"/>
      <c r="DZ50" s="459"/>
      <c r="EA50" s="146"/>
      <c r="EB50" s="279"/>
      <c r="EC50" s="279"/>
      <c r="ED50" s="286"/>
      <c r="EE50" s="366"/>
      <c r="EF50" s="366"/>
      <c r="EG50" s="279"/>
      <c r="EH50" s="279"/>
      <c r="EI50" s="286"/>
      <c r="EJ50" s="366"/>
      <c r="EK50" s="366"/>
      <c r="EL50" s="366">
        <v>2.2700000000000001E-2</v>
      </c>
      <c r="EM50" s="280"/>
      <c r="EN50" s="279"/>
      <c r="EO50" s="265" t="e">
        <f t="shared" si="217"/>
        <v>#DIV/0!</v>
      </c>
      <c r="EP50" s="323">
        <f t="shared" si="46"/>
        <v>1363.1184000000001</v>
      </c>
      <c r="EQ50" s="323">
        <f t="shared" si="83"/>
        <v>1256.7</v>
      </c>
      <c r="ER50" s="328">
        <v>106.41840000000001</v>
      </c>
      <c r="ES50" s="358">
        <f t="shared" si="218"/>
        <v>0.92193018596183574</v>
      </c>
      <c r="ET50" s="358">
        <f t="shared" si="219"/>
        <v>7.8069814038164251E-2</v>
      </c>
      <c r="EU50" s="323">
        <f t="shared" si="49"/>
        <v>0</v>
      </c>
      <c r="EV50" s="323">
        <f t="shared" si="220"/>
        <v>0</v>
      </c>
      <c r="EW50" s="328">
        <f t="shared" si="221"/>
        <v>0</v>
      </c>
      <c r="EX50" s="358" t="e">
        <f t="shared" si="222"/>
        <v>#DIV/0!</v>
      </c>
      <c r="EY50" s="358" t="e">
        <f t="shared" si="223"/>
        <v>#DIV/0!</v>
      </c>
      <c r="EZ50" s="358">
        <v>7.5499999999999998E-2</v>
      </c>
      <c r="FA50" s="323">
        <f t="shared" si="224"/>
        <v>0</v>
      </c>
      <c r="FB50" s="323">
        <f t="shared" si="51"/>
        <v>0</v>
      </c>
      <c r="FC50" s="279"/>
      <c r="FD50" s="279"/>
      <c r="FE50" s="286"/>
      <c r="FF50" s="366"/>
      <c r="FG50" s="366"/>
      <c r="FH50" s="279"/>
      <c r="FI50" s="279"/>
      <c r="FJ50" s="286"/>
      <c r="FK50" s="366"/>
      <c r="FL50" s="366"/>
      <c r="FM50" s="366">
        <v>7.5499999999999998E-2</v>
      </c>
      <c r="FN50" s="280"/>
      <c r="FO50" s="279"/>
    </row>
    <row r="51" spans="2:171" s="40" customFormat="1" ht="15.6" customHeight="1" x14ac:dyDescent="0.25">
      <c r="B51" s="32"/>
      <c r="C51" s="33"/>
      <c r="D51" s="33">
        <v>1</v>
      </c>
      <c r="E51" s="434">
        <v>39</v>
      </c>
      <c r="F51" s="32"/>
      <c r="G51" s="33"/>
      <c r="H51" s="33">
        <v>1</v>
      </c>
      <c r="M51" s="434">
        <v>38</v>
      </c>
      <c r="N51" s="435" t="s">
        <v>93</v>
      </c>
      <c r="O51" s="435"/>
      <c r="P51" s="24">
        <f t="shared" si="29"/>
        <v>0</v>
      </c>
      <c r="Q51" s="435" t="s">
        <v>490</v>
      </c>
      <c r="R51" s="435" t="s">
        <v>488</v>
      </c>
      <c r="S51" s="435" t="s">
        <v>490</v>
      </c>
      <c r="T51" s="435" t="s">
        <v>488</v>
      </c>
      <c r="U51" s="161">
        <v>1</v>
      </c>
      <c r="V51" s="434">
        <v>1</v>
      </c>
      <c r="W51" s="473">
        <f t="shared" si="193"/>
        <v>814.6</v>
      </c>
      <c r="X51" s="470"/>
      <c r="Y51" s="460">
        <v>814.6</v>
      </c>
      <c r="Z51" s="459"/>
      <c r="AA51" s="464"/>
      <c r="AB51" s="473">
        <f t="shared" si="194"/>
        <v>24828</v>
      </c>
      <c r="AC51" s="461">
        <v>24000</v>
      </c>
      <c r="AD51" s="460">
        <v>828</v>
      </c>
      <c r="AE51" s="459"/>
      <c r="AF51" s="464"/>
      <c r="AG51" s="473">
        <f t="shared" si="195"/>
        <v>828</v>
      </c>
      <c r="AH51" s="461"/>
      <c r="AI51" s="460">
        <v>828</v>
      </c>
      <c r="AJ51" s="459"/>
      <c r="AK51" s="464"/>
      <c r="AL51" s="473">
        <f t="shared" si="196"/>
        <v>360</v>
      </c>
      <c r="AM51" s="461"/>
      <c r="AN51" s="460">
        <v>360</v>
      </c>
      <c r="AO51" s="459"/>
      <c r="AP51" s="459"/>
      <c r="AQ51" s="383" t="s">
        <v>463</v>
      </c>
      <c r="AR51" s="459">
        <f t="shared" si="122"/>
        <v>814.6</v>
      </c>
      <c r="AS51" s="461"/>
      <c r="AT51" s="462">
        <v>814.6</v>
      </c>
      <c r="AU51" s="461"/>
      <c r="AV51" s="459"/>
      <c r="AW51" s="459" t="e">
        <f t="shared" si="197"/>
        <v>#REF!</v>
      </c>
      <c r="AX51" s="459" t="e">
        <f>#REF!-AS51</f>
        <v>#REF!</v>
      </c>
      <c r="AY51" s="459" t="e">
        <f>#REF!-AT51</f>
        <v>#REF!</v>
      </c>
      <c r="AZ51" s="459" t="e">
        <f>#REF!-AU51</f>
        <v>#REF!</v>
      </c>
      <c r="BA51" s="459" t="e">
        <f>#REF!-AV51</f>
        <v>#REF!</v>
      </c>
      <c r="BB51" s="459">
        <f t="shared" si="198"/>
        <v>6557.0403200000001</v>
      </c>
      <c r="BC51" s="461">
        <f>1356.44289+1331.97887+3040.61856</f>
        <v>5729.0403200000001</v>
      </c>
      <c r="BD51" s="460">
        <v>828</v>
      </c>
      <c r="BE51" s="459"/>
      <c r="BF51" s="459"/>
      <c r="BG51" s="459">
        <f t="shared" si="199"/>
        <v>0</v>
      </c>
      <c r="BH51" s="461"/>
      <c r="BI51" s="461"/>
      <c r="BJ51" s="459"/>
      <c r="BK51" s="459"/>
      <c r="BL51" s="459">
        <f t="shared" si="200"/>
        <v>814.6</v>
      </c>
      <c r="BM51" s="461"/>
      <c r="BN51" s="460">
        <f>271.844+421.873+120.883</f>
        <v>814.6</v>
      </c>
      <c r="BO51" s="459"/>
      <c r="BP51" s="459"/>
      <c r="BQ51" s="459">
        <f t="shared" si="201"/>
        <v>814.6</v>
      </c>
      <c r="BR51" s="470"/>
      <c r="BS51" s="460">
        <f>271.844+421.873+120.883</f>
        <v>814.6</v>
      </c>
      <c r="BT51" s="459"/>
      <c r="BU51" s="459"/>
      <c r="BV51" s="459">
        <f t="shared" si="202"/>
        <v>83.606189999999998</v>
      </c>
      <c r="BW51" s="459"/>
      <c r="BX51" s="459">
        <v>83.606189999999998</v>
      </c>
      <c r="BY51" s="459"/>
      <c r="BZ51" s="459"/>
      <c r="CA51" s="464">
        <f t="shared" si="203"/>
        <v>898.20618999999999</v>
      </c>
      <c r="CB51" s="459">
        <f t="shared" si="204"/>
        <v>898.20618999999999</v>
      </c>
      <c r="CC51" s="459">
        <f t="shared" si="205"/>
        <v>0</v>
      </c>
      <c r="CD51" s="459">
        <f t="shared" si="205"/>
        <v>898.20618999999999</v>
      </c>
      <c r="CE51" s="459">
        <f t="shared" si="205"/>
        <v>0</v>
      </c>
      <c r="CF51" s="459">
        <f t="shared" si="205"/>
        <v>0</v>
      </c>
      <c r="CG51" s="459">
        <f t="shared" si="206"/>
        <v>0</v>
      </c>
      <c r="CH51" s="459">
        <f t="shared" si="207"/>
        <v>0</v>
      </c>
      <c r="CI51" s="459">
        <f t="shared" si="207"/>
        <v>0</v>
      </c>
      <c r="CJ51" s="459">
        <f t="shared" si="207"/>
        <v>0</v>
      </c>
      <c r="CK51" s="459">
        <f t="shared" si="207"/>
        <v>0</v>
      </c>
      <c r="CL51" s="465"/>
      <c r="CM51" s="466"/>
      <c r="CN51" s="466"/>
      <c r="CO51" s="459">
        <f t="shared" si="208"/>
        <v>0</v>
      </c>
      <c r="CP51" s="461"/>
      <c r="CQ51" s="461"/>
      <c r="CR51" s="459"/>
      <c r="CS51" s="459"/>
      <c r="CT51" s="459">
        <f t="shared" si="209"/>
        <v>0</v>
      </c>
      <c r="CU51" s="461"/>
      <c r="CV51" s="461"/>
      <c r="CW51" s="459"/>
      <c r="CX51" s="459"/>
      <c r="CY51" s="459">
        <f t="shared" si="210"/>
        <v>0</v>
      </c>
      <c r="CZ51" s="459">
        <f t="shared" si="211"/>
        <v>0</v>
      </c>
      <c r="DA51" s="459">
        <f t="shared" si="211"/>
        <v>0</v>
      </c>
      <c r="DB51" s="459">
        <f t="shared" si="211"/>
        <v>0</v>
      </c>
      <c r="DC51" s="459">
        <f t="shared" si="211"/>
        <v>0</v>
      </c>
      <c r="DD51" s="459"/>
      <c r="DE51" s="459"/>
      <c r="DF51" s="459"/>
      <c r="DG51" s="459">
        <f t="shared" si="212"/>
        <v>0</v>
      </c>
      <c r="DH51" s="467"/>
      <c r="DI51" s="459">
        <f t="shared" si="213"/>
        <v>814.6</v>
      </c>
      <c r="DJ51" s="459">
        <f t="shared" si="214"/>
        <v>814.6</v>
      </c>
      <c r="DK51" s="467"/>
      <c r="DL51" s="459"/>
      <c r="DM51" s="459"/>
      <c r="DN51" s="467"/>
      <c r="DO51" s="459"/>
      <c r="DP51" s="467"/>
      <c r="DQ51" s="467"/>
      <c r="DR51" s="459">
        <f t="shared" si="8"/>
        <v>814.6</v>
      </c>
      <c r="DS51" s="461"/>
      <c r="DT51" s="460">
        <v>814.6</v>
      </c>
      <c r="DU51" s="459"/>
      <c r="DV51" s="459"/>
      <c r="DW51" s="459">
        <f t="shared" si="11"/>
        <v>83.606189999999998</v>
      </c>
      <c r="DX51" s="459"/>
      <c r="DY51" s="459">
        <v>83.606189999999998</v>
      </c>
      <c r="DZ51" s="459"/>
      <c r="EA51" s="146"/>
      <c r="EB51" s="279"/>
      <c r="EC51" s="279"/>
      <c r="ED51" s="279"/>
      <c r="EE51" s="366"/>
      <c r="EF51" s="366"/>
      <c r="EG51" s="279"/>
      <c r="EH51" s="279"/>
      <c r="EI51" s="279"/>
      <c r="EJ51" s="366"/>
      <c r="EK51" s="366"/>
      <c r="EL51" s="366">
        <v>2.7199999999999998E-2</v>
      </c>
      <c r="EM51" s="280"/>
      <c r="EN51" s="279"/>
      <c r="EO51" s="265" t="e">
        <f t="shared" si="217"/>
        <v>#DIV/0!</v>
      </c>
      <c r="EP51" s="323">
        <f t="shared" si="46"/>
        <v>898.20618999999999</v>
      </c>
      <c r="EQ51" s="323">
        <f t="shared" si="83"/>
        <v>814.6</v>
      </c>
      <c r="ER51" s="323">
        <v>83.606189999999998</v>
      </c>
      <c r="ES51" s="358">
        <f t="shared" si="218"/>
        <v>0.90691871094765009</v>
      </c>
      <c r="ET51" s="358">
        <f t="shared" si="219"/>
        <v>9.3081289052349997E-2</v>
      </c>
      <c r="EU51" s="323">
        <f t="shared" si="49"/>
        <v>898.20618999999999</v>
      </c>
      <c r="EV51" s="323">
        <f t="shared" si="220"/>
        <v>814.6</v>
      </c>
      <c r="EW51" s="323">
        <f t="shared" si="221"/>
        <v>83.606189999999998</v>
      </c>
      <c r="EX51" s="358">
        <f t="shared" si="222"/>
        <v>0.90691871094765009</v>
      </c>
      <c r="EY51" s="358">
        <f t="shared" si="223"/>
        <v>9.3081289052349997E-2</v>
      </c>
      <c r="EZ51" s="358">
        <v>9.0800000000000006E-2</v>
      </c>
      <c r="FA51" s="323">
        <f t="shared" si="224"/>
        <v>814.6</v>
      </c>
      <c r="FB51" s="323">
        <f t="shared" si="51"/>
        <v>0</v>
      </c>
      <c r="FC51" s="279"/>
      <c r="FD51" s="279"/>
      <c r="FE51" s="279"/>
      <c r="FF51" s="366"/>
      <c r="FG51" s="366"/>
      <c r="FH51" s="279"/>
      <c r="FI51" s="279"/>
      <c r="FJ51" s="279"/>
      <c r="FK51" s="366"/>
      <c r="FL51" s="366"/>
      <c r="FM51" s="366">
        <v>9.0800000000000006E-2</v>
      </c>
      <c r="FN51" s="280"/>
      <c r="FO51" s="279"/>
    </row>
    <row r="52" spans="2:171" s="40" customFormat="1" ht="15.75" customHeight="1" x14ac:dyDescent="0.25">
      <c r="B52" s="32"/>
      <c r="C52" s="33"/>
      <c r="D52" s="33">
        <v>1</v>
      </c>
      <c r="E52" s="434">
        <v>40</v>
      </c>
      <c r="F52" s="32"/>
      <c r="G52" s="33"/>
      <c r="H52" s="33"/>
      <c r="M52" s="434">
        <v>39</v>
      </c>
      <c r="N52" s="435" t="s">
        <v>313</v>
      </c>
      <c r="O52" s="435"/>
      <c r="P52" s="24">
        <f t="shared" si="29"/>
        <v>0</v>
      </c>
      <c r="Q52" s="435"/>
      <c r="R52" s="435"/>
      <c r="S52" s="435" t="s">
        <v>490</v>
      </c>
      <c r="T52" s="435" t="s">
        <v>488</v>
      </c>
      <c r="U52" s="161">
        <v>1</v>
      </c>
      <c r="V52" s="434">
        <v>1</v>
      </c>
      <c r="W52" s="473">
        <f t="shared" si="193"/>
        <v>546.5</v>
      </c>
      <c r="X52" s="459"/>
      <c r="Y52" s="460">
        <v>546.5</v>
      </c>
      <c r="Z52" s="459"/>
      <c r="AA52" s="464"/>
      <c r="AB52" s="473">
        <f t="shared" si="194"/>
        <v>552</v>
      </c>
      <c r="AC52" s="459"/>
      <c r="AD52" s="460">
        <v>552</v>
      </c>
      <c r="AE52" s="459"/>
      <c r="AF52" s="464"/>
      <c r="AG52" s="473">
        <f t="shared" si="195"/>
        <v>552</v>
      </c>
      <c r="AH52" s="459"/>
      <c r="AI52" s="460">
        <v>552</v>
      </c>
      <c r="AJ52" s="459"/>
      <c r="AK52" s="464"/>
      <c r="AL52" s="473">
        <f t="shared" si="196"/>
        <v>240</v>
      </c>
      <c r="AM52" s="459"/>
      <c r="AN52" s="460">
        <v>240</v>
      </c>
      <c r="AO52" s="459"/>
      <c r="AP52" s="459"/>
      <c r="AQ52" s="383" t="s">
        <v>552</v>
      </c>
      <c r="AR52" s="459">
        <f t="shared" si="122"/>
        <v>509.2</v>
      </c>
      <c r="AS52" s="459"/>
      <c r="AT52" s="462">
        <f>546.5-37.3</f>
        <v>509.2</v>
      </c>
      <c r="AU52" s="459"/>
      <c r="AV52" s="459"/>
      <c r="AW52" s="459" t="e">
        <f t="shared" si="197"/>
        <v>#REF!</v>
      </c>
      <c r="AX52" s="459" t="e">
        <f>#REF!-AS52</f>
        <v>#REF!</v>
      </c>
      <c r="AY52" s="459" t="e">
        <f>#REF!-AT52</f>
        <v>#REF!</v>
      </c>
      <c r="AZ52" s="459" t="e">
        <f>#REF!-AU52</f>
        <v>#REF!</v>
      </c>
      <c r="BA52" s="459" t="e">
        <f>#REF!-AV52</f>
        <v>#REF!</v>
      </c>
      <c r="BB52" s="459">
        <f t="shared" si="198"/>
        <v>552</v>
      </c>
      <c r="BC52" s="459"/>
      <c r="BD52" s="460">
        <f>240+312</f>
        <v>552</v>
      </c>
      <c r="BE52" s="459"/>
      <c r="BF52" s="459"/>
      <c r="BG52" s="459">
        <f t="shared" si="199"/>
        <v>0</v>
      </c>
      <c r="BH52" s="459"/>
      <c r="BI52" s="459"/>
      <c r="BJ52" s="459"/>
      <c r="BK52" s="459"/>
      <c r="BL52" s="459">
        <f t="shared" si="200"/>
        <v>509.2</v>
      </c>
      <c r="BM52" s="459"/>
      <c r="BN52" s="460">
        <v>509.2</v>
      </c>
      <c r="BO52" s="459"/>
      <c r="BP52" s="459"/>
      <c r="BQ52" s="459">
        <f t="shared" si="201"/>
        <v>509.2</v>
      </c>
      <c r="BR52" s="459"/>
      <c r="BS52" s="460">
        <v>509.2</v>
      </c>
      <c r="BT52" s="459"/>
      <c r="BU52" s="459"/>
      <c r="BV52" s="459">
        <f t="shared" si="202"/>
        <v>77.071179999999998</v>
      </c>
      <c r="BW52" s="459"/>
      <c r="BX52" s="459">
        <v>77.071179999999998</v>
      </c>
      <c r="BY52" s="459"/>
      <c r="BZ52" s="459"/>
      <c r="CA52" s="464">
        <f t="shared" si="203"/>
        <v>586.27117999999996</v>
      </c>
      <c r="CB52" s="459">
        <f t="shared" si="204"/>
        <v>586.27117999999996</v>
      </c>
      <c r="CC52" s="459">
        <f t="shared" si="205"/>
        <v>0</v>
      </c>
      <c r="CD52" s="459">
        <f t="shared" si="205"/>
        <v>586.27117999999996</v>
      </c>
      <c r="CE52" s="459">
        <f t="shared" si="205"/>
        <v>0</v>
      </c>
      <c r="CF52" s="459">
        <f t="shared" si="205"/>
        <v>0</v>
      </c>
      <c r="CG52" s="459">
        <f t="shared" si="206"/>
        <v>0</v>
      </c>
      <c r="CH52" s="459">
        <f t="shared" si="207"/>
        <v>0</v>
      </c>
      <c r="CI52" s="459">
        <f t="shared" si="207"/>
        <v>0</v>
      </c>
      <c r="CJ52" s="459">
        <f t="shared" si="207"/>
        <v>0</v>
      </c>
      <c r="CK52" s="459">
        <f t="shared" si="207"/>
        <v>0</v>
      </c>
      <c r="CL52" s="465"/>
      <c r="CM52" s="466"/>
      <c r="CN52" s="466"/>
      <c r="CO52" s="459">
        <f t="shared" si="208"/>
        <v>0</v>
      </c>
      <c r="CP52" s="459"/>
      <c r="CQ52" s="459"/>
      <c r="CR52" s="459"/>
      <c r="CS52" s="459"/>
      <c r="CT52" s="459">
        <f t="shared" si="209"/>
        <v>0</v>
      </c>
      <c r="CU52" s="459"/>
      <c r="CV52" s="459"/>
      <c r="CW52" s="459"/>
      <c r="CX52" s="459"/>
      <c r="CY52" s="459">
        <f t="shared" si="210"/>
        <v>0</v>
      </c>
      <c r="CZ52" s="459">
        <f t="shared" si="211"/>
        <v>0</v>
      </c>
      <c r="DA52" s="459">
        <f t="shared" si="211"/>
        <v>0</v>
      </c>
      <c r="DB52" s="459">
        <f t="shared" si="211"/>
        <v>0</v>
      </c>
      <c r="DC52" s="459">
        <f t="shared" si="211"/>
        <v>0</v>
      </c>
      <c r="DD52" s="459"/>
      <c r="DE52" s="459"/>
      <c r="DF52" s="459"/>
      <c r="DG52" s="459">
        <f t="shared" si="212"/>
        <v>0</v>
      </c>
      <c r="DH52" s="467"/>
      <c r="DI52" s="459">
        <f t="shared" si="213"/>
        <v>509.2</v>
      </c>
      <c r="DJ52" s="459">
        <f t="shared" si="214"/>
        <v>509.2</v>
      </c>
      <c r="DK52" s="467"/>
      <c r="DL52" s="459"/>
      <c r="DM52" s="459"/>
      <c r="DN52" s="467"/>
      <c r="DO52" s="459"/>
      <c r="DP52" s="467"/>
      <c r="DQ52" s="467"/>
      <c r="DR52" s="459">
        <f t="shared" si="8"/>
        <v>509.2</v>
      </c>
      <c r="DS52" s="459"/>
      <c r="DT52" s="460">
        <v>509.2</v>
      </c>
      <c r="DU52" s="459"/>
      <c r="DV52" s="459"/>
      <c r="DW52" s="459">
        <f t="shared" si="11"/>
        <v>77.071179999999998</v>
      </c>
      <c r="DX52" s="459"/>
      <c r="DY52" s="459">
        <v>77.071179999999998</v>
      </c>
      <c r="DZ52" s="459"/>
      <c r="EA52" s="146"/>
      <c r="EB52" s="279"/>
      <c r="EC52" s="279"/>
      <c r="ED52" s="279"/>
      <c r="EE52" s="366"/>
      <c r="EF52" s="366"/>
      <c r="EG52" s="279"/>
      <c r="EH52" s="279"/>
      <c r="EI52" s="279"/>
      <c r="EJ52" s="366"/>
      <c r="EK52" s="366"/>
      <c r="EL52" s="366">
        <v>2.5600000000000001E-2</v>
      </c>
      <c r="EM52" s="280"/>
      <c r="EN52" s="279"/>
      <c r="EO52" s="265" t="e">
        <f t="shared" si="217"/>
        <v>#DIV/0!</v>
      </c>
      <c r="EP52" s="323">
        <f t="shared" si="46"/>
        <v>586.27117999999996</v>
      </c>
      <c r="EQ52" s="323">
        <f t="shared" si="83"/>
        <v>509.2</v>
      </c>
      <c r="ER52" s="323">
        <v>77.071179999999998</v>
      </c>
      <c r="ES52" s="358">
        <f t="shared" si="218"/>
        <v>0.8685400500157624</v>
      </c>
      <c r="ET52" s="358">
        <f t="shared" si="219"/>
        <v>0.13145994998423768</v>
      </c>
      <c r="EU52" s="323">
        <f t="shared" si="49"/>
        <v>586.27117999999996</v>
      </c>
      <c r="EV52" s="323">
        <f t="shared" si="220"/>
        <v>509.2</v>
      </c>
      <c r="EW52" s="323">
        <f t="shared" si="221"/>
        <v>77.071179999999998</v>
      </c>
      <c r="EX52" s="358">
        <f t="shared" si="222"/>
        <v>0.8685400500157624</v>
      </c>
      <c r="EY52" s="358">
        <f t="shared" si="223"/>
        <v>0.13145994998423768</v>
      </c>
      <c r="EZ52" s="358">
        <v>8.5300000000000001E-2</v>
      </c>
      <c r="FA52" s="323">
        <f t="shared" si="224"/>
        <v>509.2</v>
      </c>
      <c r="FB52" s="323">
        <f t="shared" si="51"/>
        <v>0</v>
      </c>
      <c r="FC52" s="279"/>
      <c r="FD52" s="279"/>
      <c r="FE52" s="279"/>
      <c r="FF52" s="366"/>
      <c r="FG52" s="366"/>
      <c r="FH52" s="279"/>
      <c r="FI52" s="279"/>
      <c r="FJ52" s="279"/>
      <c r="FK52" s="366"/>
      <c r="FL52" s="366"/>
      <c r="FM52" s="366">
        <v>8.5300000000000001E-2</v>
      </c>
      <c r="FN52" s="280"/>
      <c r="FO52" s="279"/>
    </row>
    <row r="53" spans="2:171" s="40" customFormat="1" ht="15.6" customHeight="1" x14ac:dyDescent="0.25">
      <c r="B53" s="32"/>
      <c r="C53" s="33"/>
      <c r="D53" s="33">
        <v>1</v>
      </c>
      <c r="E53" s="434">
        <v>41</v>
      </c>
      <c r="F53" s="32"/>
      <c r="G53" s="33"/>
      <c r="H53" s="33">
        <v>1</v>
      </c>
      <c r="M53" s="434">
        <v>40</v>
      </c>
      <c r="N53" s="435" t="s">
        <v>166</v>
      </c>
      <c r="O53" s="435"/>
      <c r="P53" s="24">
        <f t="shared" si="29"/>
        <v>0</v>
      </c>
      <c r="Q53" s="435"/>
      <c r="R53" s="435"/>
      <c r="S53" s="435" t="s">
        <v>490</v>
      </c>
      <c r="T53" s="435" t="s">
        <v>488</v>
      </c>
      <c r="U53" s="161">
        <v>1</v>
      </c>
      <c r="V53" s="434">
        <v>2</v>
      </c>
      <c r="W53" s="473">
        <f t="shared" si="193"/>
        <v>4044.239</v>
      </c>
      <c r="X53" s="482"/>
      <c r="Y53" s="460">
        <v>409.3</v>
      </c>
      <c r="Z53" s="459">
        <f>7187.445-447.42-3105.086</f>
        <v>3634.9389999999999</v>
      </c>
      <c r="AA53" s="461"/>
      <c r="AB53" s="473">
        <f t="shared" si="194"/>
        <v>363.4</v>
      </c>
      <c r="AC53" s="482"/>
      <c r="AD53" s="460">
        <v>363.4</v>
      </c>
      <c r="AE53" s="459"/>
      <c r="AF53" s="461"/>
      <c r="AG53" s="473">
        <f t="shared" si="195"/>
        <v>363.4</v>
      </c>
      <c r="AH53" s="482"/>
      <c r="AI53" s="460">
        <v>363.4</v>
      </c>
      <c r="AJ53" s="459"/>
      <c r="AK53" s="461"/>
      <c r="AL53" s="473">
        <f t="shared" si="196"/>
        <v>158</v>
      </c>
      <c r="AM53" s="482"/>
      <c r="AN53" s="460">
        <v>158</v>
      </c>
      <c r="AO53" s="459"/>
      <c r="AP53" s="461"/>
      <c r="AQ53" s="383" t="s">
        <v>540</v>
      </c>
      <c r="AR53" s="459">
        <f t="shared" si="122"/>
        <v>3527.4283499999997</v>
      </c>
      <c r="AS53" s="459"/>
      <c r="AT53" s="462">
        <v>399.75</v>
      </c>
      <c r="AU53" s="459">
        <f>6740.025-3105.086-507.26065</f>
        <v>3127.6783499999997</v>
      </c>
      <c r="AV53" s="459"/>
      <c r="AW53" s="459" t="e">
        <f t="shared" si="197"/>
        <v>#REF!</v>
      </c>
      <c r="AX53" s="459" t="e">
        <f>#REF!-AS53</f>
        <v>#REF!</v>
      </c>
      <c r="AY53" s="459" t="e">
        <f>#REF!-AT53</f>
        <v>#REF!</v>
      </c>
      <c r="AZ53" s="459" t="e">
        <f>#REF!-AU53</f>
        <v>#REF!</v>
      </c>
      <c r="BA53" s="459" t="e">
        <f>#REF!-AV53</f>
        <v>#REF!</v>
      </c>
      <c r="BB53" s="459">
        <f t="shared" si="198"/>
        <v>363.4</v>
      </c>
      <c r="BC53" s="459"/>
      <c r="BD53" s="460">
        <v>363.4</v>
      </c>
      <c r="BE53" s="459"/>
      <c r="BF53" s="459"/>
      <c r="BG53" s="459">
        <f t="shared" si="199"/>
        <v>0</v>
      </c>
      <c r="BH53" s="459"/>
      <c r="BI53" s="460"/>
      <c r="BJ53" s="459"/>
      <c r="BK53" s="459"/>
      <c r="BL53" s="459">
        <f t="shared" si="200"/>
        <v>3527.4283500000001</v>
      </c>
      <c r="BM53" s="459"/>
      <c r="BN53" s="460">
        <f>95.748+192.25+111.752</f>
        <v>399.75</v>
      </c>
      <c r="BO53" s="459">
        <v>3127.6783500000001</v>
      </c>
      <c r="BP53" s="459"/>
      <c r="BQ53" s="459">
        <f>BR53+BS53+BT53+BU53</f>
        <v>3527.4283500000001</v>
      </c>
      <c r="BR53" s="459"/>
      <c r="BS53" s="460">
        <f>95.748+192.25+111.752</f>
        <v>399.75</v>
      </c>
      <c r="BT53" s="459">
        <v>3127.6783500000001</v>
      </c>
      <c r="BU53" s="459"/>
      <c r="BV53" s="459">
        <f>BW53+BX53+BY53+BZ53</f>
        <v>327.17363999999998</v>
      </c>
      <c r="BW53" s="459"/>
      <c r="BX53" s="459">
        <f>8.8968+17.864+10.384</f>
        <v>37.144800000000004</v>
      </c>
      <c r="BY53" s="459">
        <v>290.02884</v>
      </c>
      <c r="BZ53" s="459"/>
      <c r="CA53" s="464">
        <f t="shared" si="203"/>
        <v>3854.6019900000001</v>
      </c>
      <c r="CB53" s="459">
        <f t="shared" si="204"/>
        <v>3854.6019900000001</v>
      </c>
      <c r="CC53" s="459">
        <f t="shared" si="205"/>
        <v>0</v>
      </c>
      <c r="CD53" s="459">
        <f>BS53+BX53</f>
        <v>436.89480000000003</v>
      </c>
      <c r="CE53" s="459">
        <f t="shared" si="205"/>
        <v>3417.7071900000001</v>
      </c>
      <c r="CF53" s="459">
        <f t="shared" si="205"/>
        <v>0</v>
      </c>
      <c r="CG53" s="459">
        <f t="shared" si="206"/>
        <v>0</v>
      </c>
      <c r="CH53" s="459">
        <f t="shared" si="207"/>
        <v>0</v>
      </c>
      <c r="CI53" s="459">
        <f>BN53-BS53</f>
        <v>0</v>
      </c>
      <c r="CJ53" s="459">
        <f t="shared" si="207"/>
        <v>0</v>
      </c>
      <c r="CK53" s="459">
        <f t="shared" si="207"/>
        <v>0</v>
      </c>
      <c r="CL53" s="465"/>
      <c r="CM53" s="466"/>
      <c r="CN53" s="466"/>
      <c r="CO53" s="459">
        <f t="shared" si="208"/>
        <v>0</v>
      </c>
      <c r="CP53" s="459"/>
      <c r="CQ53" s="460"/>
      <c r="CR53" s="459"/>
      <c r="CS53" s="459"/>
      <c r="CT53" s="459">
        <f t="shared" si="209"/>
        <v>0</v>
      </c>
      <c r="CU53" s="459"/>
      <c r="CV53" s="460"/>
      <c r="CW53" s="459"/>
      <c r="CX53" s="459"/>
      <c r="CY53" s="459">
        <f t="shared" si="210"/>
        <v>0</v>
      </c>
      <c r="CZ53" s="459">
        <f t="shared" si="211"/>
        <v>0</v>
      </c>
      <c r="DA53" s="459">
        <f t="shared" si="211"/>
        <v>0</v>
      </c>
      <c r="DB53" s="459">
        <f t="shared" si="211"/>
        <v>0</v>
      </c>
      <c r="DC53" s="459">
        <f t="shared" si="211"/>
        <v>0</v>
      </c>
      <c r="DD53" s="459"/>
      <c r="DE53" s="459"/>
      <c r="DF53" s="459"/>
      <c r="DG53" s="459">
        <f t="shared" si="212"/>
        <v>0</v>
      </c>
      <c r="DH53" s="467"/>
      <c r="DI53" s="459">
        <f t="shared" si="213"/>
        <v>3527.4283500000001</v>
      </c>
      <c r="DJ53" s="459">
        <f t="shared" si="214"/>
        <v>3527.4283500000001</v>
      </c>
      <c r="DK53" s="467"/>
      <c r="DL53" s="459"/>
      <c r="DM53" s="459"/>
      <c r="DN53" s="467"/>
      <c r="DO53" s="459"/>
      <c r="DP53" s="467"/>
      <c r="DQ53" s="467"/>
      <c r="DR53" s="459">
        <f t="shared" si="8"/>
        <v>3527.4283500000001</v>
      </c>
      <c r="DS53" s="459"/>
      <c r="DT53" s="460">
        <v>399.75</v>
      </c>
      <c r="DU53" s="459">
        <v>3127.6783500000001</v>
      </c>
      <c r="DV53" s="459"/>
      <c r="DW53" s="459">
        <f t="shared" si="11"/>
        <v>327.17363999999998</v>
      </c>
      <c r="DX53" s="459"/>
      <c r="DY53" s="459">
        <v>37.144799999999996</v>
      </c>
      <c r="DZ53" s="459">
        <v>290.02884</v>
      </c>
      <c r="EA53" s="146"/>
      <c r="EB53" s="279"/>
      <c r="EC53" s="279"/>
      <c r="ED53" s="279"/>
      <c r="EE53" s="366"/>
      <c r="EF53" s="366"/>
      <c r="EG53" s="279"/>
      <c r="EH53" s="279"/>
      <c r="EI53" s="279"/>
      <c r="EJ53" s="366"/>
      <c r="EK53" s="366"/>
      <c r="EL53" s="366">
        <v>2.3900000000000001E-2</v>
      </c>
      <c r="EM53" s="280"/>
      <c r="EN53" s="279"/>
      <c r="EO53" s="265" t="e">
        <f t="shared" si="217"/>
        <v>#DIV/0!</v>
      </c>
      <c r="EP53" s="323">
        <f t="shared" si="46"/>
        <v>436.89479999999998</v>
      </c>
      <c r="EQ53" s="323">
        <f t="shared" si="83"/>
        <v>399.75</v>
      </c>
      <c r="ER53" s="323">
        <v>37.144799999999996</v>
      </c>
      <c r="ES53" s="358">
        <f t="shared" si="218"/>
        <v>0.91497999060643442</v>
      </c>
      <c r="ET53" s="358">
        <f t="shared" si="219"/>
        <v>8.5020009393565674E-2</v>
      </c>
      <c r="EU53" s="323">
        <f t="shared" si="49"/>
        <v>436.89479999999998</v>
      </c>
      <c r="EV53" s="323">
        <f t="shared" si="220"/>
        <v>399.75</v>
      </c>
      <c r="EW53" s="323">
        <f t="shared" si="221"/>
        <v>37.144799999999996</v>
      </c>
      <c r="EX53" s="358">
        <f t="shared" si="222"/>
        <v>0.91497999060643442</v>
      </c>
      <c r="EY53" s="358">
        <f t="shared" si="223"/>
        <v>8.5020009393565674E-2</v>
      </c>
      <c r="EZ53" s="358">
        <v>7.9500000000000001E-2</v>
      </c>
      <c r="FA53" s="323">
        <f t="shared" si="224"/>
        <v>399.75</v>
      </c>
      <c r="FB53" s="323">
        <f t="shared" si="51"/>
        <v>0</v>
      </c>
      <c r="FC53" s="279">
        <f t="shared" ref="FC53" si="242">FD53+FE53</f>
        <v>3417.7071899999996</v>
      </c>
      <c r="FD53" s="279">
        <f t="shared" ref="FD53" si="243">AU53</f>
        <v>3127.6783499999997</v>
      </c>
      <c r="FE53" s="279">
        <v>290.02884</v>
      </c>
      <c r="FF53" s="366">
        <f t="shared" ref="FF53" si="244">FD53/FC53</f>
        <v>0.91513935399480495</v>
      </c>
      <c r="FG53" s="366">
        <f t="shared" ref="FG53" si="245">FE53/FC53</f>
        <v>8.4860646005195092E-2</v>
      </c>
      <c r="FH53" s="279">
        <f t="shared" ref="FH53" si="246">FI53+FJ53</f>
        <v>3417.7071900000001</v>
      </c>
      <c r="FI53" s="279">
        <f t="shared" ref="FI53" si="247">DU53</f>
        <v>3127.6783500000001</v>
      </c>
      <c r="FJ53" s="279">
        <f t="shared" ref="FJ53" si="248">DZ53</f>
        <v>290.02884</v>
      </c>
      <c r="FK53" s="366">
        <f t="shared" ref="FK53" si="249">FI53/FH53</f>
        <v>0.91513935399480495</v>
      </c>
      <c r="FL53" s="366">
        <f t="shared" ref="FL53" si="250">FJ53/FH53</f>
        <v>8.4860646005195078E-2</v>
      </c>
      <c r="FM53" s="366">
        <v>7.9500000000000001E-2</v>
      </c>
      <c r="FN53" s="280">
        <f t="shared" ref="FN53" si="251">FH53*FF53</f>
        <v>3127.6783500000001</v>
      </c>
      <c r="FO53" s="279">
        <f t="shared" ref="FO53" si="252">FI53-FN53</f>
        <v>0</v>
      </c>
    </row>
    <row r="54" spans="2:171" s="40" customFormat="1" ht="15.75" customHeight="1" x14ac:dyDescent="0.25">
      <c r="B54" s="32"/>
      <c r="C54" s="33">
        <v>1</v>
      </c>
      <c r="D54" s="33"/>
      <c r="E54" s="434">
        <v>42</v>
      </c>
      <c r="F54" s="32"/>
      <c r="G54" s="33">
        <v>1</v>
      </c>
      <c r="H54" s="33">
        <v>1</v>
      </c>
      <c r="M54" s="434">
        <v>41</v>
      </c>
      <c r="N54" s="435" t="s">
        <v>37</v>
      </c>
      <c r="O54" s="435"/>
      <c r="P54" s="24">
        <f t="shared" si="29"/>
        <v>0</v>
      </c>
      <c r="Q54" s="435" t="s">
        <v>491</v>
      </c>
      <c r="R54" s="435" t="s">
        <v>488</v>
      </c>
      <c r="S54" s="435" t="s">
        <v>491</v>
      </c>
      <c r="T54" s="435" t="s">
        <v>488</v>
      </c>
      <c r="U54" s="161">
        <v>1</v>
      </c>
      <c r="V54" s="434">
        <v>2</v>
      </c>
      <c r="W54" s="473">
        <f t="shared" si="193"/>
        <v>3536.7869999999998</v>
      </c>
      <c r="X54" s="459"/>
      <c r="Y54" s="460">
        <v>1541.1</v>
      </c>
      <c r="Z54" s="470">
        <v>1995.6869999999999</v>
      </c>
      <c r="AA54" s="461"/>
      <c r="AB54" s="473">
        <f t="shared" si="194"/>
        <v>19140.653000000002</v>
      </c>
      <c r="AC54" s="459"/>
      <c r="AD54" s="460">
        <v>1550.2</v>
      </c>
      <c r="AE54" s="461">
        <v>17590.453000000001</v>
      </c>
      <c r="AF54" s="461"/>
      <c r="AG54" s="473">
        <f t="shared" si="195"/>
        <v>19387.813000000002</v>
      </c>
      <c r="AH54" s="459"/>
      <c r="AI54" s="460">
        <v>1550.2</v>
      </c>
      <c r="AJ54" s="461">
        <v>17837.613000000001</v>
      </c>
      <c r="AK54" s="461"/>
      <c r="AL54" s="473">
        <f t="shared" si="196"/>
        <v>18511.613000000001</v>
      </c>
      <c r="AM54" s="459"/>
      <c r="AN54" s="460">
        <v>674</v>
      </c>
      <c r="AO54" s="461">
        <v>17837.613000000001</v>
      </c>
      <c r="AP54" s="461"/>
      <c r="AQ54" s="383" t="s">
        <v>557</v>
      </c>
      <c r="AR54" s="459">
        <f t="shared" si="122"/>
        <v>3078.1</v>
      </c>
      <c r="AS54" s="459"/>
      <c r="AT54" s="462">
        <v>1541.1</v>
      </c>
      <c r="AU54" s="470">
        <f>1995.687-458.687</f>
        <v>1537</v>
      </c>
      <c r="AV54" s="461"/>
      <c r="AW54" s="459" t="e">
        <f t="shared" si="197"/>
        <v>#REF!</v>
      </c>
      <c r="AX54" s="459" t="e">
        <f>#REF!-AS54</f>
        <v>#REF!</v>
      </c>
      <c r="AY54" s="459" t="e">
        <f>#REF!-AT54</f>
        <v>#REF!</v>
      </c>
      <c r="AZ54" s="459" t="e">
        <f>#REF!-AU54</f>
        <v>#REF!</v>
      </c>
      <c r="BA54" s="459" t="e">
        <f>#REF!-AV54</f>
        <v>#REF!</v>
      </c>
      <c r="BB54" s="459">
        <f t="shared" si="198"/>
        <v>16060.497000000003</v>
      </c>
      <c r="BC54" s="459"/>
      <c r="BD54" s="460">
        <f>674+876.2</f>
        <v>1550.2</v>
      </c>
      <c r="BE54" s="461">
        <f>16624.687+965.766-3080.156</f>
        <v>14510.297000000002</v>
      </c>
      <c r="BF54" s="461"/>
      <c r="BG54" s="459">
        <f t="shared" si="199"/>
        <v>0</v>
      </c>
      <c r="BH54" s="459"/>
      <c r="BI54" s="460"/>
      <c r="BJ54" s="461"/>
      <c r="BK54" s="461"/>
      <c r="BL54" s="459">
        <f t="shared" si="200"/>
        <v>3078.1</v>
      </c>
      <c r="BM54" s="459"/>
      <c r="BN54" s="462">
        <v>1541.1</v>
      </c>
      <c r="BO54" s="470">
        <v>1537</v>
      </c>
      <c r="BP54" s="470"/>
      <c r="BQ54" s="459">
        <f t="shared" si="201"/>
        <v>3078.1</v>
      </c>
      <c r="BR54" s="459"/>
      <c r="BS54" s="462">
        <v>1541.1</v>
      </c>
      <c r="BT54" s="470">
        <v>1537</v>
      </c>
      <c r="BU54" s="470"/>
      <c r="BV54" s="459">
        <f t="shared" si="202"/>
        <v>271.74739999999997</v>
      </c>
      <c r="BW54" s="459"/>
      <c r="BX54" s="459">
        <v>145.83439999999999</v>
      </c>
      <c r="BY54" s="459">
        <v>125.913</v>
      </c>
      <c r="BZ54" s="459"/>
      <c r="CA54" s="464">
        <f t="shared" si="203"/>
        <v>3349.8473999999997</v>
      </c>
      <c r="CB54" s="459">
        <f t="shared" si="204"/>
        <v>3349.8473999999997</v>
      </c>
      <c r="CC54" s="459">
        <f t="shared" si="205"/>
        <v>0</v>
      </c>
      <c r="CD54" s="459">
        <f t="shared" si="205"/>
        <v>1686.9343999999999</v>
      </c>
      <c r="CE54" s="459">
        <f t="shared" si="205"/>
        <v>1662.913</v>
      </c>
      <c r="CF54" s="459">
        <f t="shared" si="205"/>
        <v>0</v>
      </c>
      <c r="CG54" s="459">
        <f t="shared" si="206"/>
        <v>0</v>
      </c>
      <c r="CH54" s="459">
        <f t="shared" si="207"/>
        <v>0</v>
      </c>
      <c r="CI54" s="459">
        <f t="shared" si="207"/>
        <v>0</v>
      </c>
      <c r="CJ54" s="459">
        <f t="shared" si="207"/>
        <v>0</v>
      </c>
      <c r="CK54" s="459">
        <f t="shared" si="207"/>
        <v>0</v>
      </c>
      <c r="CL54" s="465"/>
      <c r="CM54" s="466"/>
      <c r="CN54" s="466"/>
      <c r="CO54" s="459">
        <f t="shared" si="208"/>
        <v>0</v>
      </c>
      <c r="CP54" s="459"/>
      <c r="CQ54" s="460"/>
      <c r="CR54" s="461"/>
      <c r="CS54" s="461"/>
      <c r="CT54" s="459">
        <f t="shared" si="209"/>
        <v>0</v>
      </c>
      <c r="CU54" s="459"/>
      <c r="CV54" s="460"/>
      <c r="CW54" s="461"/>
      <c r="CX54" s="461"/>
      <c r="CY54" s="459">
        <f t="shared" si="210"/>
        <v>0</v>
      </c>
      <c r="CZ54" s="459">
        <f t="shared" si="211"/>
        <v>0</v>
      </c>
      <c r="DA54" s="459">
        <f t="shared" si="211"/>
        <v>0</v>
      </c>
      <c r="DB54" s="459">
        <f t="shared" si="211"/>
        <v>0</v>
      </c>
      <c r="DC54" s="459">
        <f t="shared" si="211"/>
        <v>0</v>
      </c>
      <c r="DD54" s="459"/>
      <c r="DE54" s="459"/>
      <c r="DF54" s="459"/>
      <c r="DG54" s="459">
        <f t="shared" si="212"/>
        <v>0</v>
      </c>
      <c r="DH54" s="467"/>
      <c r="DI54" s="459">
        <f t="shared" si="213"/>
        <v>3078.1</v>
      </c>
      <c r="DJ54" s="459">
        <f t="shared" si="214"/>
        <v>3078.1</v>
      </c>
      <c r="DK54" s="467"/>
      <c r="DL54" s="459"/>
      <c r="DM54" s="459"/>
      <c r="DN54" s="467"/>
      <c r="DO54" s="459"/>
      <c r="DP54" s="467"/>
      <c r="DQ54" s="467"/>
      <c r="DR54" s="459">
        <f t="shared" si="8"/>
        <v>3078.1</v>
      </c>
      <c r="DS54" s="459"/>
      <c r="DT54" s="462">
        <v>1541.1</v>
      </c>
      <c r="DU54" s="470">
        <v>1537</v>
      </c>
      <c r="DV54" s="470"/>
      <c r="DW54" s="459">
        <f t="shared" si="11"/>
        <v>271.74739999999997</v>
      </c>
      <c r="DX54" s="459"/>
      <c r="DY54" s="561">
        <v>145.83439999999999</v>
      </c>
      <c r="DZ54" s="464">
        <v>125.913</v>
      </c>
      <c r="EA54" s="146"/>
      <c r="EB54" s="279"/>
      <c r="EC54" s="279"/>
      <c r="ED54" s="279"/>
      <c r="EE54" s="366"/>
      <c r="EF54" s="366"/>
      <c r="EG54" s="279"/>
      <c r="EH54" s="279"/>
      <c r="EI54" s="279"/>
      <c r="EJ54" s="366"/>
      <c r="EK54" s="366"/>
      <c r="EL54" s="366">
        <v>2.2700000000000001E-2</v>
      </c>
      <c r="EM54" s="280"/>
      <c r="EN54" s="279"/>
      <c r="EO54" s="265" t="e">
        <f t="shared" si="217"/>
        <v>#DIV/0!</v>
      </c>
      <c r="EP54" s="323">
        <f t="shared" si="46"/>
        <v>1686.9343999999999</v>
      </c>
      <c r="EQ54" s="323">
        <f t="shared" si="83"/>
        <v>1541.1</v>
      </c>
      <c r="ER54" s="323">
        <v>145.83439999999999</v>
      </c>
      <c r="ES54" s="358">
        <f t="shared" si="218"/>
        <v>0.91355063955065474</v>
      </c>
      <c r="ET54" s="358">
        <f t="shared" si="219"/>
        <v>8.6449360449345272E-2</v>
      </c>
      <c r="EU54" s="323">
        <f t="shared" si="49"/>
        <v>1686.9343999999999</v>
      </c>
      <c r="EV54" s="323">
        <f t="shared" ref="EV54" si="253">DT54</f>
        <v>1541.1</v>
      </c>
      <c r="EW54" s="323">
        <f t="shared" ref="EW54" si="254">DY54</f>
        <v>145.83439999999999</v>
      </c>
      <c r="EX54" s="358">
        <f t="shared" si="222"/>
        <v>0.91355063955065474</v>
      </c>
      <c r="EY54" s="358">
        <f t="shared" si="223"/>
        <v>8.6449360449345272E-2</v>
      </c>
      <c r="EZ54" s="358">
        <v>7.5600000000000001E-2</v>
      </c>
      <c r="FA54" s="323">
        <f t="shared" si="224"/>
        <v>1541.1</v>
      </c>
      <c r="FB54" s="323">
        <f t="shared" si="51"/>
        <v>0</v>
      </c>
      <c r="FC54" s="279">
        <f t="shared" si="225"/>
        <v>1662.913</v>
      </c>
      <c r="FD54" s="279">
        <f t="shared" si="53"/>
        <v>1537</v>
      </c>
      <c r="FE54" s="279">
        <v>125.913</v>
      </c>
      <c r="FF54" s="366">
        <f t="shared" si="226"/>
        <v>0.92428166717080207</v>
      </c>
      <c r="FG54" s="366">
        <f t="shared" si="227"/>
        <v>7.5718332829197918E-2</v>
      </c>
      <c r="FH54" s="279" t="e">
        <f t="shared" si="55"/>
        <v>#REF!</v>
      </c>
      <c r="FI54" s="279" t="e">
        <f>#REF!</f>
        <v>#REF!</v>
      </c>
      <c r="FJ54" s="279" t="e">
        <f>#REF!</f>
        <v>#REF!</v>
      </c>
      <c r="FK54" s="366" t="e">
        <f t="shared" si="228"/>
        <v>#REF!</v>
      </c>
      <c r="FL54" s="366" t="e">
        <f t="shared" si="229"/>
        <v>#REF!</v>
      </c>
      <c r="FM54" s="366">
        <v>7.5600000000000001E-2</v>
      </c>
      <c r="FN54" s="280" t="e">
        <f t="shared" si="230"/>
        <v>#REF!</v>
      </c>
      <c r="FO54" s="279" t="e">
        <f t="shared" si="57"/>
        <v>#REF!</v>
      </c>
    </row>
    <row r="55" spans="2:171" s="40" customFormat="1" ht="15.75" customHeight="1" x14ac:dyDescent="0.25">
      <c r="B55" s="32"/>
      <c r="C55" s="33"/>
      <c r="D55" s="33">
        <v>1</v>
      </c>
      <c r="E55" s="434">
        <v>43</v>
      </c>
      <c r="F55" s="32"/>
      <c r="G55" s="33"/>
      <c r="H55" s="33">
        <v>1</v>
      </c>
      <c r="M55" s="434">
        <v>42</v>
      </c>
      <c r="N55" s="435" t="s">
        <v>94</v>
      </c>
      <c r="O55" s="435"/>
      <c r="P55" s="24">
        <f t="shared" si="29"/>
        <v>0</v>
      </c>
      <c r="Q55" s="435"/>
      <c r="R55" s="435"/>
      <c r="S55" s="435" t="s">
        <v>490</v>
      </c>
      <c r="T55" s="435" t="s">
        <v>488</v>
      </c>
      <c r="U55" s="161">
        <v>1</v>
      </c>
      <c r="V55" s="434"/>
      <c r="W55" s="473">
        <f t="shared" si="193"/>
        <v>282.39999999999998</v>
      </c>
      <c r="X55" s="459"/>
      <c r="Y55" s="460">
        <v>282.39999999999998</v>
      </c>
      <c r="Z55" s="459"/>
      <c r="AA55" s="461"/>
      <c r="AB55" s="473">
        <f t="shared" si="194"/>
        <v>282.89999999999998</v>
      </c>
      <c r="AC55" s="459"/>
      <c r="AD55" s="460">
        <v>282.89999999999998</v>
      </c>
      <c r="AE55" s="459"/>
      <c r="AF55" s="461"/>
      <c r="AG55" s="473">
        <f t="shared" si="195"/>
        <v>282.89999999999998</v>
      </c>
      <c r="AH55" s="459"/>
      <c r="AI55" s="460">
        <v>282.89999999999998</v>
      </c>
      <c r="AJ55" s="459"/>
      <c r="AK55" s="461"/>
      <c r="AL55" s="473">
        <f t="shared" si="196"/>
        <v>123</v>
      </c>
      <c r="AM55" s="459"/>
      <c r="AN55" s="460">
        <v>123</v>
      </c>
      <c r="AO55" s="459"/>
      <c r="AP55" s="461"/>
      <c r="AQ55" s="383" t="s">
        <v>371</v>
      </c>
      <c r="AR55" s="459">
        <f t="shared" si="122"/>
        <v>282.39999999999998</v>
      </c>
      <c r="AS55" s="459"/>
      <c r="AT55" s="462">
        <v>282.39999999999998</v>
      </c>
      <c r="AU55" s="459"/>
      <c r="AV55" s="459"/>
      <c r="AW55" s="459" t="e">
        <f t="shared" si="197"/>
        <v>#REF!</v>
      </c>
      <c r="AX55" s="459" t="e">
        <f>#REF!-AS55</f>
        <v>#REF!</v>
      </c>
      <c r="AY55" s="459" t="e">
        <f>#REF!-AT55</f>
        <v>#REF!</v>
      </c>
      <c r="AZ55" s="459" t="e">
        <f>#REF!-AU55</f>
        <v>#REF!</v>
      </c>
      <c r="BA55" s="459" t="e">
        <f>#REF!-AV55</f>
        <v>#REF!</v>
      </c>
      <c r="BB55" s="459">
        <f t="shared" si="198"/>
        <v>282.89999999999998</v>
      </c>
      <c r="BC55" s="459"/>
      <c r="BD55" s="460">
        <v>282.89999999999998</v>
      </c>
      <c r="BE55" s="459"/>
      <c r="BF55" s="459"/>
      <c r="BG55" s="459">
        <f t="shared" si="199"/>
        <v>0</v>
      </c>
      <c r="BH55" s="459"/>
      <c r="BI55" s="460"/>
      <c r="BJ55" s="459"/>
      <c r="BK55" s="459"/>
      <c r="BL55" s="459">
        <f t="shared" si="200"/>
        <v>282.39999999999998</v>
      </c>
      <c r="BM55" s="459"/>
      <c r="BN55" s="462">
        <v>282.39999999999998</v>
      </c>
      <c r="BO55" s="459"/>
      <c r="BP55" s="459"/>
      <c r="BQ55" s="459">
        <f t="shared" si="201"/>
        <v>282.39999999999998</v>
      </c>
      <c r="BR55" s="459"/>
      <c r="BS55" s="462">
        <v>282.39999999999998</v>
      </c>
      <c r="BT55" s="459"/>
      <c r="BU55" s="459"/>
      <c r="BV55" s="459">
        <f t="shared" si="202"/>
        <v>27.090800000000002</v>
      </c>
      <c r="BW55" s="459"/>
      <c r="BX55" s="459">
        <v>27.090800000000002</v>
      </c>
      <c r="BY55" s="459"/>
      <c r="BZ55" s="459"/>
      <c r="CA55" s="464">
        <f t="shared" si="203"/>
        <v>309.49079999999998</v>
      </c>
      <c r="CB55" s="459">
        <f t="shared" si="204"/>
        <v>309.49079999999998</v>
      </c>
      <c r="CC55" s="459">
        <f t="shared" si="205"/>
        <v>0</v>
      </c>
      <c r="CD55" s="459">
        <f t="shared" si="205"/>
        <v>309.49079999999998</v>
      </c>
      <c r="CE55" s="459">
        <f t="shared" si="205"/>
        <v>0</v>
      </c>
      <c r="CF55" s="459">
        <f t="shared" si="205"/>
        <v>0</v>
      </c>
      <c r="CG55" s="459">
        <f t="shared" si="206"/>
        <v>0</v>
      </c>
      <c r="CH55" s="459">
        <f t="shared" si="207"/>
        <v>0</v>
      </c>
      <c r="CI55" s="459">
        <f t="shared" si="207"/>
        <v>0</v>
      </c>
      <c r="CJ55" s="459">
        <f t="shared" si="207"/>
        <v>0</v>
      </c>
      <c r="CK55" s="459">
        <f t="shared" si="207"/>
        <v>0</v>
      </c>
      <c r="CL55" s="465"/>
      <c r="CM55" s="466"/>
      <c r="CN55" s="466"/>
      <c r="CO55" s="459">
        <f t="shared" si="208"/>
        <v>0</v>
      </c>
      <c r="CP55" s="459"/>
      <c r="CQ55" s="460"/>
      <c r="CR55" s="459"/>
      <c r="CS55" s="459"/>
      <c r="CT55" s="459">
        <f t="shared" si="209"/>
        <v>0</v>
      </c>
      <c r="CU55" s="459"/>
      <c r="CV55" s="460"/>
      <c r="CW55" s="459"/>
      <c r="CX55" s="459"/>
      <c r="CY55" s="459">
        <f t="shared" si="210"/>
        <v>0</v>
      </c>
      <c r="CZ55" s="459">
        <f t="shared" si="211"/>
        <v>0</v>
      </c>
      <c r="DA55" s="459">
        <f t="shared" si="211"/>
        <v>0</v>
      </c>
      <c r="DB55" s="459">
        <f t="shared" si="211"/>
        <v>0</v>
      </c>
      <c r="DC55" s="459">
        <f t="shared" si="211"/>
        <v>0</v>
      </c>
      <c r="DD55" s="459"/>
      <c r="DE55" s="459"/>
      <c r="DF55" s="459"/>
      <c r="DG55" s="459">
        <f t="shared" si="212"/>
        <v>0</v>
      </c>
      <c r="DH55" s="467"/>
      <c r="DI55" s="459">
        <f t="shared" si="213"/>
        <v>282.39999999999998</v>
      </c>
      <c r="DJ55" s="459">
        <f t="shared" si="214"/>
        <v>282.39999999999998</v>
      </c>
      <c r="DK55" s="467"/>
      <c r="DL55" s="459"/>
      <c r="DM55" s="459"/>
      <c r="DN55" s="467"/>
      <c r="DO55" s="459"/>
      <c r="DP55" s="467"/>
      <c r="DQ55" s="467"/>
      <c r="DR55" s="459">
        <f t="shared" si="8"/>
        <v>282.39999999999998</v>
      </c>
      <c r="DS55" s="459"/>
      <c r="DT55" s="462">
        <v>282.39999999999998</v>
      </c>
      <c r="DU55" s="459"/>
      <c r="DV55" s="459"/>
      <c r="DW55" s="459">
        <f t="shared" si="11"/>
        <v>27.090800000000002</v>
      </c>
      <c r="DX55" s="459"/>
      <c r="DY55" s="459">
        <v>27.090800000000002</v>
      </c>
      <c r="DZ55" s="459"/>
      <c r="EA55" s="146"/>
      <c r="EB55" s="279"/>
      <c r="EC55" s="279"/>
      <c r="ED55" s="279"/>
      <c r="EE55" s="366"/>
      <c r="EF55" s="366"/>
      <c r="EG55" s="279"/>
      <c r="EH55" s="279"/>
      <c r="EI55" s="279"/>
      <c r="EJ55" s="366"/>
      <c r="EK55" s="366"/>
      <c r="EL55" s="366">
        <v>2.2800000000000001E-2</v>
      </c>
      <c r="EM55" s="280"/>
      <c r="EN55" s="279"/>
      <c r="EO55" s="265" t="e">
        <f t="shared" si="217"/>
        <v>#DIV/0!</v>
      </c>
      <c r="EP55" s="323">
        <f t="shared" si="46"/>
        <v>309.49079999999998</v>
      </c>
      <c r="EQ55" s="323">
        <f t="shared" si="83"/>
        <v>282.39999999999998</v>
      </c>
      <c r="ER55" s="323">
        <v>27.090800000000002</v>
      </c>
      <c r="ES55" s="358">
        <f t="shared" si="218"/>
        <v>0.91246654181642883</v>
      </c>
      <c r="ET55" s="358">
        <f t="shared" si="219"/>
        <v>8.7533458183571222E-2</v>
      </c>
      <c r="EU55" s="323">
        <f t="shared" si="49"/>
        <v>309.49079999999998</v>
      </c>
      <c r="EV55" s="323">
        <f t="shared" si="220"/>
        <v>282.39999999999998</v>
      </c>
      <c r="EW55" s="323">
        <f t="shared" si="221"/>
        <v>27.090800000000002</v>
      </c>
      <c r="EX55" s="358">
        <f t="shared" si="222"/>
        <v>0.91246654181642883</v>
      </c>
      <c r="EY55" s="358">
        <f t="shared" si="223"/>
        <v>8.7533458183571222E-2</v>
      </c>
      <c r="EZ55" s="358">
        <v>7.5899999999999995E-2</v>
      </c>
      <c r="FA55" s="323">
        <f t="shared" si="224"/>
        <v>282.39999999999998</v>
      </c>
      <c r="FB55" s="323">
        <f t="shared" si="51"/>
        <v>0</v>
      </c>
      <c r="FC55" s="279"/>
      <c r="FD55" s="279"/>
      <c r="FE55" s="279"/>
      <c r="FF55" s="366"/>
      <c r="FG55" s="366"/>
      <c r="FH55" s="279"/>
      <c r="FI55" s="279"/>
      <c r="FJ55" s="279"/>
      <c r="FK55" s="366"/>
      <c r="FL55" s="366"/>
      <c r="FM55" s="366">
        <v>7.5899999999999995E-2</v>
      </c>
      <c r="FN55" s="280"/>
      <c r="FO55" s="279"/>
    </row>
    <row r="56" spans="2:171" s="40" customFormat="1" ht="15.6" customHeight="1" x14ac:dyDescent="0.25">
      <c r="B56" s="32"/>
      <c r="C56" s="33"/>
      <c r="D56" s="33">
        <v>1</v>
      </c>
      <c r="E56" s="434">
        <v>44</v>
      </c>
      <c r="F56" s="32"/>
      <c r="G56" s="33"/>
      <c r="H56" s="33">
        <v>1</v>
      </c>
      <c r="M56" s="434">
        <v>43</v>
      </c>
      <c r="N56" s="448" t="s">
        <v>167</v>
      </c>
      <c r="O56" s="448" t="s">
        <v>341</v>
      </c>
      <c r="P56" s="24">
        <f t="shared" si="29"/>
        <v>0</v>
      </c>
      <c r="Q56" s="448" t="s">
        <v>490</v>
      </c>
      <c r="R56" s="448" t="s">
        <v>488</v>
      </c>
      <c r="S56" s="448" t="s">
        <v>490</v>
      </c>
      <c r="T56" s="448" t="s">
        <v>488</v>
      </c>
      <c r="U56" s="161">
        <v>1</v>
      </c>
      <c r="V56" s="434">
        <v>1</v>
      </c>
      <c r="W56" s="473">
        <f t="shared" si="193"/>
        <v>882.1</v>
      </c>
      <c r="X56" s="459"/>
      <c r="Y56" s="460">
        <v>882.1</v>
      </c>
      <c r="Z56" s="459"/>
      <c r="AA56" s="464"/>
      <c r="AB56" s="473">
        <f t="shared" si="194"/>
        <v>890.1</v>
      </c>
      <c r="AC56" s="459"/>
      <c r="AD56" s="460">
        <v>890.1</v>
      </c>
      <c r="AE56" s="459"/>
      <c r="AF56" s="464"/>
      <c r="AG56" s="473">
        <f t="shared" si="195"/>
        <v>890.1</v>
      </c>
      <c r="AH56" s="459"/>
      <c r="AI56" s="460">
        <v>890.1</v>
      </c>
      <c r="AJ56" s="459"/>
      <c r="AK56" s="464"/>
      <c r="AL56" s="473">
        <f t="shared" si="196"/>
        <v>387</v>
      </c>
      <c r="AM56" s="459"/>
      <c r="AN56" s="460">
        <v>387</v>
      </c>
      <c r="AO56" s="459"/>
      <c r="AP56" s="459"/>
      <c r="AQ56" s="398" t="s">
        <v>482</v>
      </c>
      <c r="AR56" s="459">
        <f t="shared" si="122"/>
        <v>754.19136000000003</v>
      </c>
      <c r="AS56" s="459"/>
      <c r="AT56" s="460">
        <f>882.1-127.90864</f>
        <v>754.19136000000003</v>
      </c>
      <c r="AU56" s="459"/>
      <c r="AV56" s="459"/>
      <c r="AW56" s="459" t="e">
        <f t="shared" si="197"/>
        <v>#REF!</v>
      </c>
      <c r="AX56" s="459" t="e">
        <f>#REF!-AS56</f>
        <v>#REF!</v>
      </c>
      <c r="AY56" s="459" t="e">
        <f>#REF!-AT56</f>
        <v>#REF!</v>
      </c>
      <c r="AZ56" s="459" t="e">
        <f>#REF!-AU56</f>
        <v>#REF!</v>
      </c>
      <c r="BA56" s="459" t="e">
        <f>#REF!-AV56</f>
        <v>#REF!</v>
      </c>
      <c r="BB56" s="459">
        <f t="shared" si="198"/>
        <v>890.1</v>
      </c>
      <c r="BC56" s="459"/>
      <c r="BD56" s="460">
        <f>387+503.1</f>
        <v>890.1</v>
      </c>
      <c r="BE56" s="459"/>
      <c r="BF56" s="459"/>
      <c r="BG56" s="459">
        <f t="shared" si="199"/>
        <v>0</v>
      </c>
      <c r="BH56" s="459"/>
      <c r="BI56" s="460"/>
      <c r="BJ56" s="459"/>
      <c r="BK56" s="459"/>
      <c r="BL56" s="459">
        <f t="shared" si="200"/>
        <v>754.19136000000003</v>
      </c>
      <c r="BM56" s="459"/>
      <c r="BN56" s="460">
        <v>754.19136000000003</v>
      </c>
      <c r="BO56" s="459"/>
      <c r="BP56" s="459"/>
      <c r="BQ56" s="459">
        <f t="shared" si="201"/>
        <v>754.19136000000003</v>
      </c>
      <c r="BR56" s="459"/>
      <c r="BS56" s="460">
        <v>754.19136000000003</v>
      </c>
      <c r="BT56" s="459"/>
      <c r="BU56" s="459"/>
      <c r="BV56" s="459">
        <f t="shared" si="202"/>
        <v>235.17157</v>
      </c>
      <c r="BW56" s="459"/>
      <c r="BX56" s="459">
        <v>235.17157</v>
      </c>
      <c r="BY56" s="459"/>
      <c r="BZ56" s="459"/>
      <c r="CA56" s="464">
        <f t="shared" si="203"/>
        <v>989.36293000000001</v>
      </c>
      <c r="CB56" s="459">
        <f t="shared" si="204"/>
        <v>989.36293000000001</v>
      </c>
      <c r="CC56" s="459">
        <f t="shared" si="205"/>
        <v>0</v>
      </c>
      <c r="CD56" s="459">
        <f t="shared" si="205"/>
        <v>989.36293000000001</v>
      </c>
      <c r="CE56" s="459">
        <f t="shared" si="205"/>
        <v>0</v>
      </c>
      <c r="CF56" s="459">
        <f t="shared" si="205"/>
        <v>0</v>
      </c>
      <c r="CG56" s="459">
        <f t="shared" si="206"/>
        <v>0</v>
      </c>
      <c r="CH56" s="459">
        <f t="shared" si="207"/>
        <v>0</v>
      </c>
      <c r="CI56" s="459">
        <f t="shared" si="207"/>
        <v>0</v>
      </c>
      <c r="CJ56" s="459">
        <f t="shared" si="207"/>
        <v>0</v>
      </c>
      <c r="CK56" s="459">
        <f t="shared" si="207"/>
        <v>0</v>
      </c>
      <c r="CL56" s="465"/>
      <c r="CM56" s="466"/>
      <c r="CN56" s="466"/>
      <c r="CO56" s="459">
        <f t="shared" si="208"/>
        <v>0</v>
      </c>
      <c r="CP56" s="459"/>
      <c r="CQ56" s="460"/>
      <c r="CR56" s="459"/>
      <c r="CS56" s="459"/>
      <c r="CT56" s="459">
        <f t="shared" si="209"/>
        <v>0</v>
      </c>
      <c r="CU56" s="459"/>
      <c r="CV56" s="460"/>
      <c r="CW56" s="459"/>
      <c r="CX56" s="459"/>
      <c r="CY56" s="459">
        <f t="shared" si="210"/>
        <v>0</v>
      </c>
      <c r="CZ56" s="459">
        <f t="shared" si="211"/>
        <v>0</v>
      </c>
      <c r="DA56" s="459">
        <f t="shared" si="211"/>
        <v>0</v>
      </c>
      <c r="DB56" s="459">
        <f t="shared" si="211"/>
        <v>0</v>
      </c>
      <c r="DC56" s="459">
        <f t="shared" si="211"/>
        <v>0</v>
      </c>
      <c r="DD56" s="459"/>
      <c r="DE56" s="459"/>
      <c r="DF56" s="459"/>
      <c r="DG56" s="459">
        <f t="shared" si="212"/>
        <v>0</v>
      </c>
      <c r="DH56" s="467"/>
      <c r="DI56" s="459">
        <f t="shared" si="213"/>
        <v>754.19136000000003</v>
      </c>
      <c r="DJ56" s="459">
        <f t="shared" si="214"/>
        <v>754.19136000000003</v>
      </c>
      <c r="DK56" s="467"/>
      <c r="DL56" s="459"/>
      <c r="DM56" s="459"/>
      <c r="DN56" s="467"/>
      <c r="DO56" s="459"/>
      <c r="DP56" s="467"/>
      <c r="DQ56" s="467"/>
      <c r="DR56" s="459">
        <f t="shared" si="8"/>
        <v>754.19136000000003</v>
      </c>
      <c r="DS56" s="459"/>
      <c r="DT56" s="460">
        <v>754.19136000000003</v>
      </c>
      <c r="DU56" s="459"/>
      <c r="DV56" s="459"/>
      <c r="DW56" s="459">
        <f t="shared" si="11"/>
        <v>235.17157</v>
      </c>
      <c r="DX56" s="459"/>
      <c r="DY56" s="459">
        <v>235.17157</v>
      </c>
      <c r="DZ56" s="459"/>
      <c r="EA56" s="146"/>
      <c r="EB56" s="279"/>
      <c r="EC56" s="279"/>
      <c r="ED56" s="279"/>
      <c r="EE56" s="366"/>
      <c r="EF56" s="366"/>
      <c r="EG56" s="279"/>
      <c r="EH56" s="279"/>
      <c r="EI56" s="279"/>
      <c r="EJ56" s="366"/>
      <c r="EK56" s="366"/>
      <c r="EL56" s="366">
        <v>2.1499999999999998E-2</v>
      </c>
      <c r="EM56" s="280"/>
      <c r="EN56" s="279"/>
      <c r="EO56" s="265" t="e">
        <f t="shared" si="217"/>
        <v>#DIV/0!</v>
      </c>
      <c r="EP56" s="323">
        <f t="shared" si="46"/>
        <v>989.36293000000001</v>
      </c>
      <c r="EQ56" s="323">
        <f t="shared" si="83"/>
        <v>754.19136000000003</v>
      </c>
      <c r="ER56" s="323">
        <v>235.17157</v>
      </c>
      <c r="ES56" s="358">
        <f t="shared" si="218"/>
        <v>0.76229999844445362</v>
      </c>
      <c r="ET56" s="358">
        <f t="shared" si="219"/>
        <v>0.23770000155554646</v>
      </c>
      <c r="EU56" s="323">
        <f t="shared" si="49"/>
        <v>989.36293000000001</v>
      </c>
      <c r="EV56" s="323">
        <f t="shared" si="220"/>
        <v>754.19136000000003</v>
      </c>
      <c r="EW56" s="323">
        <f t="shared" si="221"/>
        <v>235.17157</v>
      </c>
      <c r="EX56" s="358">
        <f t="shared" si="222"/>
        <v>0.76229999844445362</v>
      </c>
      <c r="EY56" s="358">
        <f t="shared" si="223"/>
        <v>0.23770000155554646</v>
      </c>
      <c r="EZ56" s="358">
        <v>7.1800000000000003E-2</v>
      </c>
      <c r="FA56" s="323">
        <f t="shared" si="224"/>
        <v>754.19136000000003</v>
      </c>
      <c r="FB56" s="323">
        <f t="shared" si="51"/>
        <v>0</v>
      </c>
      <c r="FC56" s="279"/>
      <c r="FD56" s="279"/>
      <c r="FE56" s="279"/>
      <c r="FF56" s="366"/>
      <c r="FG56" s="366"/>
      <c r="FH56" s="279"/>
      <c r="FI56" s="279"/>
      <c r="FJ56" s="279"/>
      <c r="FK56" s="366"/>
      <c r="FL56" s="366"/>
      <c r="FM56" s="366">
        <v>7.1800000000000003E-2</v>
      </c>
      <c r="FN56" s="280"/>
      <c r="FO56" s="279"/>
    </row>
    <row r="57" spans="2:171" s="119" customFormat="1" ht="18.600000000000001" customHeight="1" x14ac:dyDescent="0.2">
      <c r="B57" s="113"/>
      <c r="C57" s="114"/>
      <c r="D57" s="114"/>
      <c r="E57" s="115"/>
      <c r="F57" s="113"/>
      <c r="G57" s="114"/>
      <c r="H57" s="114"/>
      <c r="M57" s="115"/>
      <c r="N57" s="118" t="s">
        <v>16</v>
      </c>
      <c r="O57" s="118"/>
      <c r="P57" s="68">
        <f t="shared" si="29"/>
        <v>0</v>
      </c>
      <c r="Q57" s="118"/>
      <c r="R57" s="118"/>
      <c r="S57" s="118"/>
      <c r="T57" s="118"/>
      <c r="U57" s="163">
        <f t="shared" ref="U57:AP57" si="255">SUM(U58:U78)-U59</f>
        <v>17</v>
      </c>
      <c r="V57" s="437">
        <f t="shared" si="255"/>
        <v>13</v>
      </c>
      <c r="W57" s="452">
        <f t="shared" ref="W57:AA57" si="256">SUM(W58:W78)-W59</f>
        <v>32280.012999999999</v>
      </c>
      <c r="X57" s="452">
        <f t="shared" si="256"/>
        <v>281.78100000000001</v>
      </c>
      <c r="Y57" s="452">
        <f t="shared" si="256"/>
        <v>16854.3</v>
      </c>
      <c r="Z57" s="452">
        <f t="shared" si="256"/>
        <v>15143.932000000001</v>
      </c>
      <c r="AA57" s="452">
        <f t="shared" si="256"/>
        <v>0</v>
      </c>
      <c r="AB57" s="452">
        <f t="shared" si="255"/>
        <v>26261.100000000006</v>
      </c>
      <c r="AC57" s="452">
        <f t="shared" si="255"/>
        <v>0</v>
      </c>
      <c r="AD57" s="452">
        <f t="shared" si="255"/>
        <v>15748.1</v>
      </c>
      <c r="AE57" s="452">
        <f t="shared" si="255"/>
        <v>10513</v>
      </c>
      <c r="AF57" s="452">
        <f t="shared" si="255"/>
        <v>0</v>
      </c>
      <c r="AG57" s="452">
        <f t="shared" ref="AG57:AK57" si="257">SUM(AG58:AG78)-AG59</f>
        <v>15748.1</v>
      </c>
      <c r="AH57" s="452">
        <f t="shared" si="257"/>
        <v>0</v>
      </c>
      <c r="AI57" s="452">
        <f t="shared" si="257"/>
        <v>15748.1</v>
      </c>
      <c r="AJ57" s="452">
        <f t="shared" si="257"/>
        <v>0</v>
      </c>
      <c r="AK57" s="452">
        <f t="shared" si="257"/>
        <v>0</v>
      </c>
      <c r="AL57" s="454">
        <f t="shared" si="255"/>
        <v>6847</v>
      </c>
      <c r="AM57" s="452">
        <f t="shared" si="255"/>
        <v>0</v>
      </c>
      <c r="AN57" s="452">
        <f t="shared" si="255"/>
        <v>6847</v>
      </c>
      <c r="AO57" s="452">
        <f t="shared" si="255"/>
        <v>0</v>
      </c>
      <c r="AP57" s="452">
        <f t="shared" si="255"/>
        <v>0</v>
      </c>
      <c r="AQ57" s="385"/>
      <c r="AR57" s="452">
        <f t="shared" ref="AR57:AU57" si="258">SUM(AR58:AR78)-AR59</f>
        <v>31784.770000000004</v>
      </c>
      <c r="AS57" s="452">
        <f t="shared" si="258"/>
        <v>281.78100000000035</v>
      </c>
      <c r="AT57" s="452">
        <f t="shared" si="258"/>
        <v>16359.056999999997</v>
      </c>
      <c r="AU57" s="452">
        <f t="shared" si="258"/>
        <v>15143.932000000001</v>
      </c>
      <c r="AV57" s="452">
        <f>SUM(AV58:AV78)-AV59</f>
        <v>0</v>
      </c>
      <c r="AW57" s="452" t="e">
        <f t="shared" ref="AW57:BF57" si="259">SUM(AW58:AW78)-AW59</f>
        <v>#REF!</v>
      </c>
      <c r="AX57" s="452" t="e">
        <f t="shared" si="259"/>
        <v>#REF!</v>
      </c>
      <c r="AY57" s="452" t="e">
        <f t="shared" si="259"/>
        <v>#REF!</v>
      </c>
      <c r="AZ57" s="452" t="e">
        <f t="shared" si="259"/>
        <v>#REF!</v>
      </c>
      <c r="BA57" s="452" t="e">
        <f t="shared" si="259"/>
        <v>#REF!</v>
      </c>
      <c r="BB57" s="452">
        <f t="shared" si="259"/>
        <v>26243.545000000002</v>
      </c>
      <c r="BC57" s="452">
        <f t="shared" si="259"/>
        <v>0</v>
      </c>
      <c r="BD57" s="452">
        <f t="shared" si="259"/>
        <v>15050.544999999998</v>
      </c>
      <c r="BE57" s="452">
        <f t="shared" si="259"/>
        <v>11193</v>
      </c>
      <c r="BF57" s="452">
        <f t="shared" si="259"/>
        <v>0</v>
      </c>
      <c r="BG57" s="452">
        <f t="shared" ref="BG57:CK57" si="260">SUM(BG58:BG78)-BG59</f>
        <v>0</v>
      </c>
      <c r="BH57" s="452">
        <f t="shared" si="260"/>
        <v>0</v>
      </c>
      <c r="BI57" s="452">
        <f t="shared" si="260"/>
        <v>0</v>
      </c>
      <c r="BJ57" s="452">
        <f t="shared" si="260"/>
        <v>0</v>
      </c>
      <c r="BK57" s="452">
        <f t="shared" si="260"/>
        <v>0</v>
      </c>
      <c r="BL57" s="452">
        <f t="shared" si="260"/>
        <v>30552.670000000002</v>
      </c>
      <c r="BM57" s="452">
        <f t="shared" si="260"/>
        <v>281.78100000000035</v>
      </c>
      <c r="BN57" s="452">
        <f t="shared" si="260"/>
        <v>15126.956999999997</v>
      </c>
      <c r="BO57" s="452">
        <f t="shared" si="260"/>
        <v>15143.932000000001</v>
      </c>
      <c r="BP57" s="452">
        <f t="shared" si="260"/>
        <v>0</v>
      </c>
      <c r="BQ57" s="452">
        <f t="shared" si="260"/>
        <v>30552.670000000002</v>
      </c>
      <c r="BR57" s="452">
        <f t="shared" si="260"/>
        <v>281.78100000000035</v>
      </c>
      <c r="BS57" s="452">
        <f t="shared" si="260"/>
        <v>15126.956999999997</v>
      </c>
      <c r="BT57" s="452">
        <f t="shared" si="260"/>
        <v>15143.932000000001</v>
      </c>
      <c r="BU57" s="452">
        <f t="shared" si="260"/>
        <v>0</v>
      </c>
      <c r="BV57" s="454">
        <f t="shared" si="260"/>
        <v>13838.507509999999</v>
      </c>
      <c r="BW57" s="452">
        <f t="shared" si="260"/>
        <v>8.7149999999999999</v>
      </c>
      <c r="BX57" s="452">
        <f t="shared" si="260"/>
        <v>11050.65928</v>
      </c>
      <c r="BY57" s="452">
        <f t="shared" si="260"/>
        <v>2779.1332299999999</v>
      </c>
      <c r="BZ57" s="452">
        <f t="shared" si="260"/>
        <v>0</v>
      </c>
      <c r="CA57" s="452">
        <f t="shared" si="260"/>
        <v>44391.177510000001</v>
      </c>
      <c r="CB57" s="452">
        <f t="shared" si="260"/>
        <v>44391.177510000001</v>
      </c>
      <c r="CC57" s="452">
        <f t="shared" si="260"/>
        <v>290.49600000000032</v>
      </c>
      <c r="CD57" s="452">
        <f t="shared" si="260"/>
        <v>26177.616279999998</v>
      </c>
      <c r="CE57" s="452">
        <f t="shared" si="260"/>
        <v>17923.06523</v>
      </c>
      <c r="CF57" s="452">
        <f t="shared" si="260"/>
        <v>0</v>
      </c>
      <c r="CG57" s="452">
        <f t="shared" si="260"/>
        <v>0</v>
      </c>
      <c r="CH57" s="452">
        <f t="shared" si="260"/>
        <v>0</v>
      </c>
      <c r="CI57" s="452">
        <f t="shared" si="260"/>
        <v>0</v>
      </c>
      <c r="CJ57" s="452">
        <f t="shared" si="260"/>
        <v>0</v>
      </c>
      <c r="CK57" s="452">
        <f t="shared" si="260"/>
        <v>0</v>
      </c>
      <c r="CL57" s="455">
        <f>CM57+CO57-BG57</f>
        <v>26243.545000000002</v>
      </c>
      <c r="CM57" s="456">
        <f t="shared" ref="CM57:DG57" si="261">SUM(CM58:CM78)-CM59</f>
        <v>26243.545000000002</v>
      </c>
      <c r="CN57" s="456">
        <f t="shared" si="261"/>
        <v>26243.545000000002</v>
      </c>
      <c r="CO57" s="452">
        <f t="shared" si="261"/>
        <v>0</v>
      </c>
      <c r="CP57" s="452">
        <f t="shared" si="261"/>
        <v>0</v>
      </c>
      <c r="CQ57" s="452">
        <f t="shared" si="261"/>
        <v>0</v>
      </c>
      <c r="CR57" s="452">
        <f t="shared" si="261"/>
        <v>0</v>
      </c>
      <c r="CS57" s="452">
        <f t="shared" si="261"/>
        <v>0</v>
      </c>
      <c r="CT57" s="452">
        <f t="shared" si="261"/>
        <v>0</v>
      </c>
      <c r="CU57" s="452">
        <f t="shared" si="261"/>
        <v>0</v>
      </c>
      <c r="CV57" s="452">
        <f t="shared" si="261"/>
        <v>0</v>
      </c>
      <c r="CW57" s="452">
        <f t="shared" si="261"/>
        <v>0</v>
      </c>
      <c r="CX57" s="452">
        <f t="shared" si="261"/>
        <v>0</v>
      </c>
      <c r="CY57" s="452">
        <f t="shared" si="261"/>
        <v>0</v>
      </c>
      <c r="CZ57" s="452">
        <f t="shared" si="261"/>
        <v>0</v>
      </c>
      <c r="DA57" s="452">
        <f t="shared" si="261"/>
        <v>0</v>
      </c>
      <c r="DB57" s="452">
        <f t="shared" si="261"/>
        <v>0</v>
      </c>
      <c r="DC57" s="452">
        <f t="shared" si="261"/>
        <v>0</v>
      </c>
      <c r="DD57" s="452">
        <f t="shared" si="261"/>
        <v>0</v>
      </c>
      <c r="DE57" s="452">
        <f t="shared" si="261"/>
        <v>0</v>
      </c>
      <c r="DF57" s="452">
        <f t="shared" si="261"/>
        <v>0</v>
      </c>
      <c r="DG57" s="452">
        <f t="shared" si="261"/>
        <v>0</v>
      </c>
      <c r="DH57" s="457"/>
      <c r="DI57" s="452">
        <f>SUM(DI58:DI78)-DI59</f>
        <v>30552.670000000002</v>
      </c>
      <c r="DJ57" s="452">
        <f>SUM(DJ58:DJ78)-DJ59</f>
        <v>30552.670000000002</v>
      </c>
      <c r="DK57" s="457"/>
      <c r="DL57" s="452">
        <f>SUM(DL58:DL78)-DL59</f>
        <v>30552.67</v>
      </c>
      <c r="DM57" s="452">
        <f>SUM(DM58:DM78)-DM59</f>
        <v>0</v>
      </c>
      <c r="DN57" s="457"/>
      <c r="DO57" s="452">
        <f>SUM(DO58:DO78)-DO59</f>
        <v>-4309.1249999999982</v>
      </c>
      <c r="DP57" s="457">
        <f>DG57-DO57</f>
        <v>4309.1249999999982</v>
      </c>
      <c r="DQ57" s="457"/>
      <c r="DR57" s="452">
        <f t="shared" si="8"/>
        <v>30552.67</v>
      </c>
      <c r="DS57" s="452">
        <f t="shared" ref="DS57:DU57" si="262">SUM(DS58:DS78)-DS59</f>
        <v>281.78100000000035</v>
      </c>
      <c r="DT57" s="452">
        <f t="shared" si="262"/>
        <v>15126.956999999997</v>
      </c>
      <c r="DU57" s="452">
        <f t="shared" si="262"/>
        <v>15143.932000000001</v>
      </c>
      <c r="DV57" s="452">
        <f t="shared" ref="DV57" si="263">SUM(DV58:DV78)-DV59</f>
        <v>0</v>
      </c>
      <c r="DW57" s="452">
        <f t="shared" si="11"/>
        <v>13838.507509999999</v>
      </c>
      <c r="DX57" s="452">
        <f t="shared" ref="DX57:DZ57" si="264">SUM(DX58:DX78)-DX59</f>
        <v>8.7149999999999999</v>
      </c>
      <c r="DY57" s="452">
        <f t="shared" si="264"/>
        <v>11050.65928</v>
      </c>
      <c r="DZ57" s="452">
        <f t="shared" si="264"/>
        <v>2779.1332299999999</v>
      </c>
      <c r="EA57" s="145">
        <f t="shared" ref="EA57" si="265">SUM(EA58:EA78)-EA59</f>
        <v>0</v>
      </c>
      <c r="EB57" s="57">
        <f t="shared" si="13"/>
        <v>290.49600000000032</v>
      </c>
      <c r="EC57" s="57">
        <f t="shared" si="28"/>
        <v>281.78100000000035</v>
      </c>
      <c r="ED57" s="57">
        <f t="shared" ref="ED57" si="266">SUM(ED58:ED78)-ED59</f>
        <v>8.7149999999999999</v>
      </c>
      <c r="EE57" s="360"/>
      <c r="EF57" s="360"/>
      <c r="EG57" s="57">
        <f t="shared" si="43"/>
        <v>290.49600000000032</v>
      </c>
      <c r="EH57" s="57">
        <f>SUM(EH58:EH78)</f>
        <v>281.78100000000035</v>
      </c>
      <c r="EI57" s="57">
        <f>SUM(EI58:EI78)</f>
        <v>8.7149999999999999</v>
      </c>
      <c r="EJ57" s="360"/>
      <c r="EK57" s="360"/>
      <c r="EL57" s="360"/>
      <c r="EM57" s="273" t="e">
        <f t="shared" ref="EM57" si="267">SUM(EM58:EM78)</f>
        <v>#DIV/0!</v>
      </c>
      <c r="EN57" s="57" t="e">
        <f t="shared" si="45"/>
        <v>#DIV/0!</v>
      </c>
      <c r="EO57" s="264"/>
      <c r="EP57" s="57">
        <f t="shared" si="46"/>
        <v>27570.881079999999</v>
      </c>
      <c r="EQ57" s="57">
        <f t="shared" si="83"/>
        <v>16359.056999999997</v>
      </c>
      <c r="ER57" s="57">
        <f t="shared" ref="ER57" si="268">SUM(ER58:ER78)-ER59</f>
        <v>11211.82408</v>
      </c>
      <c r="ES57" s="360"/>
      <c r="ET57" s="360"/>
      <c r="EU57" s="57">
        <f t="shared" si="49"/>
        <v>26177.616279999995</v>
      </c>
      <c r="EV57" s="57">
        <f>SUM(EV58:EV78)</f>
        <v>15126.956999999997</v>
      </c>
      <c r="EW57" s="57">
        <f>SUM(EW58:EW78)</f>
        <v>11050.65928</v>
      </c>
      <c r="EX57" s="360"/>
      <c r="EY57" s="360"/>
      <c r="EZ57" s="360"/>
      <c r="FA57" s="57" t="e">
        <f>SUM(FA58:FA77)</f>
        <v>#DIV/0!</v>
      </c>
      <c r="FB57" s="57" t="e">
        <f t="shared" si="51"/>
        <v>#DIV/0!</v>
      </c>
      <c r="FC57" s="57">
        <f t="shared" ref="FC57" si="269">FD57+FE57+FF57</f>
        <v>17923.06523</v>
      </c>
      <c r="FD57" s="57">
        <f t="shared" si="53"/>
        <v>15143.932000000001</v>
      </c>
      <c r="FE57" s="57">
        <f t="shared" ref="FE57" si="270">SUM(FE58:FE78)-FE59</f>
        <v>2779.1332299999999</v>
      </c>
      <c r="FF57" s="360"/>
      <c r="FG57" s="360"/>
      <c r="FH57" s="57">
        <f t="shared" si="55"/>
        <v>17923.06523</v>
      </c>
      <c r="FI57" s="57">
        <f t="shared" si="151"/>
        <v>15143.932000000001</v>
      </c>
      <c r="FJ57" s="57">
        <f t="shared" si="152"/>
        <v>2779.1332299999999</v>
      </c>
      <c r="FK57" s="360"/>
      <c r="FL57" s="360"/>
      <c r="FM57" s="360"/>
      <c r="FN57" s="273">
        <f t="shared" si="230"/>
        <v>0</v>
      </c>
      <c r="FO57" s="57">
        <f t="shared" si="57"/>
        <v>15143.932000000001</v>
      </c>
    </row>
    <row r="58" spans="2:171" s="40" customFormat="1" ht="15.75" customHeight="1" x14ac:dyDescent="0.25">
      <c r="B58" s="32">
        <v>1</v>
      </c>
      <c r="C58" s="33"/>
      <c r="D58" s="33"/>
      <c r="E58" s="434">
        <v>45</v>
      </c>
      <c r="F58" s="32"/>
      <c r="G58" s="33"/>
      <c r="H58" s="33"/>
      <c r="M58" s="434"/>
      <c r="N58" s="435" t="s">
        <v>202</v>
      </c>
      <c r="O58" s="435"/>
      <c r="P58" s="24">
        <f t="shared" si="29"/>
        <v>0</v>
      </c>
      <c r="Q58" s="435"/>
      <c r="R58" s="435"/>
      <c r="S58" s="435"/>
      <c r="T58" s="435"/>
      <c r="U58" s="161"/>
      <c r="V58" s="434"/>
      <c r="W58" s="459">
        <f t="shared" ref="W58:W78" si="271">X58+Y58+Z58+AA58</f>
        <v>0</v>
      </c>
      <c r="X58" s="459"/>
      <c r="Y58" s="460"/>
      <c r="Z58" s="459"/>
      <c r="AA58" s="464"/>
      <c r="AB58" s="459">
        <f t="shared" ref="AB58:AB78" si="272">AC58+AD58+AE58+AF58</f>
        <v>124.2</v>
      </c>
      <c r="AC58" s="459"/>
      <c r="AD58" s="460">
        <v>124.2</v>
      </c>
      <c r="AE58" s="459"/>
      <c r="AF58" s="464"/>
      <c r="AG58" s="459">
        <f t="shared" ref="AG58:AG78" si="273">AH58+AI58+AJ58+AK58</f>
        <v>124.2</v>
      </c>
      <c r="AH58" s="459"/>
      <c r="AI58" s="460">
        <v>124.2</v>
      </c>
      <c r="AJ58" s="459"/>
      <c r="AK58" s="464"/>
      <c r="AL58" s="459">
        <f t="shared" ref="AL58:AL78" si="274">AM58+AN58+AO58+AP58</f>
        <v>54</v>
      </c>
      <c r="AM58" s="459"/>
      <c r="AN58" s="460">
        <v>54</v>
      </c>
      <c r="AO58" s="459"/>
      <c r="AP58" s="459"/>
      <c r="AQ58" s="398"/>
      <c r="AR58" s="459">
        <f t="shared" si="122"/>
        <v>0</v>
      </c>
      <c r="AS58" s="459"/>
      <c r="AT58" s="459"/>
      <c r="AU58" s="459"/>
      <c r="AV58" s="459"/>
      <c r="AW58" s="459" t="e">
        <f t="shared" ref="AW58:AW78" si="275">AX58+AY58+AZ58+BA58</f>
        <v>#REF!</v>
      </c>
      <c r="AX58" s="459" t="e">
        <f>#REF!-AS58</f>
        <v>#REF!</v>
      </c>
      <c r="AY58" s="459" t="e">
        <f>#REF!-AT58</f>
        <v>#REF!</v>
      </c>
      <c r="AZ58" s="459" t="e">
        <f>#REF!-AU58</f>
        <v>#REF!</v>
      </c>
      <c r="BA58" s="459" t="e">
        <f>#REF!-AV58</f>
        <v>#REF!</v>
      </c>
      <c r="BB58" s="459">
        <f t="shared" ref="BB58:BB78" si="276">BC58+BD58+BE58+BF58</f>
        <v>0</v>
      </c>
      <c r="BC58" s="459"/>
      <c r="BD58" s="459"/>
      <c r="BE58" s="459"/>
      <c r="BF58" s="459"/>
      <c r="BG58" s="459">
        <f t="shared" ref="BG58:BG78" si="277">BH58+BI58+BJ58+BK58</f>
        <v>0</v>
      </c>
      <c r="BH58" s="459"/>
      <c r="BI58" s="459"/>
      <c r="BJ58" s="459"/>
      <c r="BK58" s="459"/>
      <c r="BL58" s="459">
        <f t="shared" ref="BL58:BL78" si="278">BM58+BN58+BO58+BP58</f>
        <v>0</v>
      </c>
      <c r="BM58" s="459"/>
      <c r="BN58" s="459"/>
      <c r="BO58" s="459"/>
      <c r="BP58" s="459"/>
      <c r="BQ58" s="459">
        <f t="shared" ref="BQ58:BQ78" si="279">BR58+BS58+BT58+BU58</f>
        <v>0</v>
      </c>
      <c r="BR58" s="459"/>
      <c r="BS58" s="459"/>
      <c r="BT58" s="459"/>
      <c r="BU58" s="459"/>
      <c r="BV58" s="459">
        <f t="shared" ref="BV58:BV78" si="280">BW58+BX58+BY58+BZ58</f>
        <v>0</v>
      </c>
      <c r="BW58" s="459"/>
      <c r="BX58" s="459"/>
      <c r="BY58" s="459"/>
      <c r="BZ58" s="459"/>
      <c r="CA58" s="464">
        <f t="shared" ref="CA58:CA78" si="281">CB58</f>
        <v>0</v>
      </c>
      <c r="CB58" s="459">
        <f t="shared" ref="CB58:CB78" si="282">CC58+CD58+CE58+CF58</f>
        <v>0</v>
      </c>
      <c r="CC58" s="459">
        <f t="shared" ref="CC58:CF78" si="283">BR58+BW58</f>
        <v>0</v>
      </c>
      <c r="CD58" s="459">
        <f t="shared" si="283"/>
        <v>0</v>
      </c>
      <c r="CE58" s="459">
        <f t="shared" si="283"/>
        <v>0</v>
      </c>
      <c r="CF58" s="459">
        <f t="shared" si="283"/>
        <v>0</v>
      </c>
      <c r="CG58" s="459">
        <f t="shared" ref="CG58:CG78" si="284">CH58+CI58+CJ58+CK58</f>
        <v>0</v>
      </c>
      <c r="CH58" s="459">
        <f t="shared" ref="CH58:CK78" si="285">BM58-BR58</f>
        <v>0</v>
      </c>
      <c r="CI58" s="459">
        <f t="shared" si="285"/>
        <v>0</v>
      </c>
      <c r="CJ58" s="459">
        <f t="shared" si="285"/>
        <v>0</v>
      </c>
      <c r="CK58" s="459">
        <f t="shared" si="285"/>
        <v>0</v>
      </c>
      <c r="CL58" s="465"/>
      <c r="CM58" s="466"/>
      <c r="CN58" s="466"/>
      <c r="CO58" s="459">
        <f t="shared" ref="CO58:CO78" si="286">CP58+CQ58+CR58+CS58</f>
        <v>0</v>
      </c>
      <c r="CP58" s="459"/>
      <c r="CQ58" s="459"/>
      <c r="CR58" s="459"/>
      <c r="CS58" s="459"/>
      <c r="CT58" s="459">
        <f t="shared" ref="CT58:CT78" si="287">CU58+CV58+CW58+CX58</f>
        <v>0</v>
      </c>
      <c r="CU58" s="459"/>
      <c r="CV58" s="459"/>
      <c r="CW58" s="459"/>
      <c r="CX58" s="459"/>
      <c r="CY58" s="459">
        <f t="shared" ref="CY58:CY78" si="288">CZ58+DA58+DB58+DC58</f>
        <v>0</v>
      </c>
      <c r="CZ58" s="459"/>
      <c r="DA58" s="459"/>
      <c r="DB58" s="459"/>
      <c r="DC58" s="459"/>
      <c r="DD58" s="459"/>
      <c r="DE58" s="459"/>
      <c r="DF58" s="459"/>
      <c r="DG58" s="459">
        <f t="shared" ref="DG58:DG78" si="289">CG58+CY58+DF58</f>
        <v>0</v>
      </c>
      <c r="DH58" s="467"/>
      <c r="DI58" s="459">
        <f t="shared" ref="DI58:DI78" si="290">BL58+CO58+DD58</f>
        <v>0</v>
      </c>
      <c r="DJ58" s="459">
        <f t="shared" ref="DJ58:DJ78" si="291">BQ58+CT58+DE58</f>
        <v>0</v>
      </c>
      <c r="DK58" s="467"/>
      <c r="DL58" s="459">
        <f t="shared" ref="DL58:DL59" si="292">DJ58</f>
        <v>0</v>
      </c>
      <c r="DM58" s="459">
        <f t="shared" ref="DM58:DM59" si="293">DG58</f>
        <v>0</v>
      </c>
      <c r="DN58" s="467"/>
      <c r="DO58" s="459">
        <f>CN58-DL58</f>
        <v>0</v>
      </c>
      <c r="DP58" s="467"/>
      <c r="DQ58" s="467"/>
      <c r="DR58" s="459">
        <f t="shared" si="8"/>
        <v>0</v>
      </c>
      <c r="DS58" s="459"/>
      <c r="DT58" s="459"/>
      <c r="DU58" s="459"/>
      <c r="DV58" s="459"/>
      <c r="DW58" s="459">
        <f t="shared" si="11"/>
        <v>0</v>
      </c>
      <c r="DX58" s="459"/>
      <c r="DY58" s="459"/>
      <c r="DZ58" s="459"/>
      <c r="EA58" s="146"/>
      <c r="EB58" s="279"/>
      <c r="EC58" s="279"/>
      <c r="ED58" s="279"/>
      <c r="EE58" s="366"/>
      <c r="EF58" s="366"/>
      <c r="EG58" s="279"/>
      <c r="EH58" s="279"/>
      <c r="EI58" s="279"/>
      <c r="EJ58" s="366"/>
      <c r="EK58" s="366"/>
      <c r="EL58" s="366">
        <v>2.9700000000000001E-2</v>
      </c>
      <c r="EM58" s="280"/>
      <c r="EN58" s="279"/>
      <c r="EO58" s="265" t="e">
        <f t="shared" ref="EO58:EO78" si="294">EM58/EJ58</f>
        <v>#DIV/0!</v>
      </c>
      <c r="EP58" s="323"/>
      <c r="EQ58" s="323"/>
      <c r="ER58" s="323"/>
      <c r="ES58" s="358"/>
      <c r="ET58" s="358"/>
      <c r="EU58" s="323"/>
      <c r="EV58" s="323"/>
      <c r="EW58" s="323"/>
      <c r="EX58" s="358"/>
      <c r="EY58" s="358"/>
      <c r="EZ58" s="358"/>
      <c r="FA58" s="323"/>
      <c r="FB58" s="323">
        <f t="shared" si="51"/>
        <v>0</v>
      </c>
      <c r="FC58" s="279"/>
      <c r="FD58" s="279"/>
      <c r="FE58" s="279"/>
      <c r="FF58" s="366"/>
      <c r="FG58" s="366"/>
      <c r="FH58" s="279"/>
      <c r="FI58" s="279"/>
      <c r="FJ58" s="279"/>
      <c r="FK58" s="366"/>
      <c r="FL58" s="366"/>
      <c r="FM58" s="366"/>
      <c r="FN58" s="280"/>
      <c r="FO58" s="279"/>
    </row>
    <row r="59" spans="2:171" s="40" customFormat="1" ht="15.75" customHeight="1" x14ac:dyDescent="0.25">
      <c r="B59" s="32"/>
      <c r="C59" s="33"/>
      <c r="D59" s="33"/>
      <c r="E59" s="434"/>
      <c r="F59" s="32"/>
      <c r="G59" s="33"/>
      <c r="H59" s="33"/>
      <c r="M59" s="434"/>
      <c r="N59" s="19" t="s">
        <v>251</v>
      </c>
      <c r="O59" s="133"/>
      <c r="P59" s="2">
        <f t="shared" si="29"/>
        <v>0</v>
      </c>
      <c r="Q59" s="133"/>
      <c r="R59" s="133"/>
      <c r="S59" s="133"/>
      <c r="T59" s="133"/>
      <c r="U59" s="133"/>
      <c r="V59" s="133"/>
      <c r="W59" s="459">
        <f t="shared" si="271"/>
        <v>0</v>
      </c>
      <c r="X59" s="459"/>
      <c r="Y59" s="460"/>
      <c r="Z59" s="459"/>
      <c r="AA59" s="464"/>
      <c r="AB59" s="459">
        <f t="shared" si="272"/>
        <v>0</v>
      </c>
      <c r="AC59" s="459"/>
      <c r="AD59" s="460"/>
      <c r="AE59" s="459"/>
      <c r="AF59" s="464"/>
      <c r="AG59" s="459">
        <f t="shared" si="273"/>
        <v>0</v>
      </c>
      <c r="AH59" s="459"/>
      <c r="AI59" s="460"/>
      <c r="AJ59" s="459"/>
      <c r="AK59" s="464"/>
      <c r="AL59" s="459">
        <f t="shared" si="274"/>
        <v>0</v>
      </c>
      <c r="AM59" s="459"/>
      <c r="AN59" s="460"/>
      <c r="AO59" s="459"/>
      <c r="AP59" s="459"/>
      <c r="AQ59" s="398"/>
      <c r="AR59" s="459">
        <f t="shared" si="122"/>
        <v>0</v>
      </c>
      <c r="AS59" s="459"/>
      <c r="AT59" s="459"/>
      <c r="AU59" s="459"/>
      <c r="AV59" s="459"/>
      <c r="AW59" s="459" t="e">
        <f t="shared" si="275"/>
        <v>#REF!</v>
      </c>
      <c r="AX59" s="459" t="e">
        <f>#REF!-AS59</f>
        <v>#REF!</v>
      </c>
      <c r="AY59" s="459" t="e">
        <f>#REF!-AT59</f>
        <v>#REF!</v>
      </c>
      <c r="AZ59" s="459" t="e">
        <f>#REF!-AU59</f>
        <v>#REF!</v>
      </c>
      <c r="BA59" s="459" t="e">
        <f>#REF!-AV59</f>
        <v>#REF!</v>
      </c>
      <c r="BB59" s="459">
        <f t="shared" si="276"/>
        <v>0</v>
      </c>
      <c r="BC59" s="459"/>
      <c r="BD59" s="459"/>
      <c r="BE59" s="459"/>
      <c r="BF59" s="459"/>
      <c r="BG59" s="459">
        <f t="shared" si="277"/>
        <v>0</v>
      </c>
      <c r="BH59" s="459"/>
      <c r="BI59" s="459"/>
      <c r="BJ59" s="459"/>
      <c r="BK59" s="459"/>
      <c r="BL59" s="459">
        <f t="shared" si="278"/>
        <v>0</v>
      </c>
      <c r="BM59" s="459"/>
      <c r="BN59" s="459"/>
      <c r="BO59" s="459"/>
      <c r="BP59" s="459"/>
      <c r="BQ59" s="459">
        <f t="shared" si="279"/>
        <v>0</v>
      </c>
      <c r="BR59" s="459"/>
      <c r="BS59" s="459"/>
      <c r="BT59" s="459"/>
      <c r="BU59" s="459"/>
      <c r="BV59" s="459">
        <f t="shared" si="280"/>
        <v>0</v>
      </c>
      <c r="BW59" s="459"/>
      <c r="BX59" s="459"/>
      <c r="BY59" s="459"/>
      <c r="BZ59" s="459"/>
      <c r="CA59" s="464">
        <f t="shared" si="281"/>
        <v>0</v>
      </c>
      <c r="CB59" s="459">
        <f t="shared" si="282"/>
        <v>0</v>
      </c>
      <c r="CC59" s="459">
        <f t="shared" si="283"/>
        <v>0</v>
      </c>
      <c r="CD59" s="459">
        <f t="shared" si="283"/>
        <v>0</v>
      </c>
      <c r="CE59" s="459">
        <f t="shared" si="283"/>
        <v>0</v>
      </c>
      <c r="CF59" s="459">
        <f t="shared" si="283"/>
        <v>0</v>
      </c>
      <c r="CG59" s="459">
        <f t="shared" si="284"/>
        <v>0</v>
      </c>
      <c r="CH59" s="459">
        <f t="shared" si="285"/>
        <v>0</v>
      </c>
      <c r="CI59" s="459">
        <f t="shared" si="285"/>
        <v>0</v>
      </c>
      <c r="CJ59" s="459">
        <f t="shared" si="285"/>
        <v>0</v>
      </c>
      <c r="CK59" s="459">
        <f t="shared" si="285"/>
        <v>0</v>
      </c>
      <c r="CL59" s="465"/>
      <c r="CM59" s="466"/>
      <c r="CN59" s="466"/>
      <c r="CO59" s="459">
        <f t="shared" si="286"/>
        <v>0</v>
      </c>
      <c r="CP59" s="459"/>
      <c r="CQ59" s="459"/>
      <c r="CR59" s="459"/>
      <c r="CS59" s="459"/>
      <c r="CT59" s="459">
        <f t="shared" si="287"/>
        <v>0</v>
      </c>
      <c r="CU59" s="459"/>
      <c r="CV59" s="459"/>
      <c r="CW59" s="459"/>
      <c r="CX59" s="459"/>
      <c r="CY59" s="459">
        <f t="shared" si="288"/>
        <v>0</v>
      </c>
      <c r="CZ59" s="459"/>
      <c r="DA59" s="459"/>
      <c r="DB59" s="459"/>
      <c r="DC59" s="459"/>
      <c r="DD59" s="459"/>
      <c r="DE59" s="459"/>
      <c r="DF59" s="459"/>
      <c r="DG59" s="459">
        <f t="shared" si="289"/>
        <v>0</v>
      </c>
      <c r="DH59" s="467"/>
      <c r="DI59" s="459">
        <f t="shared" si="290"/>
        <v>0</v>
      </c>
      <c r="DJ59" s="459">
        <f t="shared" si="291"/>
        <v>0</v>
      </c>
      <c r="DK59" s="467"/>
      <c r="DL59" s="459">
        <f t="shared" si="292"/>
        <v>0</v>
      </c>
      <c r="DM59" s="459">
        <f t="shared" si="293"/>
        <v>0</v>
      </c>
      <c r="DN59" s="467"/>
      <c r="DO59" s="459"/>
      <c r="DP59" s="467"/>
      <c r="DQ59" s="467"/>
      <c r="DR59" s="459">
        <f t="shared" si="8"/>
        <v>0</v>
      </c>
      <c r="DS59" s="459"/>
      <c r="DT59" s="459"/>
      <c r="DU59" s="459"/>
      <c r="DV59" s="459"/>
      <c r="DW59" s="459">
        <f t="shared" si="11"/>
        <v>0</v>
      </c>
      <c r="DX59" s="459"/>
      <c r="DY59" s="459"/>
      <c r="DZ59" s="459"/>
      <c r="EA59" s="146"/>
      <c r="EB59" s="279"/>
      <c r="EC59" s="279"/>
      <c r="ED59" s="279"/>
      <c r="EE59" s="366"/>
      <c r="EF59" s="366"/>
      <c r="EG59" s="279"/>
      <c r="EH59" s="279"/>
      <c r="EI59" s="279"/>
      <c r="EJ59" s="366"/>
      <c r="EK59" s="366"/>
      <c r="EL59" s="366"/>
      <c r="EM59" s="280"/>
      <c r="EN59" s="279"/>
      <c r="EO59" s="265" t="e">
        <f t="shared" si="294"/>
        <v>#DIV/0!</v>
      </c>
      <c r="EP59" s="323"/>
      <c r="EQ59" s="323"/>
      <c r="ER59" s="323"/>
      <c r="ES59" s="358"/>
      <c r="ET59" s="358"/>
      <c r="EU59" s="323"/>
      <c r="EV59" s="323"/>
      <c r="EW59" s="323"/>
      <c r="EX59" s="358"/>
      <c r="EY59" s="358"/>
      <c r="EZ59" s="358"/>
      <c r="FA59" s="323"/>
      <c r="FB59" s="323">
        <f t="shared" si="51"/>
        <v>0</v>
      </c>
      <c r="FC59" s="279"/>
      <c r="FD59" s="279"/>
      <c r="FE59" s="279"/>
      <c r="FF59" s="366"/>
      <c r="FG59" s="366"/>
      <c r="FH59" s="279"/>
      <c r="FI59" s="279"/>
      <c r="FJ59" s="279"/>
      <c r="FK59" s="366"/>
      <c r="FL59" s="366"/>
      <c r="FM59" s="366"/>
      <c r="FN59" s="280"/>
      <c r="FO59" s="279"/>
    </row>
    <row r="60" spans="2:171" s="40" customFormat="1" ht="15.75" customHeight="1" x14ac:dyDescent="0.25">
      <c r="B60" s="32"/>
      <c r="C60" s="33"/>
      <c r="D60" s="33">
        <v>1</v>
      </c>
      <c r="E60" s="434">
        <v>46</v>
      </c>
      <c r="F60" s="32"/>
      <c r="G60" s="33"/>
      <c r="H60" s="33">
        <v>1</v>
      </c>
      <c r="M60" s="434">
        <v>44</v>
      </c>
      <c r="N60" s="435" t="s">
        <v>203</v>
      </c>
      <c r="O60" s="435"/>
      <c r="P60" s="24">
        <f t="shared" si="29"/>
        <v>0</v>
      </c>
      <c r="Q60" s="435" t="s">
        <v>490</v>
      </c>
      <c r="R60" s="435" t="s">
        <v>488</v>
      </c>
      <c r="S60" s="435" t="s">
        <v>491</v>
      </c>
      <c r="T60" s="409" t="s">
        <v>488</v>
      </c>
      <c r="U60" s="161">
        <v>1</v>
      </c>
      <c r="V60" s="164" t="s">
        <v>450</v>
      </c>
      <c r="W60" s="459">
        <f t="shared" si="271"/>
        <v>765.5</v>
      </c>
      <c r="X60" s="459"/>
      <c r="Y60" s="460">
        <v>765.5</v>
      </c>
      <c r="Z60" s="459"/>
      <c r="AA60" s="461"/>
      <c r="AB60" s="459">
        <f t="shared" si="272"/>
        <v>476.1</v>
      </c>
      <c r="AC60" s="459"/>
      <c r="AD60" s="460">
        <v>476.1</v>
      </c>
      <c r="AE60" s="459"/>
      <c r="AF60" s="461"/>
      <c r="AG60" s="459">
        <f t="shared" si="273"/>
        <v>476.1</v>
      </c>
      <c r="AH60" s="459"/>
      <c r="AI60" s="460">
        <v>476.1</v>
      </c>
      <c r="AJ60" s="459"/>
      <c r="AK60" s="461"/>
      <c r="AL60" s="459">
        <f t="shared" si="274"/>
        <v>207</v>
      </c>
      <c r="AM60" s="459"/>
      <c r="AN60" s="460">
        <v>207</v>
      </c>
      <c r="AO60" s="459"/>
      <c r="AP60" s="461"/>
      <c r="AQ60" s="398" t="s">
        <v>451</v>
      </c>
      <c r="AR60" s="459">
        <f t="shared" si="122"/>
        <v>765.5</v>
      </c>
      <c r="AS60" s="459"/>
      <c r="AT60" s="462">
        <v>765.5</v>
      </c>
      <c r="AU60" s="459"/>
      <c r="AV60" s="461"/>
      <c r="AW60" s="459" t="e">
        <f t="shared" si="275"/>
        <v>#REF!</v>
      </c>
      <c r="AX60" s="459" t="e">
        <f>#REF!-AS60</f>
        <v>#REF!</v>
      </c>
      <c r="AY60" s="459" t="e">
        <f>#REF!-AT60</f>
        <v>#REF!</v>
      </c>
      <c r="AZ60" s="459" t="e">
        <f>#REF!-AU60</f>
        <v>#REF!</v>
      </c>
      <c r="BA60" s="459" t="e">
        <f>#REF!-AV60</f>
        <v>#REF!</v>
      </c>
      <c r="BB60" s="459">
        <f t="shared" si="276"/>
        <v>876.1</v>
      </c>
      <c r="BC60" s="459"/>
      <c r="BD60" s="460">
        <f>207+269.1+400</f>
        <v>876.1</v>
      </c>
      <c r="BE60" s="459"/>
      <c r="BF60" s="461"/>
      <c r="BG60" s="459">
        <f t="shared" si="277"/>
        <v>0</v>
      </c>
      <c r="BH60" s="459"/>
      <c r="BI60" s="460"/>
      <c r="BJ60" s="459"/>
      <c r="BK60" s="461"/>
      <c r="BL60" s="459">
        <f t="shared" si="278"/>
        <v>765.5</v>
      </c>
      <c r="BM60" s="459"/>
      <c r="BN60" s="462">
        <v>765.5</v>
      </c>
      <c r="BO60" s="459"/>
      <c r="BP60" s="470"/>
      <c r="BQ60" s="459">
        <f t="shared" si="279"/>
        <v>765.5</v>
      </c>
      <c r="BR60" s="459"/>
      <c r="BS60" s="462">
        <v>765.5</v>
      </c>
      <c r="BT60" s="459"/>
      <c r="BU60" s="470"/>
      <c r="BV60" s="459">
        <f t="shared" si="280"/>
        <v>1698.5546999999999</v>
      </c>
      <c r="BW60" s="459"/>
      <c r="BX60" s="459">
        <v>1698.5546999999999</v>
      </c>
      <c r="BY60" s="459"/>
      <c r="BZ60" s="459"/>
      <c r="CA60" s="464">
        <f t="shared" si="281"/>
        <v>2464.0546999999997</v>
      </c>
      <c r="CB60" s="459">
        <f t="shared" si="282"/>
        <v>2464.0546999999997</v>
      </c>
      <c r="CC60" s="459">
        <f t="shared" si="283"/>
        <v>0</v>
      </c>
      <c r="CD60" s="459">
        <f t="shared" si="283"/>
        <v>2464.0546999999997</v>
      </c>
      <c r="CE60" s="459">
        <f t="shared" si="283"/>
        <v>0</v>
      </c>
      <c r="CF60" s="459">
        <f t="shared" si="283"/>
        <v>0</v>
      </c>
      <c r="CG60" s="459">
        <f t="shared" si="284"/>
        <v>0</v>
      </c>
      <c r="CH60" s="459">
        <f t="shared" si="285"/>
        <v>0</v>
      </c>
      <c r="CI60" s="459">
        <f t="shared" si="285"/>
        <v>0</v>
      </c>
      <c r="CJ60" s="459">
        <f t="shared" si="285"/>
        <v>0</v>
      </c>
      <c r="CK60" s="459">
        <f t="shared" si="285"/>
        <v>0</v>
      </c>
      <c r="CL60" s="465"/>
      <c r="CM60" s="466"/>
      <c r="CN60" s="466"/>
      <c r="CO60" s="459">
        <f t="shared" si="286"/>
        <v>0</v>
      </c>
      <c r="CP60" s="459"/>
      <c r="CQ60" s="460"/>
      <c r="CR60" s="459"/>
      <c r="CS60" s="461"/>
      <c r="CT60" s="459">
        <f t="shared" si="287"/>
        <v>0</v>
      </c>
      <c r="CU60" s="459"/>
      <c r="CV60" s="460"/>
      <c r="CW60" s="459"/>
      <c r="CX60" s="461"/>
      <c r="CY60" s="459">
        <f t="shared" si="288"/>
        <v>0</v>
      </c>
      <c r="CZ60" s="459">
        <f t="shared" ref="CZ60:DC78" si="295">CP60-CU60</f>
        <v>0</v>
      </c>
      <c r="DA60" s="459">
        <f t="shared" si="295"/>
        <v>0</v>
      </c>
      <c r="DB60" s="459">
        <f t="shared" si="295"/>
        <v>0</v>
      </c>
      <c r="DC60" s="459">
        <f t="shared" si="295"/>
        <v>0</v>
      </c>
      <c r="DD60" s="459"/>
      <c r="DE60" s="459"/>
      <c r="DF60" s="459"/>
      <c r="DG60" s="459">
        <f t="shared" si="289"/>
        <v>0</v>
      </c>
      <c r="DH60" s="467"/>
      <c r="DI60" s="459">
        <f t="shared" si="290"/>
        <v>765.5</v>
      </c>
      <c r="DJ60" s="459">
        <f t="shared" si="291"/>
        <v>765.5</v>
      </c>
      <c r="DK60" s="467"/>
      <c r="DL60" s="459"/>
      <c r="DM60" s="459"/>
      <c r="DN60" s="467"/>
      <c r="DO60" s="459"/>
      <c r="DP60" s="467"/>
      <c r="DQ60" s="467"/>
      <c r="DR60" s="459">
        <f t="shared" si="8"/>
        <v>765.5</v>
      </c>
      <c r="DS60" s="459"/>
      <c r="DT60" s="462">
        <v>765.5</v>
      </c>
      <c r="DU60" s="459"/>
      <c r="DV60" s="470"/>
      <c r="DW60" s="459">
        <f t="shared" si="11"/>
        <v>1698.5546999999999</v>
      </c>
      <c r="DX60" s="459"/>
      <c r="DY60" s="459">
        <v>1698.5546999999999</v>
      </c>
      <c r="DZ60" s="459"/>
      <c r="EA60" s="146"/>
      <c r="EB60" s="279"/>
      <c r="EC60" s="279"/>
      <c r="ED60" s="279"/>
      <c r="EE60" s="366"/>
      <c r="EF60" s="366"/>
      <c r="EG60" s="279"/>
      <c r="EH60" s="279"/>
      <c r="EI60" s="279"/>
      <c r="EJ60" s="366"/>
      <c r="EK60" s="366"/>
      <c r="EL60" s="366">
        <v>3.09E-2</v>
      </c>
      <c r="EM60" s="280"/>
      <c r="EN60" s="279"/>
      <c r="EO60" s="265" t="e">
        <f t="shared" si="294"/>
        <v>#DIV/0!</v>
      </c>
      <c r="EP60" s="323">
        <f t="shared" si="46"/>
        <v>2464.0546999999997</v>
      </c>
      <c r="EQ60" s="323">
        <f t="shared" si="83"/>
        <v>765.5</v>
      </c>
      <c r="ER60" s="323">
        <v>1698.5546999999999</v>
      </c>
      <c r="ES60" s="358">
        <f t="shared" ref="ES60:ES78" si="296">EQ60/EP60</f>
        <v>0.31066680459650514</v>
      </c>
      <c r="ET60" s="358">
        <f t="shared" ref="ET60:ET78" si="297">ER60/EP60</f>
        <v>0.68933319540349491</v>
      </c>
      <c r="EU60" s="323">
        <f t="shared" si="49"/>
        <v>2464.0546999999997</v>
      </c>
      <c r="EV60" s="323">
        <f t="shared" ref="EV60:EV78" si="298">DT60</f>
        <v>765.5</v>
      </c>
      <c r="EW60" s="323">
        <f t="shared" ref="EW60:EW78" si="299">DY60</f>
        <v>1698.5546999999999</v>
      </c>
      <c r="EX60" s="358">
        <f t="shared" ref="EX60:EX78" si="300">EV60/EU60</f>
        <v>0.31066680459650514</v>
      </c>
      <c r="EY60" s="358">
        <f t="shared" ref="EY60:EY78" si="301">EW60/EU60</f>
        <v>0.68933319540349491</v>
      </c>
      <c r="EZ60" s="358">
        <v>0.1031</v>
      </c>
      <c r="FA60" s="323">
        <f t="shared" ref="FA60:FA79" si="302">EU60*ES60</f>
        <v>765.5</v>
      </c>
      <c r="FB60" s="323">
        <f t="shared" si="51"/>
        <v>0</v>
      </c>
      <c r="FC60" s="279"/>
      <c r="FD60" s="279"/>
      <c r="FE60" s="279"/>
      <c r="FF60" s="366"/>
      <c r="FG60" s="366"/>
      <c r="FH60" s="279"/>
      <c r="FI60" s="279"/>
      <c r="FJ60" s="279"/>
      <c r="FK60" s="366"/>
      <c r="FL60" s="366"/>
      <c r="FM60" s="366">
        <v>0.1031</v>
      </c>
      <c r="FN60" s="280"/>
      <c r="FO60" s="279"/>
    </row>
    <row r="61" spans="2:171" s="40" customFormat="1" ht="15.75" hidden="1" customHeight="1" x14ac:dyDescent="0.25">
      <c r="B61" s="32"/>
      <c r="C61" s="33"/>
      <c r="D61" s="33">
        <v>1</v>
      </c>
      <c r="E61" s="434">
        <v>47</v>
      </c>
      <c r="F61" s="32"/>
      <c r="G61" s="33"/>
      <c r="H61" s="33"/>
      <c r="M61" s="434"/>
      <c r="N61" s="435" t="s">
        <v>204</v>
      </c>
      <c r="O61" s="435"/>
      <c r="P61" s="24">
        <f t="shared" si="29"/>
        <v>0</v>
      </c>
      <c r="Q61" s="435"/>
      <c r="R61" s="435"/>
      <c r="S61" s="435"/>
      <c r="T61" s="435"/>
      <c r="U61" s="161"/>
      <c r="V61" s="161"/>
      <c r="W61" s="459">
        <f t="shared" si="271"/>
        <v>0</v>
      </c>
      <c r="X61" s="459"/>
      <c r="Y61" s="460"/>
      <c r="Z61" s="459"/>
      <c r="AA61" s="472"/>
      <c r="AB61" s="459">
        <f t="shared" si="272"/>
        <v>0</v>
      </c>
      <c r="AC61" s="459"/>
      <c r="AD61" s="460"/>
      <c r="AE61" s="459"/>
      <c r="AF61" s="472"/>
      <c r="AG61" s="459">
        <f t="shared" si="273"/>
        <v>0</v>
      </c>
      <c r="AH61" s="459"/>
      <c r="AI61" s="460"/>
      <c r="AJ61" s="459"/>
      <c r="AK61" s="472"/>
      <c r="AL61" s="459">
        <f t="shared" si="274"/>
        <v>0</v>
      </c>
      <c r="AM61" s="459"/>
      <c r="AN61" s="460"/>
      <c r="AO61" s="459"/>
      <c r="AP61" s="467"/>
      <c r="AQ61" s="398"/>
      <c r="AR61" s="459">
        <f t="shared" si="122"/>
        <v>0</v>
      </c>
      <c r="AS61" s="459"/>
      <c r="AT61" s="469"/>
      <c r="AU61" s="459"/>
      <c r="AV61" s="459"/>
      <c r="AW61" s="459" t="e">
        <f t="shared" si="275"/>
        <v>#REF!</v>
      </c>
      <c r="AX61" s="459" t="e">
        <f>#REF!-AS61</f>
        <v>#REF!</v>
      </c>
      <c r="AY61" s="459" t="e">
        <f>#REF!-AT61</f>
        <v>#REF!</v>
      </c>
      <c r="AZ61" s="459" t="e">
        <f>#REF!-AU61</f>
        <v>#REF!</v>
      </c>
      <c r="BA61" s="459" t="e">
        <f>#REF!-AV61</f>
        <v>#REF!</v>
      </c>
      <c r="BB61" s="459">
        <f t="shared" si="276"/>
        <v>0</v>
      </c>
      <c r="BC61" s="459"/>
      <c r="BD61" s="459"/>
      <c r="BE61" s="459"/>
      <c r="BF61" s="459"/>
      <c r="BG61" s="459">
        <f t="shared" si="277"/>
        <v>0</v>
      </c>
      <c r="BH61" s="459"/>
      <c r="BI61" s="459"/>
      <c r="BJ61" s="459"/>
      <c r="BK61" s="459"/>
      <c r="BL61" s="459">
        <f t="shared" si="278"/>
        <v>0</v>
      </c>
      <c r="BM61" s="459"/>
      <c r="BN61" s="459"/>
      <c r="BO61" s="459"/>
      <c r="BP61" s="459"/>
      <c r="BQ61" s="459">
        <f t="shared" si="279"/>
        <v>0</v>
      </c>
      <c r="BR61" s="459"/>
      <c r="BS61" s="459"/>
      <c r="BT61" s="459"/>
      <c r="BU61" s="459"/>
      <c r="BV61" s="459">
        <f t="shared" si="280"/>
        <v>0</v>
      </c>
      <c r="BW61" s="459"/>
      <c r="BX61" s="459"/>
      <c r="BY61" s="459"/>
      <c r="BZ61" s="459"/>
      <c r="CA61" s="464">
        <f t="shared" si="281"/>
        <v>0</v>
      </c>
      <c r="CB61" s="459">
        <f t="shared" si="282"/>
        <v>0</v>
      </c>
      <c r="CC61" s="459">
        <f t="shared" si="283"/>
        <v>0</v>
      </c>
      <c r="CD61" s="459">
        <f t="shared" si="283"/>
        <v>0</v>
      </c>
      <c r="CE61" s="459">
        <f t="shared" si="283"/>
        <v>0</v>
      </c>
      <c r="CF61" s="459">
        <f t="shared" si="283"/>
        <v>0</v>
      </c>
      <c r="CG61" s="459">
        <f t="shared" si="284"/>
        <v>0</v>
      </c>
      <c r="CH61" s="459">
        <f t="shared" si="285"/>
        <v>0</v>
      </c>
      <c r="CI61" s="459">
        <f t="shared" si="285"/>
        <v>0</v>
      </c>
      <c r="CJ61" s="459">
        <f t="shared" si="285"/>
        <v>0</v>
      </c>
      <c r="CK61" s="459">
        <f t="shared" si="285"/>
        <v>0</v>
      </c>
      <c r="CL61" s="465"/>
      <c r="CM61" s="466"/>
      <c r="CN61" s="466"/>
      <c r="CO61" s="459">
        <f t="shared" si="286"/>
        <v>0</v>
      </c>
      <c r="CP61" s="459"/>
      <c r="CQ61" s="459"/>
      <c r="CR61" s="459"/>
      <c r="CS61" s="459"/>
      <c r="CT61" s="459">
        <f t="shared" si="287"/>
        <v>0</v>
      </c>
      <c r="CU61" s="459"/>
      <c r="CV61" s="459"/>
      <c r="CW61" s="459"/>
      <c r="CX61" s="459"/>
      <c r="CY61" s="459">
        <f t="shared" si="288"/>
        <v>0</v>
      </c>
      <c r="CZ61" s="459">
        <f t="shared" si="295"/>
        <v>0</v>
      </c>
      <c r="DA61" s="459">
        <f t="shared" si="295"/>
        <v>0</v>
      </c>
      <c r="DB61" s="459">
        <f t="shared" si="295"/>
        <v>0</v>
      </c>
      <c r="DC61" s="459">
        <f t="shared" si="295"/>
        <v>0</v>
      </c>
      <c r="DD61" s="459"/>
      <c r="DE61" s="459"/>
      <c r="DF61" s="459"/>
      <c r="DG61" s="459">
        <f t="shared" si="289"/>
        <v>0</v>
      </c>
      <c r="DH61" s="467"/>
      <c r="DI61" s="459">
        <f t="shared" si="290"/>
        <v>0</v>
      </c>
      <c r="DJ61" s="459">
        <f t="shared" si="291"/>
        <v>0</v>
      </c>
      <c r="DK61" s="467"/>
      <c r="DL61" s="459"/>
      <c r="DM61" s="459"/>
      <c r="DN61" s="467"/>
      <c r="DO61" s="459"/>
      <c r="DP61" s="467"/>
      <c r="DQ61" s="467"/>
      <c r="DR61" s="459">
        <f t="shared" si="8"/>
        <v>0</v>
      </c>
      <c r="DS61" s="459"/>
      <c r="DT61" s="459"/>
      <c r="DU61" s="459"/>
      <c r="DV61" s="459"/>
      <c r="DW61" s="459">
        <f t="shared" si="11"/>
        <v>0</v>
      </c>
      <c r="DX61" s="459"/>
      <c r="DY61" s="459"/>
      <c r="DZ61" s="459"/>
      <c r="EA61" s="146"/>
      <c r="EB61" s="279">
        <f t="shared" ref="EB61:EB62" si="303">EC61+ED61</f>
        <v>0</v>
      </c>
      <c r="EC61" s="279">
        <f t="shared" si="28"/>
        <v>0</v>
      </c>
      <c r="ED61" s="279"/>
      <c r="EE61" s="366" t="e">
        <f t="shared" ref="EE61:EE62" si="304">EC61/EB61</f>
        <v>#DIV/0!</v>
      </c>
      <c r="EF61" s="366" t="e">
        <f t="shared" ref="EF61:EF62" si="305">ED61/EB61</f>
        <v>#DIV/0!</v>
      </c>
      <c r="EG61" s="279">
        <f t="shared" si="43"/>
        <v>0</v>
      </c>
      <c r="EH61" s="279">
        <f t="shared" si="170"/>
        <v>0</v>
      </c>
      <c r="EI61" s="279">
        <f t="shared" si="171"/>
        <v>0</v>
      </c>
      <c r="EJ61" s="366" t="e">
        <f t="shared" ref="EJ61:EJ62" si="306">EH61/EG61</f>
        <v>#DIV/0!</v>
      </c>
      <c r="EK61" s="366" t="e">
        <f t="shared" ref="EK61:EK62" si="307">EI61/EG61</f>
        <v>#DIV/0!</v>
      </c>
      <c r="EL61" s="366"/>
      <c r="EM61" s="280" t="e">
        <f>EJ61/EH61</f>
        <v>#DIV/0!</v>
      </c>
      <c r="EN61" s="279" t="e">
        <f t="shared" si="45"/>
        <v>#DIV/0!</v>
      </c>
      <c r="EO61" s="265" t="e">
        <f t="shared" si="294"/>
        <v>#DIV/0!</v>
      </c>
      <c r="EP61" s="323">
        <f t="shared" si="46"/>
        <v>0</v>
      </c>
      <c r="EQ61" s="323">
        <f t="shared" si="83"/>
        <v>0</v>
      </c>
      <c r="ER61" s="323"/>
      <c r="ES61" s="358" t="e">
        <f t="shared" si="296"/>
        <v>#DIV/0!</v>
      </c>
      <c r="ET61" s="358" t="e">
        <f t="shared" si="297"/>
        <v>#DIV/0!</v>
      </c>
      <c r="EU61" s="323">
        <f t="shared" si="49"/>
        <v>0</v>
      </c>
      <c r="EV61" s="323">
        <f t="shared" si="298"/>
        <v>0</v>
      </c>
      <c r="EW61" s="323">
        <f t="shared" si="299"/>
        <v>0</v>
      </c>
      <c r="EX61" s="358" t="e">
        <f t="shared" si="300"/>
        <v>#DIV/0!</v>
      </c>
      <c r="EY61" s="358" t="e">
        <f t="shared" si="301"/>
        <v>#DIV/0!</v>
      </c>
      <c r="EZ61" s="358"/>
      <c r="FA61" s="323" t="e">
        <f t="shared" si="302"/>
        <v>#DIV/0!</v>
      </c>
      <c r="FB61" s="323" t="e">
        <f t="shared" si="51"/>
        <v>#DIV/0!</v>
      </c>
      <c r="FC61" s="279">
        <f t="shared" ref="FC61:FC77" si="308">FD61+FE61</f>
        <v>0</v>
      </c>
      <c r="FD61" s="279">
        <f t="shared" si="53"/>
        <v>0</v>
      </c>
      <c r="FE61" s="279"/>
      <c r="FF61" s="366" t="e">
        <f t="shared" ref="FF61:FF77" si="309">FD61/FC61</f>
        <v>#DIV/0!</v>
      </c>
      <c r="FG61" s="366" t="e">
        <f t="shared" ref="FG61:FG77" si="310">FE61/FC61</f>
        <v>#DIV/0!</v>
      </c>
      <c r="FH61" s="279">
        <f t="shared" si="55"/>
        <v>0</v>
      </c>
      <c r="FI61" s="279">
        <f t="shared" si="151"/>
        <v>0</v>
      </c>
      <c r="FJ61" s="279">
        <f t="shared" si="152"/>
        <v>0</v>
      </c>
      <c r="FK61" s="366" t="e">
        <f t="shared" ref="FK61:FK77" si="311">FI61/FH61</f>
        <v>#DIV/0!</v>
      </c>
      <c r="FL61" s="366" t="e">
        <f t="shared" ref="FL61:FL77" si="312">FJ61/FH61</f>
        <v>#DIV/0!</v>
      </c>
      <c r="FM61" s="366"/>
      <c r="FN61" s="280" t="e">
        <f t="shared" si="230"/>
        <v>#DIV/0!</v>
      </c>
      <c r="FO61" s="279" t="e">
        <f t="shared" si="57"/>
        <v>#DIV/0!</v>
      </c>
    </row>
    <row r="62" spans="2:171" s="40" customFormat="1" ht="15.75" customHeight="1" x14ac:dyDescent="0.25">
      <c r="B62" s="32"/>
      <c r="C62" s="33">
        <v>1</v>
      </c>
      <c r="D62" s="33"/>
      <c r="E62" s="434">
        <v>48</v>
      </c>
      <c r="F62" s="32"/>
      <c r="G62" s="33">
        <v>1</v>
      </c>
      <c r="H62" s="33">
        <v>1</v>
      </c>
      <c r="M62" s="434">
        <v>45</v>
      </c>
      <c r="N62" s="435" t="s">
        <v>29</v>
      </c>
      <c r="O62" s="435"/>
      <c r="P62" s="24">
        <f t="shared" si="29"/>
        <v>0</v>
      </c>
      <c r="Q62" s="435"/>
      <c r="R62" s="435"/>
      <c r="S62" s="435" t="s">
        <v>491</v>
      </c>
      <c r="T62" s="435" t="s">
        <v>488</v>
      </c>
      <c r="U62" s="161">
        <v>1</v>
      </c>
      <c r="V62" s="434"/>
      <c r="W62" s="459">
        <f t="shared" si="271"/>
        <v>10123.1</v>
      </c>
      <c r="X62" s="459">
        <f>20040.4-20040.4</f>
        <v>0</v>
      </c>
      <c r="Y62" s="460">
        <v>3993.1</v>
      </c>
      <c r="Z62" s="459">
        <f>6200-70</f>
        <v>6130</v>
      </c>
      <c r="AA62" s="461"/>
      <c r="AB62" s="459">
        <f t="shared" si="272"/>
        <v>3820.3</v>
      </c>
      <c r="AC62" s="459"/>
      <c r="AD62" s="460">
        <v>3820.3</v>
      </c>
      <c r="AE62" s="459"/>
      <c r="AF62" s="461"/>
      <c r="AG62" s="459">
        <f t="shared" si="273"/>
        <v>3820.3</v>
      </c>
      <c r="AH62" s="459"/>
      <c r="AI62" s="460">
        <v>3820.3</v>
      </c>
      <c r="AJ62" s="459"/>
      <c r="AK62" s="461"/>
      <c r="AL62" s="459">
        <f t="shared" si="274"/>
        <v>1661</v>
      </c>
      <c r="AM62" s="459"/>
      <c r="AN62" s="460">
        <v>1661</v>
      </c>
      <c r="AO62" s="459"/>
      <c r="AP62" s="461"/>
      <c r="AQ62" s="398" t="s">
        <v>378</v>
      </c>
      <c r="AR62" s="459">
        <f t="shared" si="122"/>
        <v>10123.1</v>
      </c>
      <c r="AS62" s="459"/>
      <c r="AT62" s="462">
        <v>3993.1</v>
      </c>
      <c r="AU62" s="459">
        <v>6130</v>
      </c>
      <c r="AV62" s="461"/>
      <c r="AW62" s="459" t="e">
        <f t="shared" si="275"/>
        <v>#REF!</v>
      </c>
      <c r="AX62" s="459" t="e">
        <f>#REF!-AS62</f>
        <v>#REF!</v>
      </c>
      <c r="AY62" s="459" t="e">
        <f>#REF!-AT62</f>
        <v>#REF!</v>
      </c>
      <c r="AZ62" s="459" t="e">
        <f>#REF!-AU62</f>
        <v>#REF!</v>
      </c>
      <c r="BA62" s="459" t="e">
        <f>#REF!-AV62</f>
        <v>#REF!</v>
      </c>
      <c r="BB62" s="459">
        <f t="shared" si="276"/>
        <v>4420.3</v>
      </c>
      <c r="BC62" s="459"/>
      <c r="BD62" s="460">
        <f>1661+2159.3+600</f>
        <v>4420.3</v>
      </c>
      <c r="BE62" s="459"/>
      <c r="BF62" s="461"/>
      <c r="BG62" s="459">
        <f t="shared" si="277"/>
        <v>0</v>
      </c>
      <c r="BH62" s="459"/>
      <c r="BI62" s="460"/>
      <c r="BJ62" s="459"/>
      <c r="BK62" s="461"/>
      <c r="BL62" s="459">
        <f t="shared" si="278"/>
        <v>10123.1</v>
      </c>
      <c r="BM62" s="459"/>
      <c r="BN62" s="460">
        <f>2212.30227+1780.79773</f>
        <v>3993.1000000000004</v>
      </c>
      <c r="BO62" s="459">
        <v>6130</v>
      </c>
      <c r="BP62" s="470"/>
      <c r="BQ62" s="459">
        <f t="shared" si="279"/>
        <v>10123.1</v>
      </c>
      <c r="BR62" s="459"/>
      <c r="BS62" s="459">
        <v>3993.1</v>
      </c>
      <c r="BT62" s="459">
        <v>6130</v>
      </c>
      <c r="BU62" s="470"/>
      <c r="BV62" s="459">
        <f t="shared" si="280"/>
        <v>2115.8615399999999</v>
      </c>
      <c r="BW62" s="459"/>
      <c r="BX62" s="459">
        <v>1294.9808599999999</v>
      </c>
      <c r="BY62" s="459">
        <v>820.88067999999998</v>
      </c>
      <c r="BZ62" s="459"/>
      <c r="CA62" s="464">
        <f t="shared" si="281"/>
        <v>12238.96154</v>
      </c>
      <c r="CB62" s="459">
        <f t="shared" si="282"/>
        <v>12238.96154</v>
      </c>
      <c r="CC62" s="459">
        <f t="shared" si="283"/>
        <v>0</v>
      </c>
      <c r="CD62" s="459">
        <f t="shared" si="283"/>
        <v>5288.08086</v>
      </c>
      <c r="CE62" s="459">
        <f t="shared" si="283"/>
        <v>6950.8806800000002</v>
      </c>
      <c r="CF62" s="459">
        <f t="shared" si="283"/>
        <v>0</v>
      </c>
      <c r="CG62" s="459">
        <f t="shared" si="284"/>
        <v>0</v>
      </c>
      <c r="CH62" s="459">
        <f t="shared" si="285"/>
        <v>0</v>
      </c>
      <c r="CI62" s="459">
        <f t="shared" si="285"/>
        <v>0</v>
      </c>
      <c r="CJ62" s="459">
        <f t="shared" si="285"/>
        <v>0</v>
      </c>
      <c r="CK62" s="459">
        <f t="shared" si="285"/>
        <v>0</v>
      </c>
      <c r="CL62" s="465"/>
      <c r="CM62" s="559">
        <f>BB62+BB63+BB66+BB69+BB72+BB74+BB75+BB76</f>
        <v>14901.1</v>
      </c>
      <c r="CN62" s="559">
        <f>CM62+CO76-BG69-BG76</f>
        <v>14901.1</v>
      </c>
      <c r="CO62" s="459">
        <f t="shared" si="286"/>
        <v>0</v>
      </c>
      <c r="CP62" s="459"/>
      <c r="CQ62" s="460"/>
      <c r="CR62" s="459"/>
      <c r="CS62" s="461"/>
      <c r="CT62" s="459">
        <f t="shared" si="287"/>
        <v>0</v>
      </c>
      <c r="CU62" s="459"/>
      <c r="CV62" s="460"/>
      <c r="CW62" s="459"/>
      <c r="CX62" s="461"/>
      <c r="CY62" s="459">
        <f t="shared" si="288"/>
        <v>0</v>
      </c>
      <c r="CZ62" s="459">
        <f t="shared" si="295"/>
        <v>0</v>
      </c>
      <c r="DA62" s="459">
        <f t="shared" si="295"/>
        <v>0</v>
      </c>
      <c r="DB62" s="459">
        <f t="shared" si="295"/>
        <v>0</v>
      </c>
      <c r="DC62" s="459">
        <f t="shared" si="295"/>
        <v>0</v>
      </c>
      <c r="DD62" s="459"/>
      <c r="DE62" s="459"/>
      <c r="DF62" s="459"/>
      <c r="DG62" s="459">
        <f t="shared" si="289"/>
        <v>0</v>
      </c>
      <c r="DH62" s="467"/>
      <c r="DI62" s="459">
        <f t="shared" si="290"/>
        <v>10123.1</v>
      </c>
      <c r="DJ62" s="459">
        <f t="shared" si="291"/>
        <v>10123.1</v>
      </c>
      <c r="DK62" s="467"/>
      <c r="DL62" s="560">
        <f>DJ62+DJ63+DJ66+DJ69+DJ72+DJ74+DJ75+DJ76</f>
        <v>19129.489000000001</v>
      </c>
      <c r="DM62" s="560">
        <f>DG62+DG63+DG66+DG69+DG72+DG74+DG75+DG76</f>
        <v>0</v>
      </c>
      <c r="DN62" s="467"/>
      <c r="DO62" s="560">
        <f>CN62-DL62</f>
        <v>-4228.389000000001</v>
      </c>
      <c r="DP62" s="467"/>
      <c r="DQ62" s="467"/>
      <c r="DR62" s="459">
        <f t="shared" si="8"/>
        <v>10123.1</v>
      </c>
      <c r="DS62" s="459"/>
      <c r="DT62" s="459">
        <v>3993.1</v>
      </c>
      <c r="DU62" s="459">
        <v>6130</v>
      </c>
      <c r="DV62" s="470"/>
      <c r="DW62" s="459">
        <f t="shared" si="11"/>
        <v>2115.8615399999999</v>
      </c>
      <c r="DX62" s="459"/>
      <c r="DY62" s="459">
        <v>1294.9808599999999</v>
      </c>
      <c r="DZ62" s="459">
        <v>820.88067999999998</v>
      </c>
      <c r="EA62" s="146"/>
      <c r="EB62" s="279">
        <f t="shared" si="303"/>
        <v>0</v>
      </c>
      <c r="EC62" s="279">
        <f t="shared" si="28"/>
        <v>0</v>
      </c>
      <c r="ED62" s="279"/>
      <c r="EE62" s="366" t="e">
        <f t="shared" si="304"/>
        <v>#DIV/0!</v>
      </c>
      <c r="EF62" s="366" t="e">
        <f t="shared" si="305"/>
        <v>#DIV/0!</v>
      </c>
      <c r="EG62" s="279">
        <f t="shared" si="43"/>
        <v>0</v>
      </c>
      <c r="EH62" s="279">
        <f t="shared" si="170"/>
        <v>0</v>
      </c>
      <c r="EI62" s="279">
        <f t="shared" si="171"/>
        <v>0</v>
      </c>
      <c r="EJ62" s="366" t="e">
        <f t="shared" si="306"/>
        <v>#DIV/0!</v>
      </c>
      <c r="EK62" s="366" t="e">
        <f t="shared" si="307"/>
        <v>#DIV/0!</v>
      </c>
      <c r="EL62" s="366">
        <v>3.5000000000000003E-2</v>
      </c>
      <c r="EM62" s="280" t="e">
        <f>EG62*EE62</f>
        <v>#DIV/0!</v>
      </c>
      <c r="EN62" s="279" t="e">
        <f>EH62-EM62</f>
        <v>#DIV/0!</v>
      </c>
      <c r="EO62" s="265" t="e">
        <f t="shared" si="294"/>
        <v>#DIV/0!</v>
      </c>
      <c r="EP62" s="323">
        <f t="shared" si="46"/>
        <v>5288.08086</v>
      </c>
      <c r="EQ62" s="323">
        <f t="shared" si="83"/>
        <v>3993.1</v>
      </c>
      <c r="ER62" s="323">
        <v>1294.9808599999999</v>
      </c>
      <c r="ES62" s="358">
        <f t="shared" si="296"/>
        <v>0.75511326428544812</v>
      </c>
      <c r="ET62" s="358">
        <f t="shared" si="297"/>
        <v>0.24488673571455183</v>
      </c>
      <c r="EU62" s="323">
        <f t="shared" si="49"/>
        <v>5288.08086</v>
      </c>
      <c r="EV62" s="323">
        <f t="shared" si="298"/>
        <v>3993.1</v>
      </c>
      <c r="EW62" s="323">
        <f t="shared" si="299"/>
        <v>1294.9808599999999</v>
      </c>
      <c r="EX62" s="358">
        <f t="shared" si="300"/>
        <v>0.75511326428544812</v>
      </c>
      <c r="EY62" s="358">
        <f t="shared" si="301"/>
        <v>0.24488673571455183</v>
      </c>
      <c r="EZ62" s="358">
        <v>0.1168</v>
      </c>
      <c r="FA62" s="323">
        <f t="shared" si="302"/>
        <v>3993.1</v>
      </c>
      <c r="FB62" s="323">
        <f t="shared" si="51"/>
        <v>0</v>
      </c>
      <c r="FC62" s="279">
        <f t="shared" si="308"/>
        <v>6950.8806800000002</v>
      </c>
      <c r="FD62" s="279">
        <f t="shared" si="53"/>
        <v>6130</v>
      </c>
      <c r="FE62" s="279">
        <v>820.88067999999998</v>
      </c>
      <c r="FF62" s="366">
        <f t="shared" si="309"/>
        <v>0.88190263683248837</v>
      </c>
      <c r="FG62" s="366">
        <f t="shared" si="310"/>
        <v>0.1180973631675116</v>
      </c>
      <c r="FH62" s="279">
        <f t="shared" si="55"/>
        <v>6950.8806800000002</v>
      </c>
      <c r="FI62" s="279">
        <f t="shared" si="151"/>
        <v>6130</v>
      </c>
      <c r="FJ62" s="279">
        <f t="shared" si="152"/>
        <v>820.88067999999998</v>
      </c>
      <c r="FK62" s="366">
        <f t="shared" si="311"/>
        <v>0.88190263683248837</v>
      </c>
      <c r="FL62" s="366">
        <f t="shared" si="312"/>
        <v>0.1180973631675116</v>
      </c>
      <c r="FM62" s="366">
        <v>0.1168</v>
      </c>
      <c r="FN62" s="280">
        <f t="shared" si="230"/>
        <v>6130</v>
      </c>
      <c r="FO62" s="279">
        <f t="shared" si="57"/>
        <v>0</v>
      </c>
    </row>
    <row r="63" spans="2:171" s="40" customFormat="1" ht="15.6" customHeight="1" x14ac:dyDescent="0.25">
      <c r="B63" s="32"/>
      <c r="C63" s="33"/>
      <c r="D63" s="33">
        <v>1</v>
      </c>
      <c r="E63" s="434">
        <v>49</v>
      </c>
      <c r="F63" s="32"/>
      <c r="G63" s="33"/>
      <c r="H63" s="33">
        <v>1</v>
      </c>
      <c r="M63" s="434">
        <v>46</v>
      </c>
      <c r="N63" s="435" t="s">
        <v>38</v>
      </c>
      <c r="O63" s="435"/>
      <c r="P63" s="24">
        <f t="shared" si="29"/>
        <v>0</v>
      </c>
      <c r="Q63" s="435" t="s">
        <v>490</v>
      </c>
      <c r="R63" s="435" t="s">
        <v>488</v>
      </c>
      <c r="S63" s="435" t="s">
        <v>491</v>
      </c>
      <c r="T63" s="435" t="s">
        <v>488</v>
      </c>
      <c r="U63" s="161">
        <v>1</v>
      </c>
      <c r="V63" s="434">
        <v>1</v>
      </c>
      <c r="W63" s="459">
        <f t="shared" si="271"/>
        <v>620.1</v>
      </c>
      <c r="X63" s="459"/>
      <c r="Y63" s="460">
        <v>620.1</v>
      </c>
      <c r="Z63" s="459"/>
      <c r="AA63" s="461"/>
      <c r="AB63" s="459">
        <f t="shared" si="272"/>
        <v>625.6</v>
      </c>
      <c r="AC63" s="459"/>
      <c r="AD63" s="460">
        <v>625.6</v>
      </c>
      <c r="AE63" s="459"/>
      <c r="AF63" s="461"/>
      <c r="AG63" s="459">
        <f t="shared" si="273"/>
        <v>625.6</v>
      </c>
      <c r="AH63" s="459"/>
      <c r="AI63" s="460">
        <v>625.6</v>
      </c>
      <c r="AJ63" s="459"/>
      <c r="AK63" s="461"/>
      <c r="AL63" s="459">
        <f t="shared" si="274"/>
        <v>272</v>
      </c>
      <c r="AM63" s="459"/>
      <c r="AN63" s="460">
        <v>272</v>
      </c>
      <c r="AO63" s="459"/>
      <c r="AP63" s="461"/>
      <c r="AQ63" s="383" t="s">
        <v>564</v>
      </c>
      <c r="AR63" s="459">
        <f t="shared" si="122"/>
        <v>481.93600000000004</v>
      </c>
      <c r="AS63" s="459"/>
      <c r="AT63" s="462">
        <f>620.1-138.164</f>
        <v>481.93600000000004</v>
      </c>
      <c r="AU63" s="459"/>
      <c r="AV63" s="461"/>
      <c r="AW63" s="459" t="e">
        <f t="shared" si="275"/>
        <v>#REF!</v>
      </c>
      <c r="AX63" s="459" t="e">
        <f>#REF!-AS63</f>
        <v>#REF!</v>
      </c>
      <c r="AY63" s="459" t="e">
        <f>#REF!-AT63</f>
        <v>#REF!</v>
      </c>
      <c r="AZ63" s="459" t="e">
        <f>#REF!-AU63</f>
        <v>#REF!</v>
      </c>
      <c r="BA63" s="459" t="e">
        <f>#REF!-AV63</f>
        <v>#REF!</v>
      </c>
      <c r="BB63" s="459">
        <f t="shared" si="276"/>
        <v>625.6</v>
      </c>
      <c r="BC63" s="459"/>
      <c r="BD63" s="460">
        <f>272+353.6</f>
        <v>625.6</v>
      </c>
      <c r="BE63" s="459"/>
      <c r="BF63" s="461"/>
      <c r="BG63" s="459">
        <f t="shared" si="277"/>
        <v>0</v>
      </c>
      <c r="BH63" s="459"/>
      <c r="BI63" s="459"/>
      <c r="BJ63" s="459"/>
      <c r="BK63" s="461"/>
      <c r="BL63" s="459">
        <f t="shared" si="278"/>
        <v>481.93600000000004</v>
      </c>
      <c r="BM63" s="459"/>
      <c r="BN63" s="460">
        <f>352.83398+129.10202</f>
        <v>481.93600000000004</v>
      </c>
      <c r="BO63" s="459"/>
      <c r="BP63" s="470"/>
      <c r="BQ63" s="459">
        <f t="shared" si="279"/>
        <v>481.93600000000004</v>
      </c>
      <c r="BR63" s="459"/>
      <c r="BS63" s="460">
        <f>129.10202+352.83398</f>
        <v>481.93600000000004</v>
      </c>
      <c r="BT63" s="459"/>
      <c r="BU63" s="470"/>
      <c r="BV63" s="459">
        <f t="shared" si="280"/>
        <v>78.064000000000007</v>
      </c>
      <c r="BW63" s="459"/>
      <c r="BX63" s="459">
        <f>20.91195+57.15205</f>
        <v>78.064000000000007</v>
      </c>
      <c r="BY63" s="459"/>
      <c r="BZ63" s="459"/>
      <c r="CA63" s="464">
        <f t="shared" si="281"/>
        <v>560</v>
      </c>
      <c r="CB63" s="459">
        <f t="shared" si="282"/>
        <v>560</v>
      </c>
      <c r="CC63" s="459">
        <f t="shared" si="283"/>
        <v>0</v>
      </c>
      <c r="CD63" s="459">
        <f t="shared" si="283"/>
        <v>560</v>
      </c>
      <c r="CE63" s="459">
        <f t="shared" si="283"/>
        <v>0</v>
      </c>
      <c r="CF63" s="459">
        <f t="shared" si="283"/>
        <v>0</v>
      </c>
      <c r="CG63" s="459">
        <f t="shared" si="284"/>
        <v>0</v>
      </c>
      <c r="CH63" s="459">
        <f t="shared" si="285"/>
        <v>0</v>
      </c>
      <c r="CI63" s="459">
        <f t="shared" si="285"/>
        <v>0</v>
      </c>
      <c r="CJ63" s="459">
        <f t="shared" si="285"/>
        <v>0</v>
      </c>
      <c r="CK63" s="459">
        <f t="shared" si="285"/>
        <v>0</v>
      </c>
      <c r="CL63" s="465"/>
      <c r="CM63" s="466">
        <f>BB57-CM58-CM62</f>
        <v>11342.445000000002</v>
      </c>
      <c r="CN63" s="466">
        <f>CM63-BG60-BG73</f>
        <v>11342.445000000002</v>
      </c>
      <c r="CO63" s="459">
        <f t="shared" si="286"/>
        <v>0</v>
      </c>
      <c r="CP63" s="459"/>
      <c r="CQ63" s="459"/>
      <c r="CR63" s="459"/>
      <c r="CS63" s="461"/>
      <c r="CT63" s="459">
        <f t="shared" si="287"/>
        <v>0</v>
      </c>
      <c r="CU63" s="459"/>
      <c r="CV63" s="459"/>
      <c r="CW63" s="459"/>
      <c r="CX63" s="461"/>
      <c r="CY63" s="459">
        <f t="shared" si="288"/>
        <v>0</v>
      </c>
      <c r="CZ63" s="459">
        <f t="shared" si="295"/>
        <v>0</v>
      </c>
      <c r="DA63" s="459">
        <f t="shared" si="295"/>
        <v>0</v>
      </c>
      <c r="DB63" s="459">
        <f t="shared" si="295"/>
        <v>0</v>
      </c>
      <c r="DC63" s="459">
        <f t="shared" si="295"/>
        <v>0</v>
      </c>
      <c r="DD63" s="459"/>
      <c r="DE63" s="459"/>
      <c r="DF63" s="459"/>
      <c r="DG63" s="459">
        <f t="shared" si="289"/>
        <v>0</v>
      </c>
      <c r="DH63" s="467"/>
      <c r="DI63" s="459">
        <f t="shared" si="290"/>
        <v>481.93600000000004</v>
      </c>
      <c r="DJ63" s="459">
        <f t="shared" si="291"/>
        <v>481.93600000000004</v>
      </c>
      <c r="DK63" s="467"/>
      <c r="DL63" s="459">
        <f>DJ60+DJ61+DJ64+DJ65+DJ67+DJ68+DJ70+DJ71+DJ73+DJ77+DJ78</f>
        <v>11423.180999999999</v>
      </c>
      <c r="DM63" s="459">
        <f>DG60+DG61+DG64+DG65+DG67+DG68+DG70+DG71+DG73+DG77+DG78</f>
        <v>0</v>
      </c>
      <c r="DN63" s="467"/>
      <c r="DO63" s="459">
        <f>CN63-DL63</f>
        <v>-80.735999999997148</v>
      </c>
      <c r="DP63" s="467"/>
      <c r="DQ63" s="467"/>
      <c r="DR63" s="459">
        <f t="shared" si="8"/>
        <v>481.93600000000004</v>
      </c>
      <c r="DS63" s="459"/>
      <c r="DT63" s="460">
        <f>129.10202+352.83398</f>
        <v>481.93600000000004</v>
      </c>
      <c r="DU63" s="459"/>
      <c r="DV63" s="470"/>
      <c r="DW63" s="459">
        <f t="shared" si="11"/>
        <v>78.064000000000007</v>
      </c>
      <c r="DX63" s="459"/>
      <c r="DY63" s="459">
        <f>20.91195+57.15205</f>
        <v>78.064000000000007</v>
      </c>
      <c r="DZ63" s="459"/>
      <c r="EA63" s="146"/>
      <c r="EB63" s="279"/>
      <c r="EC63" s="279"/>
      <c r="ED63" s="279"/>
      <c r="EE63" s="366"/>
      <c r="EF63" s="366"/>
      <c r="EG63" s="279"/>
      <c r="EH63" s="279"/>
      <c r="EI63" s="279"/>
      <c r="EJ63" s="366"/>
      <c r="EK63" s="366"/>
      <c r="EL63" s="366">
        <v>2.1499999999999998E-2</v>
      </c>
      <c r="EM63" s="280"/>
      <c r="EN63" s="279"/>
      <c r="EO63" s="265" t="e">
        <f t="shared" si="294"/>
        <v>#DIV/0!</v>
      </c>
      <c r="EP63" s="323">
        <f t="shared" si="46"/>
        <v>560</v>
      </c>
      <c r="EQ63" s="323">
        <f t="shared" si="83"/>
        <v>481.93600000000004</v>
      </c>
      <c r="ER63" s="323">
        <v>78.063999999999993</v>
      </c>
      <c r="ES63" s="358">
        <f t="shared" si="296"/>
        <v>0.86060000000000003</v>
      </c>
      <c r="ET63" s="358">
        <f t="shared" si="297"/>
        <v>0.1394</v>
      </c>
      <c r="EU63" s="323">
        <f t="shared" si="49"/>
        <v>560</v>
      </c>
      <c r="EV63" s="323">
        <f t="shared" si="298"/>
        <v>481.93600000000004</v>
      </c>
      <c r="EW63" s="323">
        <f t="shared" si="299"/>
        <v>78.064000000000007</v>
      </c>
      <c r="EX63" s="358">
        <f t="shared" si="300"/>
        <v>0.86060000000000003</v>
      </c>
      <c r="EY63" s="358">
        <f t="shared" si="301"/>
        <v>0.13940000000000002</v>
      </c>
      <c r="EZ63" s="358">
        <v>7.1599999999999997E-2</v>
      </c>
      <c r="FA63" s="323">
        <f t="shared" si="302"/>
        <v>481.93600000000004</v>
      </c>
      <c r="FB63" s="430">
        <f t="shared" si="51"/>
        <v>0</v>
      </c>
      <c r="FC63" s="279"/>
      <c r="FD63" s="279"/>
      <c r="FE63" s="279"/>
      <c r="FF63" s="366"/>
      <c r="FG63" s="366"/>
      <c r="FH63" s="279"/>
      <c r="FI63" s="279"/>
      <c r="FJ63" s="279"/>
      <c r="FK63" s="366"/>
      <c r="FL63" s="366"/>
      <c r="FM63" s="366">
        <v>7.1599999999999997E-2</v>
      </c>
      <c r="FN63" s="280"/>
      <c r="FO63" s="279"/>
    </row>
    <row r="64" spans="2:171" s="40" customFormat="1" ht="15.6" customHeight="1" x14ac:dyDescent="0.25">
      <c r="B64" s="32"/>
      <c r="C64" s="33"/>
      <c r="D64" s="33">
        <v>1</v>
      </c>
      <c r="E64" s="434">
        <v>50</v>
      </c>
      <c r="F64" s="32"/>
      <c r="G64" s="33"/>
      <c r="H64" s="33">
        <v>1</v>
      </c>
      <c r="M64" s="434">
        <v>47</v>
      </c>
      <c r="N64" s="435" t="s">
        <v>321</v>
      </c>
      <c r="O64" s="435"/>
      <c r="P64" s="24">
        <f t="shared" si="29"/>
        <v>0</v>
      </c>
      <c r="Q64" s="435"/>
      <c r="R64" s="435"/>
      <c r="S64" s="435" t="s">
        <v>490</v>
      </c>
      <c r="T64" s="435" t="s">
        <v>488</v>
      </c>
      <c r="U64" s="161">
        <v>1</v>
      </c>
      <c r="V64" s="434">
        <v>1</v>
      </c>
      <c r="W64" s="459">
        <f t="shared" si="271"/>
        <v>659</v>
      </c>
      <c r="X64" s="459"/>
      <c r="Y64" s="460">
        <v>659</v>
      </c>
      <c r="Z64" s="459"/>
      <c r="AA64" s="461"/>
      <c r="AB64" s="459">
        <f t="shared" si="272"/>
        <v>664.7</v>
      </c>
      <c r="AC64" s="459"/>
      <c r="AD64" s="460">
        <v>664.7</v>
      </c>
      <c r="AE64" s="459"/>
      <c r="AF64" s="461"/>
      <c r="AG64" s="459">
        <f t="shared" si="273"/>
        <v>664.7</v>
      </c>
      <c r="AH64" s="459"/>
      <c r="AI64" s="460">
        <v>664.7</v>
      </c>
      <c r="AJ64" s="459"/>
      <c r="AK64" s="461"/>
      <c r="AL64" s="459">
        <f t="shared" si="274"/>
        <v>289</v>
      </c>
      <c r="AM64" s="459"/>
      <c r="AN64" s="460">
        <v>289</v>
      </c>
      <c r="AO64" s="459"/>
      <c r="AP64" s="461"/>
      <c r="AQ64" s="383" t="s">
        <v>569</v>
      </c>
      <c r="AR64" s="459">
        <f t="shared" si="122"/>
        <v>659</v>
      </c>
      <c r="AS64" s="459"/>
      <c r="AT64" s="462">
        <v>659</v>
      </c>
      <c r="AU64" s="459"/>
      <c r="AV64" s="459"/>
      <c r="AW64" s="459" t="e">
        <f t="shared" si="275"/>
        <v>#REF!</v>
      </c>
      <c r="AX64" s="459" t="e">
        <f>#REF!-AS64</f>
        <v>#REF!</v>
      </c>
      <c r="AY64" s="459" t="e">
        <f>#REF!-AT64</f>
        <v>#REF!</v>
      </c>
      <c r="AZ64" s="459" t="e">
        <f>#REF!-AU64</f>
        <v>#REF!</v>
      </c>
      <c r="BA64" s="459" t="e">
        <f>#REF!-AV64</f>
        <v>#REF!</v>
      </c>
      <c r="BB64" s="459">
        <f t="shared" si="276"/>
        <v>0</v>
      </c>
      <c r="BC64" s="459"/>
      <c r="BD64" s="459"/>
      <c r="BE64" s="459"/>
      <c r="BF64" s="459"/>
      <c r="BG64" s="459">
        <f t="shared" si="277"/>
        <v>0</v>
      </c>
      <c r="BH64" s="459"/>
      <c r="BI64" s="459"/>
      <c r="BJ64" s="459"/>
      <c r="BK64" s="459"/>
      <c r="BL64" s="459">
        <f t="shared" si="278"/>
        <v>659</v>
      </c>
      <c r="BM64" s="459"/>
      <c r="BN64" s="462">
        <v>659</v>
      </c>
      <c r="BO64" s="459"/>
      <c r="BP64" s="459"/>
      <c r="BQ64" s="459">
        <f t="shared" si="279"/>
        <v>659</v>
      </c>
      <c r="BR64" s="459"/>
      <c r="BS64" s="462">
        <v>659</v>
      </c>
      <c r="BT64" s="459"/>
      <c r="BU64" s="459"/>
      <c r="BV64" s="459">
        <f t="shared" si="280"/>
        <v>290.98200000000003</v>
      </c>
      <c r="BW64" s="459"/>
      <c r="BX64" s="459">
        <v>290.98200000000003</v>
      </c>
      <c r="BY64" s="459"/>
      <c r="BZ64" s="459"/>
      <c r="CA64" s="464">
        <f t="shared" si="281"/>
        <v>949.98199999999997</v>
      </c>
      <c r="CB64" s="459">
        <f t="shared" si="282"/>
        <v>949.98199999999997</v>
      </c>
      <c r="CC64" s="459">
        <f t="shared" si="283"/>
        <v>0</v>
      </c>
      <c r="CD64" s="459">
        <f t="shared" si="283"/>
        <v>949.98199999999997</v>
      </c>
      <c r="CE64" s="459">
        <f t="shared" si="283"/>
        <v>0</v>
      </c>
      <c r="CF64" s="459">
        <f t="shared" si="283"/>
        <v>0</v>
      </c>
      <c r="CG64" s="459">
        <f t="shared" si="284"/>
        <v>0</v>
      </c>
      <c r="CH64" s="459">
        <f t="shared" si="285"/>
        <v>0</v>
      </c>
      <c r="CI64" s="459">
        <f t="shared" si="285"/>
        <v>0</v>
      </c>
      <c r="CJ64" s="459">
        <f t="shared" si="285"/>
        <v>0</v>
      </c>
      <c r="CK64" s="459">
        <f t="shared" si="285"/>
        <v>0</v>
      </c>
      <c r="CL64" s="465"/>
      <c r="CM64" s="466"/>
      <c r="CN64" s="466"/>
      <c r="CO64" s="459">
        <f t="shared" si="286"/>
        <v>0</v>
      </c>
      <c r="CP64" s="459"/>
      <c r="CQ64" s="459"/>
      <c r="CR64" s="459"/>
      <c r="CS64" s="459"/>
      <c r="CT64" s="459">
        <f t="shared" si="287"/>
        <v>0</v>
      </c>
      <c r="CU64" s="459"/>
      <c r="CV64" s="459"/>
      <c r="CW64" s="459"/>
      <c r="CX64" s="459"/>
      <c r="CY64" s="459">
        <f t="shared" si="288"/>
        <v>0</v>
      </c>
      <c r="CZ64" s="459">
        <f t="shared" si="295"/>
        <v>0</v>
      </c>
      <c r="DA64" s="459">
        <f t="shared" si="295"/>
        <v>0</v>
      </c>
      <c r="DB64" s="459">
        <f t="shared" si="295"/>
        <v>0</v>
      </c>
      <c r="DC64" s="459">
        <f t="shared" si="295"/>
        <v>0</v>
      </c>
      <c r="DD64" s="459"/>
      <c r="DE64" s="459"/>
      <c r="DF64" s="459"/>
      <c r="DG64" s="459">
        <f t="shared" si="289"/>
        <v>0</v>
      </c>
      <c r="DH64" s="467"/>
      <c r="DI64" s="459">
        <f t="shared" si="290"/>
        <v>659</v>
      </c>
      <c r="DJ64" s="459">
        <f t="shared" si="291"/>
        <v>659</v>
      </c>
      <c r="DK64" s="467"/>
      <c r="DL64" s="459"/>
      <c r="DM64" s="459"/>
      <c r="DN64" s="467"/>
      <c r="DO64" s="459"/>
      <c r="DP64" s="467"/>
      <c r="DQ64" s="467"/>
      <c r="DR64" s="459">
        <f t="shared" si="8"/>
        <v>659</v>
      </c>
      <c r="DS64" s="459"/>
      <c r="DT64" s="462">
        <v>659</v>
      </c>
      <c r="DU64" s="459"/>
      <c r="DV64" s="459"/>
      <c r="DW64" s="459">
        <f t="shared" si="11"/>
        <v>290.98200000000003</v>
      </c>
      <c r="DX64" s="459"/>
      <c r="DY64" s="459">
        <v>290.98200000000003</v>
      </c>
      <c r="DZ64" s="459"/>
      <c r="EA64" s="146"/>
      <c r="EB64" s="279"/>
      <c r="EC64" s="279"/>
      <c r="ED64" s="279"/>
      <c r="EE64" s="366"/>
      <c r="EF64" s="366"/>
      <c r="EG64" s="279"/>
      <c r="EH64" s="279"/>
      <c r="EI64" s="279"/>
      <c r="EJ64" s="366"/>
      <c r="EK64" s="366"/>
      <c r="EL64" s="366">
        <v>4.99E-2</v>
      </c>
      <c r="EM64" s="280"/>
      <c r="EN64" s="279"/>
      <c r="EO64" s="265" t="e">
        <f t="shared" si="294"/>
        <v>#DIV/0!</v>
      </c>
      <c r="EP64" s="323">
        <f t="shared" si="46"/>
        <v>949.98199999999997</v>
      </c>
      <c r="EQ64" s="323">
        <f t="shared" si="83"/>
        <v>659</v>
      </c>
      <c r="ER64" s="323">
        <v>290.98200000000003</v>
      </c>
      <c r="ES64" s="358">
        <f t="shared" si="296"/>
        <v>0.69369735426565982</v>
      </c>
      <c r="ET64" s="358">
        <f t="shared" si="297"/>
        <v>0.3063026457343403</v>
      </c>
      <c r="EU64" s="323">
        <f t="shared" si="49"/>
        <v>949.98199999999997</v>
      </c>
      <c r="EV64" s="323">
        <f t="shared" si="298"/>
        <v>659</v>
      </c>
      <c r="EW64" s="323">
        <f t="shared" si="299"/>
        <v>290.98200000000003</v>
      </c>
      <c r="EX64" s="358">
        <f t="shared" si="300"/>
        <v>0.69369735426565982</v>
      </c>
      <c r="EY64" s="358">
        <f t="shared" si="301"/>
        <v>0.3063026457343403</v>
      </c>
      <c r="EZ64" s="358">
        <v>0.1663</v>
      </c>
      <c r="FA64" s="323">
        <f t="shared" si="302"/>
        <v>659</v>
      </c>
      <c r="FB64" s="430">
        <f t="shared" si="51"/>
        <v>0</v>
      </c>
      <c r="FC64" s="279"/>
      <c r="FD64" s="279"/>
      <c r="FE64" s="279"/>
      <c r="FF64" s="366"/>
      <c r="FG64" s="366"/>
      <c r="FH64" s="279"/>
      <c r="FI64" s="279"/>
      <c r="FJ64" s="279"/>
      <c r="FK64" s="366"/>
      <c r="FL64" s="366"/>
      <c r="FM64" s="366">
        <v>0.1663</v>
      </c>
      <c r="FN64" s="280"/>
      <c r="FO64" s="279"/>
    </row>
    <row r="65" spans="2:171" s="40" customFormat="1" ht="15.75" customHeight="1" x14ac:dyDescent="0.25">
      <c r="B65" s="32"/>
      <c r="C65" s="33"/>
      <c r="D65" s="33">
        <v>1</v>
      </c>
      <c r="E65" s="434">
        <v>51</v>
      </c>
      <c r="F65" s="32"/>
      <c r="G65" s="33"/>
      <c r="H65" s="33">
        <v>1</v>
      </c>
      <c r="M65" s="434">
        <v>48</v>
      </c>
      <c r="N65" s="435" t="s">
        <v>168</v>
      </c>
      <c r="O65" s="435"/>
      <c r="P65" s="24">
        <f t="shared" si="29"/>
        <v>0</v>
      </c>
      <c r="Q65" s="435" t="s">
        <v>501</v>
      </c>
      <c r="R65" s="435" t="s">
        <v>488</v>
      </c>
      <c r="S65" s="435" t="s">
        <v>491</v>
      </c>
      <c r="T65" s="435" t="s">
        <v>488</v>
      </c>
      <c r="U65" s="161">
        <v>1</v>
      </c>
      <c r="V65" s="434"/>
      <c r="W65" s="459">
        <f t="shared" si="271"/>
        <v>2564.5</v>
      </c>
      <c r="X65" s="459"/>
      <c r="Y65" s="460">
        <v>2564.5</v>
      </c>
      <c r="Z65" s="459"/>
      <c r="AA65" s="461"/>
      <c r="AB65" s="459">
        <f t="shared" si="272"/>
        <v>8836.7999999999993</v>
      </c>
      <c r="AC65" s="459"/>
      <c r="AD65" s="460">
        <v>2336.8000000000002</v>
      </c>
      <c r="AE65" s="459">
        <v>6500</v>
      </c>
      <c r="AF65" s="461"/>
      <c r="AG65" s="459">
        <f t="shared" si="273"/>
        <v>2336.8000000000002</v>
      </c>
      <c r="AH65" s="459"/>
      <c r="AI65" s="460">
        <v>2336.8000000000002</v>
      </c>
      <c r="AJ65" s="459"/>
      <c r="AK65" s="461"/>
      <c r="AL65" s="459">
        <f t="shared" si="274"/>
        <v>1016</v>
      </c>
      <c r="AM65" s="459"/>
      <c r="AN65" s="460">
        <v>1016</v>
      </c>
      <c r="AO65" s="459"/>
      <c r="AP65" s="461"/>
      <c r="AQ65" s="383" t="s">
        <v>410</v>
      </c>
      <c r="AR65" s="459">
        <f t="shared" si="122"/>
        <v>2564.5</v>
      </c>
      <c r="AS65" s="459"/>
      <c r="AT65" s="462">
        <v>2564.5</v>
      </c>
      <c r="AU65" s="459"/>
      <c r="AV65" s="461"/>
      <c r="AW65" s="459" t="e">
        <f t="shared" si="275"/>
        <v>#REF!</v>
      </c>
      <c r="AX65" s="459" t="e">
        <f>#REF!-AS65</f>
        <v>#REF!</v>
      </c>
      <c r="AY65" s="459" t="e">
        <f>#REF!-AT65</f>
        <v>#REF!</v>
      </c>
      <c r="AZ65" s="459" t="e">
        <f>#REF!-AU65</f>
        <v>#REF!</v>
      </c>
      <c r="BA65" s="459" t="e">
        <f>#REF!-AV65</f>
        <v>#REF!</v>
      </c>
      <c r="BB65" s="459">
        <f t="shared" si="276"/>
        <v>8836.7999999999993</v>
      </c>
      <c r="BC65" s="459"/>
      <c r="BD65" s="460">
        <f>1016+1320.8</f>
        <v>2336.8000000000002</v>
      </c>
      <c r="BE65" s="459">
        <v>6500</v>
      </c>
      <c r="BF65" s="461"/>
      <c r="BG65" s="459">
        <f t="shared" si="277"/>
        <v>0</v>
      </c>
      <c r="BH65" s="459"/>
      <c r="BI65" s="460"/>
      <c r="BJ65" s="459"/>
      <c r="BK65" s="461"/>
      <c r="BL65" s="459">
        <f t="shared" si="278"/>
        <v>2564.5</v>
      </c>
      <c r="BM65" s="459"/>
      <c r="BN65" s="460">
        <f>1208.308+1356.192</f>
        <v>2564.5</v>
      </c>
      <c r="BO65" s="459"/>
      <c r="BP65" s="470"/>
      <c r="BQ65" s="459">
        <f t="shared" si="279"/>
        <v>2564.5</v>
      </c>
      <c r="BR65" s="459"/>
      <c r="BS65" s="460">
        <v>2564.5</v>
      </c>
      <c r="BT65" s="459"/>
      <c r="BU65" s="470"/>
      <c r="BV65" s="459">
        <f t="shared" si="280"/>
        <v>2095.7020000000002</v>
      </c>
      <c r="BW65" s="459"/>
      <c r="BX65" s="459">
        <f>987.426+1108.276</f>
        <v>2095.7020000000002</v>
      </c>
      <c r="BY65" s="459"/>
      <c r="BZ65" s="459"/>
      <c r="CA65" s="464">
        <f t="shared" si="281"/>
        <v>4660.2020000000002</v>
      </c>
      <c r="CB65" s="459">
        <f t="shared" si="282"/>
        <v>4660.2020000000002</v>
      </c>
      <c r="CC65" s="459">
        <f t="shared" si="283"/>
        <v>0</v>
      </c>
      <c r="CD65" s="459">
        <f t="shared" si="283"/>
        <v>4660.2020000000002</v>
      </c>
      <c r="CE65" s="459">
        <f t="shared" si="283"/>
        <v>0</v>
      </c>
      <c r="CF65" s="459">
        <f t="shared" si="283"/>
        <v>0</v>
      </c>
      <c r="CG65" s="459">
        <f t="shared" si="284"/>
        <v>0</v>
      </c>
      <c r="CH65" s="459">
        <f t="shared" si="285"/>
        <v>0</v>
      </c>
      <c r="CI65" s="459">
        <f t="shared" si="285"/>
        <v>0</v>
      </c>
      <c r="CJ65" s="459">
        <f t="shared" si="285"/>
        <v>0</v>
      </c>
      <c r="CK65" s="459">
        <f t="shared" si="285"/>
        <v>0</v>
      </c>
      <c r="CL65" s="465"/>
      <c r="CM65" s="466"/>
      <c r="CN65" s="466"/>
      <c r="CO65" s="459">
        <f t="shared" si="286"/>
        <v>0</v>
      </c>
      <c r="CP65" s="459"/>
      <c r="CQ65" s="460"/>
      <c r="CR65" s="459"/>
      <c r="CS65" s="461"/>
      <c r="CT65" s="459">
        <f t="shared" si="287"/>
        <v>0</v>
      </c>
      <c r="CU65" s="459"/>
      <c r="CV65" s="460"/>
      <c r="CW65" s="459"/>
      <c r="CX65" s="461"/>
      <c r="CY65" s="459">
        <f t="shared" si="288"/>
        <v>0</v>
      </c>
      <c r="CZ65" s="459">
        <f t="shared" si="295"/>
        <v>0</v>
      </c>
      <c r="DA65" s="459">
        <f t="shared" si="295"/>
        <v>0</v>
      </c>
      <c r="DB65" s="459">
        <f t="shared" si="295"/>
        <v>0</v>
      </c>
      <c r="DC65" s="459">
        <f t="shared" si="295"/>
        <v>0</v>
      </c>
      <c r="DD65" s="459"/>
      <c r="DE65" s="459"/>
      <c r="DF65" s="459"/>
      <c r="DG65" s="459">
        <f t="shared" si="289"/>
        <v>0</v>
      </c>
      <c r="DH65" s="467"/>
      <c r="DI65" s="459">
        <f t="shared" si="290"/>
        <v>2564.5</v>
      </c>
      <c r="DJ65" s="459">
        <f t="shared" si="291"/>
        <v>2564.5</v>
      </c>
      <c r="DK65" s="467"/>
      <c r="DL65" s="459"/>
      <c r="DM65" s="459"/>
      <c r="DN65" s="467"/>
      <c r="DO65" s="459"/>
      <c r="DP65" s="467"/>
      <c r="DQ65" s="467"/>
      <c r="DR65" s="459">
        <f t="shared" si="8"/>
        <v>2564.5</v>
      </c>
      <c r="DS65" s="459"/>
      <c r="DT65" s="460">
        <v>2564.5</v>
      </c>
      <c r="DU65" s="459"/>
      <c r="DV65" s="470"/>
      <c r="DW65" s="459">
        <f t="shared" si="11"/>
        <v>2095.7020000000002</v>
      </c>
      <c r="DX65" s="459"/>
      <c r="DY65" s="459">
        <v>2095.7020000000002</v>
      </c>
      <c r="DZ65" s="459"/>
      <c r="EA65" s="146"/>
      <c r="EB65" s="279"/>
      <c r="EC65" s="279"/>
      <c r="ED65" s="279"/>
      <c r="EE65" s="366"/>
      <c r="EF65" s="366"/>
      <c r="EG65" s="279"/>
      <c r="EH65" s="279"/>
      <c r="EI65" s="279"/>
      <c r="EJ65" s="366"/>
      <c r="EK65" s="366"/>
      <c r="EL65" s="366">
        <v>2.9700000000000001E-2</v>
      </c>
      <c r="EM65" s="280"/>
      <c r="EN65" s="279"/>
      <c r="EO65" s="265" t="e">
        <f t="shared" si="294"/>
        <v>#DIV/0!</v>
      </c>
      <c r="EP65" s="323">
        <f t="shared" si="46"/>
        <v>4660.2020000000002</v>
      </c>
      <c r="EQ65" s="323">
        <f t="shared" si="83"/>
        <v>2564.5</v>
      </c>
      <c r="ER65" s="323">
        <v>2095.7020000000002</v>
      </c>
      <c r="ES65" s="358">
        <f t="shared" si="296"/>
        <v>0.55029803429121738</v>
      </c>
      <c r="ET65" s="358">
        <f t="shared" si="297"/>
        <v>0.44970196570878262</v>
      </c>
      <c r="EU65" s="323">
        <f t="shared" si="49"/>
        <v>4660.2020000000002</v>
      </c>
      <c r="EV65" s="323">
        <f t="shared" si="298"/>
        <v>2564.5</v>
      </c>
      <c r="EW65" s="323">
        <f t="shared" si="299"/>
        <v>2095.7020000000002</v>
      </c>
      <c r="EX65" s="358">
        <f t="shared" si="300"/>
        <v>0.55029803429121738</v>
      </c>
      <c r="EY65" s="358">
        <f t="shared" si="301"/>
        <v>0.44970196570878262</v>
      </c>
      <c r="EZ65" s="358">
        <v>9.9099999999999994E-2</v>
      </c>
      <c r="FA65" s="323">
        <f t="shared" si="302"/>
        <v>2564.5</v>
      </c>
      <c r="FB65" s="323">
        <f t="shared" si="51"/>
        <v>0</v>
      </c>
      <c r="FC65" s="279"/>
      <c r="FD65" s="279"/>
      <c r="FE65" s="279"/>
      <c r="FF65" s="366"/>
      <c r="FG65" s="366"/>
      <c r="FH65" s="279"/>
      <c r="FI65" s="279"/>
      <c r="FJ65" s="279"/>
      <c r="FK65" s="366"/>
      <c r="FL65" s="366"/>
      <c r="FM65" s="366">
        <v>9.9099999999999994E-2</v>
      </c>
      <c r="FN65" s="280"/>
      <c r="FO65" s="279"/>
    </row>
    <row r="66" spans="2:171" s="40" customFormat="1" ht="15.6" customHeight="1" x14ac:dyDescent="0.25">
      <c r="B66" s="32"/>
      <c r="C66" s="33">
        <v>1</v>
      </c>
      <c r="D66" s="33"/>
      <c r="E66" s="434">
        <v>52</v>
      </c>
      <c r="F66" s="32"/>
      <c r="G66" s="33">
        <v>1</v>
      </c>
      <c r="H66" s="33">
        <v>1</v>
      </c>
      <c r="M66" s="434">
        <v>49</v>
      </c>
      <c r="N66" s="435" t="s">
        <v>39</v>
      </c>
      <c r="O66" s="435"/>
      <c r="P66" s="24">
        <f t="shared" si="29"/>
        <v>0</v>
      </c>
      <c r="Q66" s="435"/>
      <c r="R66" s="435"/>
      <c r="S66" s="435"/>
      <c r="T66" s="435"/>
      <c r="U66" s="161">
        <v>1</v>
      </c>
      <c r="V66" s="434">
        <v>1</v>
      </c>
      <c r="W66" s="459">
        <f t="shared" si="271"/>
        <v>374.5</v>
      </c>
      <c r="X66" s="459"/>
      <c r="Y66" s="460">
        <v>374.5</v>
      </c>
      <c r="Z66" s="459"/>
      <c r="AA66" s="461"/>
      <c r="AB66" s="459">
        <f t="shared" si="272"/>
        <v>82.8</v>
      </c>
      <c r="AC66" s="459"/>
      <c r="AD66" s="460">
        <v>82.8</v>
      </c>
      <c r="AE66" s="459"/>
      <c r="AF66" s="461"/>
      <c r="AG66" s="459">
        <f t="shared" si="273"/>
        <v>82.8</v>
      </c>
      <c r="AH66" s="459"/>
      <c r="AI66" s="460">
        <v>82.8</v>
      </c>
      <c r="AJ66" s="459"/>
      <c r="AK66" s="461"/>
      <c r="AL66" s="459">
        <f t="shared" si="274"/>
        <v>36</v>
      </c>
      <c r="AM66" s="459"/>
      <c r="AN66" s="460">
        <v>36</v>
      </c>
      <c r="AO66" s="459"/>
      <c r="AP66" s="461"/>
      <c r="AQ66" s="383" t="s">
        <v>459</v>
      </c>
      <c r="AR66" s="459">
        <f t="shared" si="122"/>
        <v>374.5</v>
      </c>
      <c r="AS66" s="459"/>
      <c r="AT66" s="462">
        <v>374.5</v>
      </c>
      <c r="AU66" s="459"/>
      <c r="AV66" s="461"/>
      <c r="AW66" s="459" t="e">
        <f t="shared" si="275"/>
        <v>#REF!</v>
      </c>
      <c r="AX66" s="459" t="e">
        <f>#REF!-AS66</f>
        <v>#REF!</v>
      </c>
      <c r="AY66" s="459" t="e">
        <f>#REF!-AT66</f>
        <v>#REF!</v>
      </c>
      <c r="AZ66" s="459" t="e">
        <f>#REF!-AU66</f>
        <v>#REF!</v>
      </c>
      <c r="BA66" s="459" t="e">
        <f>#REF!-AV66</f>
        <v>#REF!</v>
      </c>
      <c r="BB66" s="459">
        <f t="shared" si="276"/>
        <v>382.8</v>
      </c>
      <c r="BC66" s="459"/>
      <c r="BD66" s="460">
        <f>36+46.8+300</f>
        <v>382.8</v>
      </c>
      <c r="BE66" s="459"/>
      <c r="BF66" s="461"/>
      <c r="BG66" s="459">
        <f t="shared" si="277"/>
        <v>0</v>
      </c>
      <c r="BH66" s="459"/>
      <c r="BI66" s="460"/>
      <c r="BJ66" s="459"/>
      <c r="BK66" s="461"/>
      <c r="BL66" s="459">
        <f t="shared" si="278"/>
        <v>374.5</v>
      </c>
      <c r="BM66" s="459"/>
      <c r="BN66" s="460">
        <v>374.5</v>
      </c>
      <c r="BO66" s="459"/>
      <c r="BP66" s="470"/>
      <c r="BQ66" s="459">
        <f t="shared" si="279"/>
        <v>374.5</v>
      </c>
      <c r="BR66" s="459"/>
      <c r="BS66" s="460">
        <v>374.5</v>
      </c>
      <c r="BT66" s="459"/>
      <c r="BU66" s="470"/>
      <c r="BV66" s="459">
        <f t="shared" si="280"/>
        <v>98.253640000000004</v>
      </c>
      <c r="BW66" s="459"/>
      <c r="BX66" s="459">
        <v>98.253640000000004</v>
      </c>
      <c r="BY66" s="459"/>
      <c r="BZ66" s="459"/>
      <c r="CA66" s="464">
        <f t="shared" si="281"/>
        <v>472.75364000000002</v>
      </c>
      <c r="CB66" s="459">
        <f t="shared" si="282"/>
        <v>472.75364000000002</v>
      </c>
      <c r="CC66" s="459">
        <f t="shared" si="283"/>
        <v>0</v>
      </c>
      <c r="CD66" s="459">
        <f t="shared" si="283"/>
        <v>472.75364000000002</v>
      </c>
      <c r="CE66" s="459">
        <f t="shared" si="283"/>
        <v>0</v>
      </c>
      <c r="CF66" s="459">
        <f t="shared" si="283"/>
        <v>0</v>
      </c>
      <c r="CG66" s="459">
        <f t="shared" si="284"/>
        <v>0</v>
      </c>
      <c r="CH66" s="459">
        <f t="shared" si="285"/>
        <v>0</v>
      </c>
      <c r="CI66" s="459">
        <f t="shared" si="285"/>
        <v>0</v>
      </c>
      <c r="CJ66" s="459">
        <f t="shared" si="285"/>
        <v>0</v>
      </c>
      <c r="CK66" s="459">
        <f t="shared" si="285"/>
        <v>0</v>
      </c>
      <c r="CL66" s="465"/>
      <c r="CM66" s="466"/>
      <c r="CN66" s="466"/>
      <c r="CO66" s="459">
        <f t="shared" si="286"/>
        <v>0</v>
      </c>
      <c r="CP66" s="459"/>
      <c r="CQ66" s="460"/>
      <c r="CR66" s="459"/>
      <c r="CS66" s="461"/>
      <c r="CT66" s="459">
        <f t="shared" si="287"/>
        <v>0</v>
      </c>
      <c r="CU66" s="459"/>
      <c r="CV66" s="460"/>
      <c r="CW66" s="459"/>
      <c r="CX66" s="461"/>
      <c r="CY66" s="459">
        <f t="shared" si="288"/>
        <v>0</v>
      </c>
      <c r="CZ66" s="459">
        <f t="shared" si="295"/>
        <v>0</v>
      </c>
      <c r="DA66" s="459">
        <f t="shared" si="295"/>
        <v>0</v>
      </c>
      <c r="DB66" s="459">
        <f t="shared" si="295"/>
        <v>0</v>
      </c>
      <c r="DC66" s="459">
        <f t="shared" si="295"/>
        <v>0</v>
      </c>
      <c r="DD66" s="459"/>
      <c r="DE66" s="459"/>
      <c r="DF66" s="459"/>
      <c r="DG66" s="459">
        <f t="shared" si="289"/>
        <v>0</v>
      </c>
      <c r="DH66" s="467"/>
      <c r="DI66" s="459">
        <f t="shared" si="290"/>
        <v>374.5</v>
      </c>
      <c r="DJ66" s="459">
        <f t="shared" si="291"/>
        <v>374.5</v>
      </c>
      <c r="DK66" s="467"/>
      <c r="DL66" s="459"/>
      <c r="DM66" s="459"/>
      <c r="DN66" s="467"/>
      <c r="DO66" s="459"/>
      <c r="DP66" s="467"/>
      <c r="DQ66" s="467"/>
      <c r="DR66" s="459">
        <f t="shared" si="8"/>
        <v>374.5</v>
      </c>
      <c r="DS66" s="459"/>
      <c r="DT66" s="460">
        <v>374.5</v>
      </c>
      <c r="DU66" s="459"/>
      <c r="DV66" s="470"/>
      <c r="DW66" s="459">
        <f t="shared" si="11"/>
        <v>98.253640000000004</v>
      </c>
      <c r="DX66" s="459"/>
      <c r="DY66" s="459">
        <v>98.253640000000004</v>
      </c>
      <c r="DZ66" s="459"/>
      <c r="EA66" s="146"/>
      <c r="EB66" s="279"/>
      <c r="EC66" s="279"/>
      <c r="ED66" s="279"/>
      <c r="EE66" s="366"/>
      <c r="EF66" s="366"/>
      <c r="EG66" s="279"/>
      <c r="EH66" s="279"/>
      <c r="EI66" s="279"/>
      <c r="EJ66" s="366"/>
      <c r="EK66" s="366"/>
      <c r="EL66" s="366">
        <v>4.07E-2</v>
      </c>
      <c r="EM66" s="280"/>
      <c r="EN66" s="279"/>
      <c r="EO66" s="265" t="e">
        <f t="shared" si="294"/>
        <v>#DIV/0!</v>
      </c>
      <c r="EP66" s="323">
        <f t="shared" si="46"/>
        <v>472.75364000000002</v>
      </c>
      <c r="EQ66" s="323">
        <f t="shared" si="83"/>
        <v>374.5</v>
      </c>
      <c r="ER66" s="323">
        <v>98.253640000000004</v>
      </c>
      <c r="ES66" s="358">
        <f t="shared" si="296"/>
        <v>0.79216735380398129</v>
      </c>
      <c r="ET66" s="358">
        <f t="shared" si="297"/>
        <v>0.20783264619601871</v>
      </c>
      <c r="EU66" s="323">
        <f t="shared" si="49"/>
        <v>472.75364000000002</v>
      </c>
      <c r="EV66" s="323">
        <f t="shared" si="298"/>
        <v>374.5</v>
      </c>
      <c r="EW66" s="323">
        <f t="shared" si="299"/>
        <v>98.253640000000004</v>
      </c>
      <c r="EX66" s="358">
        <f t="shared" si="300"/>
        <v>0.79216735380398129</v>
      </c>
      <c r="EY66" s="358">
        <f t="shared" si="301"/>
        <v>0.20783264619601871</v>
      </c>
      <c r="EZ66" s="358">
        <v>0.13550000000000001</v>
      </c>
      <c r="FA66" s="323">
        <f t="shared" si="302"/>
        <v>374.5</v>
      </c>
      <c r="FB66" s="323">
        <f t="shared" si="51"/>
        <v>0</v>
      </c>
      <c r="FC66" s="279">
        <f t="shared" si="308"/>
        <v>0</v>
      </c>
      <c r="FD66" s="279">
        <f t="shared" si="53"/>
        <v>0</v>
      </c>
      <c r="FE66" s="279"/>
      <c r="FF66" s="366" t="e">
        <f t="shared" si="309"/>
        <v>#DIV/0!</v>
      </c>
      <c r="FG66" s="366" t="e">
        <f t="shared" si="310"/>
        <v>#DIV/0!</v>
      </c>
      <c r="FH66" s="279">
        <f t="shared" si="55"/>
        <v>0</v>
      </c>
      <c r="FI66" s="279">
        <f t="shared" si="151"/>
        <v>0</v>
      </c>
      <c r="FJ66" s="279">
        <f t="shared" si="152"/>
        <v>0</v>
      </c>
      <c r="FK66" s="366" t="e">
        <f t="shared" si="311"/>
        <v>#DIV/0!</v>
      </c>
      <c r="FL66" s="366" t="e">
        <f t="shared" si="312"/>
        <v>#DIV/0!</v>
      </c>
      <c r="FM66" s="366">
        <v>0.13550000000000001</v>
      </c>
      <c r="FN66" s="280" t="e">
        <f t="shared" si="230"/>
        <v>#DIV/0!</v>
      </c>
      <c r="FO66" s="279" t="e">
        <f t="shared" si="57"/>
        <v>#DIV/0!</v>
      </c>
    </row>
    <row r="67" spans="2:171" s="40" customFormat="1" ht="15.75" customHeight="1" x14ac:dyDescent="0.25">
      <c r="B67" s="32"/>
      <c r="C67" s="33"/>
      <c r="D67" s="33">
        <v>1</v>
      </c>
      <c r="E67" s="434">
        <v>53</v>
      </c>
      <c r="F67" s="32"/>
      <c r="G67" s="33"/>
      <c r="H67" s="33">
        <v>1</v>
      </c>
      <c r="M67" s="434">
        <v>50</v>
      </c>
      <c r="N67" s="435" t="s">
        <v>205</v>
      </c>
      <c r="O67" s="435"/>
      <c r="P67" s="24">
        <f t="shared" si="29"/>
        <v>0</v>
      </c>
      <c r="Q67" s="435"/>
      <c r="R67" s="435"/>
      <c r="S67" s="435"/>
      <c r="T67" s="435"/>
      <c r="U67" s="161"/>
      <c r="V67" s="434"/>
      <c r="W67" s="459">
        <f t="shared" si="271"/>
        <v>0</v>
      </c>
      <c r="X67" s="459"/>
      <c r="Y67" s="460"/>
      <c r="Z67" s="459"/>
      <c r="AA67" s="472"/>
      <c r="AB67" s="459">
        <f t="shared" si="272"/>
        <v>0</v>
      </c>
      <c r="AC67" s="459"/>
      <c r="AD67" s="460">
        <v>0</v>
      </c>
      <c r="AE67" s="459"/>
      <c r="AF67" s="472"/>
      <c r="AG67" s="459">
        <f t="shared" si="273"/>
        <v>0</v>
      </c>
      <c r="AH67" s="459"/>
      <c r="AI67" s="460">
        <v>0</v>
      </c>
      <c r="AJ67" s="459"/>
      <c r="AK67" s="472"/>
      <c r="AL67" s="459">
        <f t="shared" si="274"/>
        <v>0</v>
      </c>
      <c r="AM67" s="459"/>
      <c r="AN67" s="460">
        <v>0</v>
      </c>
      <c r="AO67" s="459"/>
      <c r="AP67" s="472"/>
      <c r="AQ67" s="398"/>
      <c r="AR67" s="459">
        <f t="shared" si="122"/>
        <v>0</v>
      </c>
      <c r="AS67" s="459"/>
      <c r="AT67" s="469"/>
      <c r="AU67" s="459"/>
      <c r="AV67" s="459"/>
      <c r="AW67" s="459" t="e">
        <f t="shared" si="275"/>
        <v>#REF!</v>
      </c>
      <c r="AX67" s="459" t="e">
        <f>#REF!-AS67</f>
        <v>#REF!</v>
      </c>
      <c r="AY67" s="459" t="e">
        <f>#REF!-AT67</f>
        <v>#REF!</v>
      </c>
      <c r="AZ67" s="459" t="e">
        <f>#REF!-AU67</f>
        <v>#REF!</v>
      </c>
      <c r="BA67" s="459" t="e">
        <f>#REF!-AV67</f>
        <v>#REF!</v>
      </c>
      <c r="BB67" s="459">
        <f t="shared" si="276"/>
        <v>0</v>
      </c>
      <c r="BC67" s="459"/>
      <c r="BD67" s="459"/>
      <c r="BE67" s="459"/>
      <c r="BF67" s="459"/>
      <c r="BG67" s="459">
        <f t="shared" si="277"/>
        <v>0</v>
      </c>
      <c r="BH67" s="459"/>
      <c r="BI67" s="459"/>
      <c r="BJ67" s="459"/>
      <c r="BK67" s="459"/>
      <c r="BL67" s="459">
        <f t="shared" si="278"/>
        <v>0</v>
      </c>
      <c r="BM67" s="459"/>
      <c r="BN67" s="459"/>
      <c r="BO67" s="459"/>
      <c r="BP67" s="459"/>
      <c r="BQ67" s="459">
        <f t="shared" si="279"/>
        <v>0</v>
      </c>
      <c r="BR67" s="459"/>
      <c r="BS67" s="459"/>
      <c r="BT67" s="459"/>
      <c r="BU67" s="459"/>
      <c r="BV67" s="459">
        <f t="shared" si="280"/>
        <v>0</v>
      </c>
      <c r="BW67" s="459"/>
      <c r="BX67" s="459"/>
      <c r="BY67" s="459"/>
      <c r="BZ67" s="459"/>
      <c r="CA67" s="464">
        <f t="shared" si="281"/>
        <v>0</v>
      </c>
      <c r="CB67" s="459">
        <f t="shared" si="282"/>
        <v>0</v>
      </c>
      <c r="CC67" s="459">
        <f t="shared" si="283"/>
        <v>0</v>
      </c>
      <c r="CD67" s="459">
        <f t="shared" si="283"/>
        <v>0</v>
      </c>
      <c r="CE67" s="459">
        <f t="shared" si="283"/>
        <v>0</v>
      </c>
      <c r="CF67" s="459">
        <f t="shared" si="283"/>
        <v>0</v>
      </c>
      <c r="CG67" s="459">
        <f t="shared" si="284"/>
        <v>0</v>
      </c>
      <c r="CH67" s="459">
        <f t="shared" si="285"/>
        <v>0</v>
      </c>
      <c r="CI67" s="459">
        <f t="shared" si="285"/>
        <v>0</v>
      </c>
      <c r="CJ67" s="459">
        <f t="shared" si="285"/>
        <v>0</v>
      </c>
      <c r="CK67" s="459">
        <f t="shared" si="285"/>
        <v>0</v>
      </c>
      <c r="CL67" s="465"/>
      <c r="CM67" s="466"/>
      <c r="CN67" s="466"/>
      <c r="CO67" s="459">
        <f t="shared" si="286"/>
        <v>0</v>
      </c>
      <c r="CP67" s="459"/>
      <c r="CQ67" s="459"/>
      <c r="CR67" s="459"/>
      <c r="CS67" s="459"/>
      <c r="CT67" s="459">
        <f t="shared" si="287"/>
        <v>0</v>
      </c>
      <c r="CU67" s="459"/>
      <c r="CV67" s="459"/>
      <c r="CW67" s="459"/>
      <c r="CX67" s="459"/>
      <c r="CY67" s="459">
        <f t="shared" si="288"/>
        <v>0</v>
      </c>
      <c r="CZ67" s="459">
        <f t="shared" si="295"/>
        <v>0</v>
      </c>
      <c r="DA67" s="459">
        <f t="shared" si="295"/>
        <v>0</v>
      </c>
      <c r="DB67" s="459">
        <f t="shared" si="295"/>
        <v>0</v>
      </c>
      <c r="DC67" s="459">
        <f t="shared" si="295"/>
        <v>0</v>
      </c>
      <c r="DD67" s="459"/>
      <c r="DE67" s="459"/>
      <c r="DF67" s="459"/>
      <c r="DG67" s="459">
        <f t="shared" si="289"/>
        <v>0</v>
      </c>
      <c r="DH67" s="467"/>
      <c r="DI67" s="459">
        <f t="shared" si="290"/>
        <v>0</v>
      </c>
      <c r="DJ67" s="459">
        <f t="shared" si="291"/>
        <v>0</v>
      </c>
      <c r="DK67" s="467"/>
      <c r="DL67" s="459"/>
      <c r="DM67" s="459"/>
      <c r="DN67" s="467"/>
      <c r="DO67" s="459"/>
      <c r="DP67" s="467"/>
      <c r="DQ67" s="467"/>
      <c r="DR67" s="459">
        <f t="shared" si="8"/>
        <v>0</v>
      </c>
      <c r="DS67" s="459"/>
      <c r="DT67" s="459"/>
      <c r="DU67" s="459"/>
      <c r="DV67" s="459"/>
      <c r="DW67" s="459">
        <f t="shared" si="11"/>
        <v>0</v>
      </c>
      <c r="DX67" s="459"/>
      <c r="DY67" s="459"/>
      <c r="DZ67" s="459"/>
      <c r="EA67" s="146"/>
      <c r="EB67" s="279"/>
      <c r="EC67" s="279"/>
      <c r="ED67" s="279"/>
      <c r="EE67" s="366"/>
      <c r="EF67" s="366"/>
      <c r="EG67" s="279"/>
      <c r="EH67" s="279"/>
      <c r="EI67" s="279"/>
      <c r="EJ67" s="366"/>
      <c r="EK67" s="366"/>
      <c r="EL67" s="366">
        <v>2.9600000000000001E-2</v>
      </c>
      <c r="EM67" s="280"/>
      <c r="EN67" s="279"/>
      <c r="EO67" s="265" t="e">
        <f t="shared" si="294"/>
        <v>#DIV/0!</v>
      </c>
      <c r="EP67" s="323"/>
      <c r="EQ67" s="323"/>
      <c r="ER67" s="323"/>
      <c r="ES67" s="358"/>
      <c r="ET67" s="358"/>
      <c r="EU67" s="323"/>
      <c r="EV67" s="323"/>
      <c r="EW67" s="323"/>
      <c r="EX67" s="358"/>
      <c r="EY67" s="358"/>
      <c r="EZ67" s="358">
        <v>9.8699999999999996E-2</v>
      </c>
      <c r="FA67" s="323"/>
      <c r="FB67" s="323">
        <f t="shared" si="51"/>
        <v>0</v>
      </c>
      <c r="FC67" s="279"/>
      <c r="FD67" s="279"/>
      <c r="FE67" s="279"/>
      <c r="FF67" s="366"/>
      <c r="FG67" s="366"/>
      <c r="FH67" s="279"/>
      <c r="FI67" s="279"/>
      <c r="FJ67" s="279"/>
      <c r="FK67" s="366"/>
      <c r="FL67" s="366"/>
      <c r="FM67" s="366">
        <v>9.8699999999999996E-2</v>
      </c>
      <c r="FN67" s="280"/>
      <c r="FO67" s="279"/>
    </row>
    <row r="68" spans="2:171" s="40" customFormat="1" ht="15.6" customHeight="1" x14ac:dyDescent="0.25">
      <c r="B68" s="32"/>
      <c r="C68" s="33"/>
      <c r="D68" s="33">
        <v>1</v>
      </c>
      <c r="E68" s="434">
        <v>54</v>
      </c>
      <c r="F68" s="32"/>
      <c r="G68" s="33"/>
      <c r="H68" s="33"/>
      <c r="M68" s="434">
        <v>51</v>
      </c>
      <c r="N68" s="435" t="s">
        <v>206</v>
      </c>
      <c r="O68" s="435"/>
      <c r="P68" s="24">
        <f t="shared" si="29"/>
        <v>0</v>
      </c>
      <c r="Q68" s="435"/>
      <c r="R68" s="435"/>
      <c r="S68" s="435"/>
      <c r="T68" s="435"/>
      <c r="U68" s="161"/>
      <c r="V68" s="434"/>
      <c r="W68" s="459">
        <f t="shared" si="271"/>
        <v>0</v>
      </c>
      <c r="X68" s="459"/>
      <c r="Y68" s="460">
        <f>732.7-732.7</f>
        <v>0</v>
      </c>
      <c r="Z68" s="459"/>
      <c r="AA68" s="472"/>
      <c r="AB68" s="459">
        <f t="shared" si="272"/>
        <v>740.6</v>
      </c>
      <c r="AC68" s="459"/>
      <c r="AD68" s="460">
        <v>740.6</v>
      </c>
      <c r="AE68" s="459"/>
      <c r="AF68" s="472"/>
      <c r="AG68" s="459">
        <f t="shared" si="273"/>
        <v>740.6</v>
      </c>
      <c r="AH68" s="459"/>
      <c r="AI68" s="460">
        <v>740.6</v>
      </c>
      <c r="AJ68" s="459"/>
      <c r="AK68" s="472"/>
      <c r="AL68" s="459">
        <f t="shared" si="274"/>
        <v>322</v>
      </c>
      <c r="AM68" s="459"/>
      <c r="AN68" s="460">
        <v>322</v>
      </c>
      <c r="AO68" s="459"/>
      <c r="AP68" s="472"/>
      <c r="AQ68" s="398"/>
      <c r="AR68" s="459">
        <f t="shared" si="122"/>
        <v>0</v>
      </c>
      <c r="AS68" s="459"/>
      <c r="AT68" s="469"/>
      <c r="AU68" s="459"/>
      <c r="AV68" s="459"/>
      <c r="AW68" s="459" t="e">
        <f t="shared" si="275"/>
        <v>#REF!</v>
      </c>
      <c r="AX68" s="459" t="e">
        <f>#REF!-AS68</f>
        <v>#REF!</v>
      </c>
      <c r="AY68" s="459" t="e">
        <f>#REF!-AT68</f>
        <v>#REF!</v>
      </c>
      <c r="AZ68" s="459" t="e">
        <f>#REF!-AU68</f>
        <v>#REF!</v>
      </c>
      <c r="BA68" s="459" t="e">
        <f>#REF!-AV68</f>
        <v>#REF!</v>
      </c>
      <c r="BB68" s="459">
        <f t="shared" si="276"/>
        <v>0</v>
      </c>
      <c r="BC68" s="459"/>
      <c r="BD68" s="459"/>
      <c r="BE68" s="459"/>
      <c r="BF68" s="459"/>
      <c r="BG68" s="459">
        <f t="shared" si="277"/>
        <v>0</v>
      </c>
      <c r="BH68" s="459"/>
      <c r="BI68" s="459"/>
      <c r="BJ68" s="459"/>
      <c r="BK68" s="459"/>
      <c r="BL68" s="459">
        <f t="shared" si="278"/>
        <v>0</v>
      </c>
      <c r="BM68" s="459"/>
      <c r="BN68" s="459"/>
      <c r="BO68" s="459"/>
      <c r="BP68" s="459"/>
      <c r="BQ68" s="459">
        <f t="shared" si="279"/>
        <v>0</v>
      </c>
      <c r="BR68" s="459"/>
      <c r="BS68" s="459"/>
      <c r="BT68" s="459"/>
      <c r="BU68" s="459"/>
      <c r="BV68" s="459">
        <f t="shared" si="280"/>
        <v>0</v>
      </c>
      <c r="BW68" s="459"/>
      <c r="BX68" s="459"/>
      <c r="BY68" s="459"/>
      <c r="BZ68" s="459"/>
      <c r="CA68" s="464">
        <f t="shared" si="281"/>
        <v>0</v>
      </c>
      <c r="CB68" s="459">
        <f t="shared" si="282"/>
        <v>0</v>
      </c>
      <c r="CC68" s="459">
        <f t="shared" si="283"/>
        <v>0</v>
      </c>
      <c r="CD68" s="459">
        <f t="shared" si="283"/>
        <v>0</v>
      </c>
      <c r="CE68" s="459">
        <f t="shared" si="283"/>
        <v>0</v>
      </c>
      <c r="CF68" s="459">
        <f t="shared" si="283"/>
        <v>0</v>
      </c>
      <c r="CG68" s="459">
        <f t="shared" si="284"/>
        <v>0</v>
      </c>
      <c r="CH68" s="459">
        <f t="shared" si="285"/>
        <v>0</v>
      </c>
      <c r="CI68" s="459">
        <f t="shared" si="285"/>
        <v>0</v>
      </c>
      <c r="CJ68" s="459">
        <f t="shared" si="285"/>
        <v>0</v>
      </c>
      <c r="CK68" s="459">
        <f t="shared" si="285"/>
        <v>0</v>
      </c>
      <c r="CL68" s="465"/>
      <c r="CM68" s="466"/>
      <c r="CN68" s="466"/>
      <c r="CO68" s="459">
        <f t="shared" si="286"/>
        <v>0</v>
      </c>
      <c r="CP68" s="459"/>
      <c r="CQ68" s="459"/>
      <c r="CR68" s="459"/>
      <c r="CS68" s="459"/>
      <c r="CT68" s="459">
        <f t="shared" si="287"/>
        <v>0</v>
      </c>
      <c r="CU68" s="459"/>
      <c r="CV68" s="459"/>
      <c r="CW68" s="459"/>
      <c r="CX68" s="459"/>
      <c r="CY68" s="459">
        <f t="shared" si="288"/>
        <v>0</v>
      </c>
      <c r="CZ68" s="459">
        <f t="shared" si="295"/>
        <v>0</v>
      </c>
      <c r="DA68" s="459">
        <f t="shared" si="295"/>
        <v>0</v>
      </c>
      <c r="DB68" s="459">
        <f t="shared" si="295"/>
        <v>0</v>
      </c>
      <c r="DC68" s="459">
        <f t="shared" si="295"/>
        <v>0</v>
      </c>
      <c r="DD68" s="459"/>
      <c r="DE68" s="459"/>
      <c r="DF68" s="459"/>
      <c r="DG68" s="459">
        <f t="shared" si="289"/>
        <v>0</v>
      </c>
      <c r="DH68" s="467"/>
      <c r="DI68" s="459">
        <f t="shared" si="290"/>
        <v>0</v>
      </c>
      <c r="DJ68" s="459">
        <f t="shared" si="291"/>
        <v>0</v>
      </c>
      <c r="DK68" s="467"/>
      <c r="DL68" s="459"/>
      <c r="DM68" s="459"/>
      <c r="DN68" s="467"/>
      <c r="DO68" s="459"/>
      <c r="DP68" s="467"/>
      <c r="DQ68" s="467"/>
      <c r="DR68" s="459">
        <f t="shared" si="8"/>
        <v>0</v>
      </c>
      <c r="DS68" s="459"/>
      <c r="DT68" s="459"/>
      <c r="DU68" s="459"/>
      <c r="DV68" s="459"/>
      <c r="DW68" s="459">
        <f t="shared" si="11"/>
        <v>0</v>
      </c>
      <c r="DX68" s="459"/>
      <c r="DY68" s="459"/>
      <c r="DZ68" s="459"/>
      <c r="EA68" s="146"/>
      <c r="EB68" s="279"/>
      <c r="EC68" s="279"/>
      <c r="ED68" s="279"/>
      <c r="EE68" s="366"/>
      <c r="EF68" s="366"/>
      <c r="EG68" s="279"/>
      <c r="EH68" s="279"/>
      <c r="EI68" s="279"/>
      <c r="EJ68" s="366"/>
      <c r="EK68" s="366"/>
      <c r="EL68" s="366">
        <v>2.8000000000000001E-2</v>
      </c>
      <c r="EM68" s="280"/>
      <c r="EN68" s="279"/>
      <c r="EO68" s="265" t="e">
        <f t="shared" si="294"/>
        <v>#DIV/0!</v>
      </c>
      <c r="EP68" s="323"/>
      <c r="EQ68" s="323"/>
      <c r="ER68" s="323"/>
      <c r="ES68" s="358"/>
      <c r="ET68" s="358"/>
      <c r="EU68" s="323"/>
      <c r="EV68" s="323"/>
      <c r="EW68" s="323"/>
      <c r="EX68" s="358"/>
      <c r="EY68" s="358"/>
      <c r="EZ68" s="358">
        <v>9.3399999999999997E-2</v>
      </c>
      <c r="FA68" s="323"/>
      <c r="FB68" s="323">
        <f t="shared" si="51"/>
        <v>0</v>
      </c>
      <c r="FC68" s="279"/>
      <c r="FD68" s="279"/>
      <c r="FE68" s="279"/>
      <c r="FF68" s="366"/>
      <c r="FG68" s="366"/>
      <c r="FH68" s="279"/>
      <c r="FI68" s="279"/>
      <c r="FJ68" s="279"/>
      <c r="FK68" s="366"/>
      <c r="FL68" s="366"/>
      <c r="FM68" s="366">
        <v>9.3399999999999997E-2</v>
      </c>
      <c r="FN68" s="280"/>
      <c r="FO68" s="279"/>
    </row>
    <row r="69" spans="2:171" s="40" customFormat="1" ht="15.6" customHeight="1" x14ac:dyDescent="0.25">
      <c r="B69" s="32"/>
      <c r="C69" s="33">
        <v>1</v>
      </c>
      <c r="D69" s="33"/>
      <c r="E69" s="434">
        <v>55</v>
      </c>
      <c r="F69" s="32"/>
      <c r="G69" s="33">
        <v>1</v>
      </c>
      <c r="H69" s="33">
        <v>1</v>
      </c>
      <c r="I69" s="434"/>
      <c r="J69" s="435"/>
      <c r="K69" s="435"/>
      <c r="L69" s="53"/>
      <c r="M69" s="434">
        <v>52</v>
      </c>
      <c r="N69" s="435" t="s">
        <v>178</v>
      </c>
      <c r="O69" s="435"/>
      <c r="P69" s="24">
        <f t="shared" si="29"/>
        <v>0</v>
      </c>
      <c r="Q69" s="435" t="s">
        <v>491</v>
      </c>
      <c r="R69" s="435" t="s">
        <v>488</v>
      </c>
      <c r="S69" s="435" t="s">
        <v>491</v>
      </c>
      <c r="T69" s="435" t="s">
        <v>488</v>
      </c>
      <c r="U69" s="161">
        <v>2</v>
      </c>
      <c r="V69" s="434">
        <v>4</v>
      </c>
      <c r="W69" s="459">
        <f t="shared" si="271"/>
        <v>869.18100000000004</v>
      </c>
      <c r="X69" s="459">
        <f>5971.3-5546.3-143.219</f>
        <v>281.78100000000001</v>
      </c>
      <c r="Y69" s="460">
        <v>587.4</v>
      </c>
      <c r="Z69" s="459"/>
      <c r="AA69" s="461"/>
      <c r="AB69" s="459">
        <f t="shared" si="272"/>
        <v>542.79999999999995</v>
      </c>
      <c r="AC69" s="459"/>
      <c r="AD69" s="460">
        <v>542.79999999999995</v>
      </c>
      <c r="AE69" s="459"/>
      <c r="AF69" s="461"/>
      <c r="AG69" s="459">
        <f t="shared" si="273"/>
        <v>542.79999999999995</v>
      </c>
      <c r="AH69" s="459"/>
      <c r="AI69" s="460">
        <v>542.79999999999995</v>
      </c>
      <c r="AJ69" s="459"/>
      <c r="AK69" s="461"/>
      <c r="AL69" s="459">
        <f t="shared" si="274"/>
        <v>236</v>
      </c>
      <c r="AM69" s="459"/>
      <c r="AN69" s="460">
        <v>236</v>
      </c>
      <c r="AO69" s="459"/>
      <c r="AP69" s="461"/>
      <c r="AQ69" s="398" t="s">
        <v>472</v>
      </c>
      <c r="AR69" s="459">
        <f t="shared" si="122"/>
        <v>737.93000000000029</v>
      </c>
      <c r="AS69" s="459">
        <f>5971.3-5546.343-143.176</f>
        <v>281.78100000000035</v>
      </c>
      <c r="AT69" s="462">
        <f>587.4-131.251</f>
        <v>456.149</v>
      </c>
      <c r="AU69" s="459"/>
      <c r="AV69" s="461"/>
      <c r="AW69" s="459" t="e">
        <f t="shared" si="275"/>
        <v>#REF!</v>
      </c>
      <c r="AX69" s="459" t="e">
        <f>#REF!-AS69</f>
        <v>#REF!</v>
      </c>
      <c r="AY69" s="459" t="e">
        <f>#REF!-AT69</f>
        <v>#REF!</v>
      </c>
      <c r="AZ69" s="459" t="e">
        <f>#REF!-AU69</f>
        <v>#REF!</v>
      </c>
      <c r="BA69" s="459" t="e">
        <f>#REF!-AV69</f>
        <v>#REF!</v>
      </c>
      <c r="BB69" s="459">
        <f t="shared" si="276"/>
        <v>542.79999999999995</v>
      </c>
      <c r="BC69" s="459"/>
      <c r="BD69" s="460">
        <v>542.79999999999995</v>
      </c>
      <c r="BE69" s="459"/>
      <c r="BF69" s="461"/>
      <c r="BG69" s="459">
        <f t="shared" si="277"/>
        <v>0</v>
      </c>
      <c r="BH69" s="459"/>
      <c r="BI69" s="460"/>
      <c r="BJ69" s="459"/>
      <c r="BK69" s="461"/>
      <c r="BL69" s="459">
        <f t="shared" si="278"/>
        <v>737.93000000000029</v>
      </c>
      <c r="BM69" s="459">
        <f>5971.3-5546.343-143.176</f>
        <v>281.78100000000035</v>
      </c>
      <c r="BN69" s="459">
        <v>456.149</v>
      </c>
      <c r="BO69" s="459"/>
      <c r="BP69" s="470"/>
      <c r="BQ69" s="459">
        <f t="shared" si="279"/>
        <v>737.93000000000029</v>
      </c>
      <c r="BR69" s="459">
        <f>5971.3-5546.343-143.176</f>
        <v>281.78100000000035</v>
      </c>
      <c r="BS69" s="459">
        <v>456.149</v>
      </c>
      <c r="BT69" s="459"/>
      <c r="BU69" s="470"/>
      <c r="BV69" s="459">
        <f t="shared" si="280"/>
        <v>55.609080000000006</v>
      </c>
      <c r="BW69" s="459">
        <v>8.7149999999999999</v>
      </c>
      <c r="BX69" s="459">
        <v>46.894080000000002</v>
      </c>
      <c r="BY69" s="459"/>
      <c r="BZ69" s="459"/>
      <c r="CA69" s="464">
        <f t="shared" si="281"/>
        <v>793.53908000000035</v>
      </c>
      <c r="CB69" s="459">
        <f t="shared" si="282"/>
        <v>793.53908000000035</v>
      </c>
      <c r="CC69" s="459">
        <f t="shared" si="283"/>
        <v>290.49600000000032</v>
      </c>
      <c r="CD69" s="459">
        <f t="shared" si="283"/>
        <v>503.04308000000003</v>
      </c>
      <c r="CE69" s="459">
        <f t="shared" si="283"/>
        <v>0</v>
      </c>
      <c r="CF69" s="459">
        <f t="shared" si="283"/>
        <v>0</v>
      </c>
      <c r="CG69" s="459">
        <f t="shared" si="284"/>
        <v>0</v>
      </c>
      <c r="CH69" s="459">
        <f t="shared" si="285"/>
        <v>0</v>
      </c>
      <c r="CI69" s="459">
        <f t="shared" si="285"/>
        <v>0</v>
      </c>
      <c r="CJ69" s="459">
        <f t="shared" si="285"/>
        <v>0</v>
      </c>
      <c r="CK69" s="459">
        <f t="shared" si="285"/>
        <v>0</v>
      </c>
      <c r="CL69" s="465"/>
      <c r="CM69" s="466"/>
      <c r="CN69" s="466"/>
      <c r="CO69" s="459">
        <f t="shared" si="286"/>
        <v>0</v>
      </c>
      <c r="CP69" s="459"/>
      <c r="CQ69" s="460"/>
      <c r="CR69" s="459"/>
      <c r="CS69" s="461"/>
      <c r="CT69" s="459">
        <f t="shared" si="287"/>
        <v>0</v>
      </c>
      <c r="CU69" s="459"/>
      <c r="CV69" s="460"/>
      <c r="CW69" s="459"/>
      <c r="CX69" s="461"/>
      <c r="CY69" s="459">
        <f t="shared" si="288"/>
        <v>0</v>
      </c>
      <c r="CZ69" s="459">
        <f t="shared" si="295"/>
        <v>0</v>
      </c>
      <c r="DA69" s="459">
        <f t="shared" si="295"/>
        <v>0</v>
      </c>
      <c r="DB69" s="459">
        <f t="shared" si="295"/>
        <v>0</v>
      </c>
      <c r="DC69" s="459">
        <f t="shared" si="295"/>
        <v>0</v>
      </c>
      <c r="DD69" s="459"/>
      <c r="DE69" s="459"/>
      <c r="DF69" s="459"/>
      <c r="DG69" s="459">
        <f t="shared" si="289"/>
        <v>0</v>
      </c>
      <c r="DH69" s="467"/>
      <c r="DI69" s="459">
        <f t="shared" si="290"/>
        <v>737.93000000000029</v>
      </c>
      <c r="DJ69" s="459">
        <f t="shared" si="291"/>
        <v>737.93000000000029</v>
      </c>
      <c r="DK69" s="467"/>
      <c r="DL69" s="459"/>
      <c r="DM69" s="459"/>
      <c r="DN69" s="467"/>
      <c r="DO69" s="459"/>
      <c r="DP69" s="467"/>
      <c r="DQ69" s="467"/>
      <c r="DR69" s="459">
        <f t="shared" si="8"/>
        <v>737.93000000000029</v>
      </c>
      <c r="DS69" s="459">
        <f>5971.3-5546.343-143.176</f>
        <v>281.78100000000035</v>
      </c>
      <c r="DT69" s="459">
        <v>456.149</v>
      </c>
      <c r="DU69" s="459"/>
      <c r="DV69" s="470"/>
      <c r="DW69" s="459">
        <f t="shared" si="11"/>
        <v>55.609080000000006</v>
      </c>
      <c r="DX69" s="459">
        <v>8.7149999999999999</v>
      </c>
      <c r="DY69" s="459">
        <v>46.894080000000002</v>
      </c>
      <c r="DZ69" s="459"/>
      <c r="EA69" s="146"/>
      <c r="EB69" s="279">
        <f t="shared" ref="EB69" si="313">EC69+ED69</f>
        <v>290.49600000000032</v>
      </c>
      <c r="EC69" s="279">
        <f t="shared" ref="EC69" si="314">AS69</f>
        <v>281.78100000000035</v>
      </c>
      <c r="ED69" s="279">
        <v>8.7149999999999999</v>
      </c>
      <c r="EE69" s="366">
        <f t="shared" ref="EE69" si="315">EC69/EB69</f>
        <v>0.96999958691341714</v>
      </c>
      <c r="EF69" s="366">
        <f t="shared" ref="EF69" si="316">ED69/EB69</f>
        <v>3.0000413086582915E-2</v>
      </c>
      <c r="EG69" s="279">
        <f t="shared" ref="EG69" si="317">EH69+EI69</f>
        <v>290.49600000000032</v>
      </c>
      <c r="EH69" s="279">
        <f t="shared" ref="EH69" si="318">DS69</f>
        <v>281.78100000000035</v>
      </c>
      <c r="EI69" s="279">
        <f t="shared" ref="EI69" si="319">DX69</f>
        <v>8.7149999999999999</v>
      </c>
      <c r="EJ69" s="366">
        <f t="shared" ref="EJ69" si="320">EH69/EG69</f>
        <v>0.96999958691341714</v>
      </c>
      <c r="EK69" s="366">
        <f t="shared" ref="EK69" si="321">EI69/EG69</f>
        <v>3.0000413086582915E-2</v>
      </c>
      <c r="EL69" s="366">
        <v>2.8000000000000001E-2</v>
      </c>
      <c r="EM69" s="280">
        <f>EG69*EE69</f>
        <v>281.78100000000035</v>
      </c>
      <c r="EN69" s="279">
        <f>EH69-EM69</f>
        <v>0</v>
      </c>
      <c r="EO69" s="265">
        <f t="shared" si="294"/>
        <v>290.49600000000032</v>
      </c>
      <c r="EP69" s="323">
        <f t="shared" si="46"/>
        <v>503.04308000000003</v>
      </c>
      <c r="EQ69" s="323">
        <f t="shared" si="83"/>
        <v>456.149</v>
      </c>
      <c r="ER69" s="323">
        <v>46.894080000000002</v>
      </c>
      <c r="ES69" s="358">
        <f t="shared" si="296"/>
        <v>0.90677919672406582</v>
      </c>
      <c r="ET69" s="358">
        <f t="shared" si="297"/>
        <v>9.3220803275934142E-2</v>
      </c>
      <c r="EU69" s="323">
        <f t="shared" si="49"/>
        <v>503.04308000000003</v>
      </c>
      <c r="EV69" s="323">
        <f t="shared" si="298"/>
        <v>456.149</v>
      </c>
      <c r="EW69" s="323">
        <f t="shared" si="299"/>
        <v>46.894080000000002</v>
      </c>
      <c r="EX69" s="358">
        <f t="shared" si="300"/>
        <v>0.90677919672406582</v>
      </c>
      <c r="EY69" s="358">
        <f t="shared" si="301"/>
        <v>9.3220803275934142E-2</v>
      </c>
      <c r="EZ69" s="358">
        <v>9.3200000000000005E-2</v>
      </c>
      <c r="FA69" s="323">
        <f t="shared" si="302"/>
        <v>456.149</v>
      </c>
      <c r="FB69" s="323">
        <f t="shared" si="51"/>
        <v>0</v>
      </c>
      <c r="FC69" s="279"/>
      <c r="FD69" s="279"/>
      <c r="FE69" s="279"/>
      <c r="FF69" s="366"/>
      <c r="FG69" s="366"/>
      <c r="FH69" s="279"/>
      <c r="FI69" s="279"/>
      <c r="FJ69" s="279"/>
      <c r="FK69" s="366"/>
      <c r="FL69" s="366"/>
      <c r="FM69" s="366">
        <v>9.3200000000000005E-2</v>
      </c>
      <c r="FN69" s="280"/>
      <c r="FO69" s="279"/>
    </row>
    <row r="70" spans="2:171" s="40" customFormat="1" ht="15.6" customHeight="1" x14ac:dyDescent="0.25">
      <c r="B70" s="32"/>
      <c r="C70" s="33"/>
      <c r="D70" s="33">
        <v>1</v>
      </c>
      <c r="E70" s="434">
        <v>56</v>
      </c>
      <c r="F70" s="32"/>
      <c r="G70" s="33"/>
      <c r="H70" s="33"/>
      <c r="M70" s="434">
        <v>53</v>
      </c>
      <c r="N70" s="435" t="s">
        <v>207</v>
      </c>
      <c r="O70" s="435"/>
      <c r="P70" s="24">
        <f t="shared" si="29"/>
        <v>0</v>
      </c>
      <c r="Q70" s="435" t="s">
        <v>491</v>
      </c>
      <c r="R70" s="435" t="s">
        <v>488</v>
      </c>
      <c r="S70" s="435"/>
      <c r="T70" s="435"/>
      <c r="U70" s="161">
        <v>1</v>
      </c>
      <c r="V70" s="434">
        <v>1</v>
      </c>
      <c r="W70" s="459">
        <f t="shared" si="271"/>
        <v>302.89999999999998</v>
      </c>
      <c r="X70" s="459"/>
      <c r="Y70" s="460">
        <v>302.89999999999998</v>
      </c>
      <c r="Z70" s="459"/>
      <c r="AA70" s="472"/>
      <c r="AB70" s="459">
        <f t="shared" si="272"/>
        <v>239.2</v>
      </c>
      <c r="AC70" s="459"/>
      <c r="AD70" s="460">
        <v>239.2</v>
      </c>
      <c r="AE70" s="459"/>
      <c r="AF70" s="472"/>
      <c r="AG70" s="459">
        <f t="shared" si="273"/>
        <v>239.2</v>
      </c>
      <c r="AH70" s="459"/>
      <c r="AI70" s="460">
        <v>239.2</v>
      </c>
      <c r="AJ70" s="459"/>
      <c r="AK70" s="472"/>
      <c r="AL70" s="459">
        <f t="shared" si="274"/>
        <v>104</v>
      </c>
      <c r="AM70" s="459"/>
      <c r="AN70" s="460">
        <v>104</v>
      </c>
      <c r="AO70" s="459"/>
      <c r="AP70" s="472"/>
      <c r="AQ70" s="398" t="s">
        <v>565</v>
      </c>
      <c r="AR70" s="459">
        <f t="shared" si="122"/>
        <v>302.89999999999998</v>
      </c>
      <c r="AS70" s="459"/>
      <c r="AT70" s="462">
        <v>302.89999999999998</v>
      </c>
      <c r="AU70" s="459"/>
      <c r="AV70" s="459"/>
      <c r="AW70" s="459" t="e">
        <f t="shared" si="275"/>
        <v>#REF!</v>
      </c>
      <c r="AX70" s="459" t="e">
        <f>#REF!-AS70</f>
        <v>#REF!</v>
      </c>
      <c r="AY70" s="459" t="e">
        <f>#REF!-AT70</f>
        <v>#REF!</v>
      </c>
      <c r="AZ70" s="459" t="e">
        <f>#REF!-AU70</f>
        <v>#REF!</v>
      </c>
      <c r="BA70" s="459" t="e">
        <f>#REF!-AV70</f>
        <v>#REF!</v>
      </c>
      <c r="BB70" s="459">
        <f t="shared" si="276"/>
        <v>0</v>
      </c>
      <c r="BC70" s="459"/>
      <c r="BD70" s="459"/>
      <c r="BE70" s="459"/>
      <c r="BF70" s="459"/>
      <c r="BG70" s="459">
        <f t="shared" si="277"/>
        <v>0</v>
      </c>
      <c r="BH70" s="459"/>
      <c r="BI70" s="459"/>
      <c r="BJ70" s="459"/>
      <c r="BK70" s="459"/>
      <c r="BL70" s="459">
        <f t="shared" si="278"/>
        <v>302.89999999999998</v>
      </c>
      <c r="BM70" s="459"/>
      <c r="BN70" s="459">
        <v>302.89999999999998</v>
      </c>
      <c r="BO70" s="459"/>
      <c r="BP70" s="459"/>
      <c r="BQ70" s="459">
        <f t="shared" si="279"/>
        <v>302.89999999999998</v>
      </c>
      <c r="BR70" s="459"/>
      <c r="BS70" s="459">
        <v>302.89999999999998</v>
      </c>
      <c r="BT70" s="459"/>
      <c r="BU70" s="459"/>
      <c r="BV70" s="459">
        <f t="shared" si="280"/>
        <v>200</v>
      </c>
      <c r="BW70" s="459"/>
      <c r="BX70" s="459">
        <v>200</v>
      </c>
      <c r="BY70" s="459"/>
      <c r="BZ70" s="459"/>
      <c r="CA70" s="464">
        <f t="shared" si="281"/>
        <v>502.9</v>
      </c>
      <c r="CB70" s="459">
        <f t="shared" si="282"/>
        <v>502.9</v>
      </c>
      <c r="CC70" s="459">
        <f t="shared" si="283"/>
        <v>0</v>
      </c>
      <c r="CD70" s="459">
        <f t="shared" si="283"/>
        <v>502.9</v>
      </c>
      <c r="CE70" s="459">
        <f t="shared" si="283"/>
        <v>0</v>
      </c>
      <c r="CF70" s="459">
        <f t="shared" si="283"/>
        <v>0</v>
      </c>
      <c r="CG70" s="459">
        <f t="shared" si="284"/>
        <v>0</v>
      </c>
      <c r="CH70" s="459">
        <f t="shared" si="285"/>
        <v>0</v>
      </c>
      <c r="CI70" s="459">
        <f t="shared" si="285"/>
        <v>0</v>
      </c>
      <c r="CJ70" s="459">
        <f t="shared" si="285"/>
        <v>0</v>
      </c>
      <c r="CK70" s="459">
        <f t="shared" si="285"/>
        <v>0</v>
      </c>
      <c r="CL70" s="465"/>
      <c r="CM70" s="466"/>
      <c r="CN70" s="466"/>
      <c r="CO70" s="459">
        <f t="shared" si="286"/>
        <v>0</v>
      </c>
      <c r="CP70" s="459"/>
      <c r="CQ70" s="459"/>
      <c r="CR70" s="459"/>
      <c r="CS70" s="459"/>
      <c r="CT70" s="459">
        <f t="shared" si="287"/>
        <v>0</v>
      </c>
      <c r="CU70" s="459"/>
      <c r="CV70" s="459"/>
      <c r="CW70" s="459"/>
      <c r="CX70" s="459"/>
      <c r="CY70" s="459">
        <f t="shared" si="288"/>
        <v>0</v>
      </c>
      <c r="CZ70" s="459">
        <f t="shared" si="295"/>
        <v>0</v>
      </c>
      <c r="DA70" s="459">
        <f t="shared" si="295"/>
        <v>0</v>
      </c>
      <c r="DB70" s="459">
        <f t="shared" si="295"/>
        <v>0</v>
      </c>
      <c r="DC70" s="459">
        <f t="shared" si="295"/>
        <v>0</v>
      </c>
      <c r="DD70" s="459"/>
      <c r="DE70" s="459"/>
      <c r="DF70" s="459"/>
      <c r="DG70" s="459">
        <f t="shared" si="289"/>
        <v>0</v>
      </c>
      <c r="DH70" s="467"/>
      <c r="DI70" s="459">
        <f t="shared" si="290"/>
        <v>302.89999999999998</v>
      </c>
      <c r="DJ70" s="459">
        <f t="shared" si="291"/>
        <v>302.89999999999998</v>
      </c>
      <c r="DK70" s="467"/>
      <c r="DL70" s="459"/>
      <c r="DM70" s="459"/>
      <c r="DN70" s="467"/>
      <c r="DO70" s="459"/>
      <c r="DP70" s="467"/>
      <c r="DQ70" s="467"/>
      <c r="DR70" s="459">
        <f t="shared" ref="DR70:DR133" si="322">DS70+DT70+DU70</f>
        <v>302.89999999999998</v>
      </c>
      <c r="DS70" s="459"/>
      <c r="DT70" s="459">
        <v>302.89999999999998</v>
      </c>
      <c r="DU70" s="459"/>
      <c r="DV70" s="459"/>
      <c r="DW70" s="459">
        <f t="shared" ref="DW70:DW133" si="323">DX70+DY70+DZ70</f>
        <v>200</v>
      </c>
      <c r="DX70" s="459"/>
      <c r="DY70" s="459">
        <v>200</v>
      </c>
      <c r="DZ70" s="459"/>
      <c r="EA70" s="146"/>
      <c r="EB70" s="279"/>
      <c r="EC70" s="279"/>
      <c r="ED70" s="279"/>
      <c r="EE70" s="366"/>
      <c r="EF70" s="366"/>
      <c r="EG70" s="279"/>
      <c r="EH70" s="279"/>
      <c r="EI70" s="279"/>
      <c r="EJ70" s="366"/>
      <c r="EK70" s="366"/>
      <c r="EL70" s="366">
        <v>3.0200000000000001E-2</v>
      </c>
      <c r="EM70" s="280"/>
      <c r="EN70" s="279"/>
      <c r="EO70" s="265" t="e">
        <f t="shared" si="294"/>
        <v>#DIV/0!</v>
      </c>
      <c r="EP70" s="323">
        <f t="shared" ref="EP70" si="324">EQ70+ER70</f>
        <v>502.9</v>
      </c>
      <c r="EQ70" s="323">
        <f t="shared" ref="EQ70" si="325">AT70</f>
        <v>302.89999999999998</v>
      </c>
      <c r="ER70" s="323">
        <v>200</v>
      </c>
      <c r="ES70" s="358">
        <f t="shared" ref="ES70" si="326">EQ70/EP70</f>
        <v>0.60230662159475046</v>
      </c>
      <c r="ET70" s="358">
        <f t="shared" ref="ET70" si="327">ER70/EP70</f>
        <v>0.3976933784052496</v>
      </c>
      <c r="EU70" s="323">
        <f t="shared" ref="EU70" si="328">EV70+EW70</f>
        <v>502.9</v>
      </c>
      <c r="EV70" s="323">
        <f t="shared" ref="EV70" si="329">DT70</f>
        <v>302.89999999999998</v>
      </c>
      <c r="EW70" s="323">
        <f t="shared" ref="EW70" si="330">DY70</f>
        <v>200</v>
      </c>
      <c r="EX70" s="358">
        <f t="shared" ref="EX70" si="331">EV70/EU70</f>
        <v>0.60230662159475046</v>
      </c>
      <c r="EY70" s="358">
        <f t="shared" ref="EY70" si="332">EW70/EU70</f>
        <v>0.3976933784052496</v>
      </c>
      <c r="EZ70" s="358">
        <v>0.10050000000000001</v>
      </c>
      <c r="FA70" s="323">
        <f t="shared" ref="FA70" si="333">EU70*ES70</f>
        <v>302.89999999999998</v>
      </c>
      <c r="FB70" s="323">
        <f t="shared" si="51"/>
        <v>0</v>
      </c>
      <c r="FC70" s="279"/>
      <c r="FD70" s="279"/>
      <c r="FE70" s="279"/>
      <c r="FF70" s="366"/>
      <c r="FG70" s="366"/>
      <c r="FH70" s="279"/>
      <c r="FI70" s="279"/>
      <c r="FJ70" s="279"/>
      <c r="FK70" s="366"/>
      <c r="FL70" s="366"/>
      <c r="FM70" s="366">
        <v>0.10050000000000001</v>
      </c>
      <c r="FN70" s="280"/>
      <c r="FO70" s="279"/>
    </row>
    <row r="71" spans="2:171" s="40" customFormat="1" ht="15.6" customHeight="1" x14ac:dyDescent="0.25">
      <c r="B71" s="32"/>
      <c r="C71" s="33"/>
      <c r="D71" s="33">
        <v>1</v>
      </c>
      <c r="E71" s="434">
        <v>57</v>
      </c>
      <c r="F71" s="32"/>
      <c r="G71" s="33"/>
      <c r="H71" s="33"/>
      <c r="M71" s="434">
        <v>54</v>
      </c>
      <c r="N71" s="435" t="s">
        <v>208</v>
      </c>
      <c r="O71" s="435"/>
      <c r="P71" s="24">
        <f t="shared" si="29"/>
        <v>0</v>
      </c>
      <c r="Q71" s="435" t="s">
        <v>491</v>
      </c>
      <c r="R71" s="435" t="s">
        <v>488</v>
      </c>
      <c r="S71" s="435" t="s">
        <v>491</v>
      </c>
      <c r="T71" s="435" t="s">
        <v>488</v>
      </c>
      <c r="U71" s="161">
        <v>1</v>
      </c>
      <c r="V71" s="434"/>
      <c r="W71" s="459">
        <f t="shared" si="271"/>
        <v>171.9</v>
      </c>
      <c r="X71" s="459"/>
      <c r="Y71" s="460">
        <v>171.9</v>
      </c>
      <c r="Z71" s="459"/>
      <c r="AA71" s="472"/>
      <c r="AB71" s="459">
        <f t="shared" si="272"/>
        <v>6.9</v>
      </c>
      <c r="AC71" s="459"/>
      <c r="AD71" s="460">
        <v>6.9</v>
      </c>
      <c r="AE71" s="459"/>
      <c r="AF71" s="472"/>
      <c r="AG71" s="459">
        <f t="shared" si="273"/>
        <v>6.9</v>
      </c>
      <c r="AH71" s="459"/>
      <c r="AI71" s="460">
        <v>6.9</v>
      </c>
      <c r="AJ71" s="459"/>
      <c r="AK71" s="472"/>
      <c r="AL71" s="459">
        <f t="shared" si="274"/>
        <v>3</v>
      </c>
      <c r="AM71" s="459"/>
      <c r="AN71" s="460">
        <v>3</v>
      </c>
      <c r="AO71" s="459"/>
      <c r="AP71" s="472"/>
      <c r="AQ71" s="398" t="s">
        <v>417</v>
      </c>
      <c r="AR71" s="459">
        <f t="shared" si="122"/>
        <v>171.9</v>
      </c>
      <c r="AS71" s="459"/>
      <c r="AT71" s="462">
        <v>171.9</v>
      </c>
      <c r="AU71" s="459"/>
      <c r="AV71" s="459"/>
      <c r="AW71" s="459" t="e">
        <f t="shared" si="275"/>
        <v>#REF!</v>
      </c>
      <c r="AX71" s="459" t="e">
        <f>#REF!-AS71</f>
        <v>#REF!</v>
      </c>
      <c r="AY71" s="459" t="e">
        <f>#REF!-AT71</f>
        <v>#REF!</v>
      </c>
      <c r="AZ71" s="459" t="e">
        <f>#REF!-AU71</f>
        <v>#REF!</v>
      </c>
      <c r="BA71" s="459" t="e">
        <f>#REF!-AV71</f>
        <v>#REF!</v>
      </c>
      <c r="BB71" s="459">
        <f t="shared" si="276"/>
        <v>0</v>
      </c>
      <c r="BC71" s="459"/>
      <c r="BD71" s="459"/>
      <c r="BE71" s="459"/>
      <c r="BF71" s="459"/>
      <c r="BG71" s="459">
        <f t="shared" si="277"/>
        <v>0</v>
      </c>
      <c r="BH71" s="459"/>
      <c r="BI71" s="459"/>
      <c r="BJ71" s="459"/>
      <c r="BK71" s="459"/>
      <c r="BL71" s="459">
        <f t="shared" si="278"/>
        <v>171.9</v>
      </c>
      <c r="BM71" s="459"/>
      <c r="BN71" s="462">
        <v>171.9</v>
      </c>
      <c r="BO71" s="459"/>
      <c r="BP71" s="459"/>
      <c r="BQ71" s="459">
        <f t="shared" si="279"/>
        <v>171.9</v>
      </c>
      <c r="BR71" s="459"/>
      <c r="BS71" s="462">
        <v>171.9</v>
      </c>
      <c r="BT71" s="459"/>
      <c r="BU71" s="459"/>
      <c r="BV71" s="459">
        <f t="shared" si="280"/>
        <v>17.28</v>
      </c>
      <c r="BW71" s="459"/>
      <c r="BX71" s="459">
        <v>17.28</v>
      </c>
      <c r="BY71" s="459"/>
      <c r="BZ71" s="459"/>
      <c r="CA71" s="464">
        <f t="shared" si="281"/>
        <v>189.18</v>
      </c>
      <c r="CB71" s="459">
        <f t="shared" si="282"/>
        <v>189.18</v>
      </c>
      <c r="CC71" s="459">
        <f t="shared" si="283"/>
        <v>0</v>
      </c>
      <c r="CD71" s="459">
        <f t="shared" si="283"/>
        <v>189.18</v>
      </c>
      <c r="CE71" s="459">
        <f t="shared" si="283"/>
        <v>0</v>
      </c>
      <c r="CF71" s="459">
        <f t="shared" si="283"/>
        <v>0</v>
      </c>
      <c r="CG71" s="459">
        <f t="shared" si="284"/>
        <v>0</v>
      </c>
      <c r="CH71" s="459">
        <f t="shared" si="285"/>
        <v>0</v>
      </c>
      <c r="CI71" s="459">
        <f t="shared" si="285"/>
        <v>0</v>
      </c>
      <c r="CJ71" s="459">
        <f t="shared" si="285"/>
        <v>0</v>
      </c>
      <c r="CK71" s="459">
        <f t="shared" si="285"/>
        <v>0</v>
      </c>
      <c r="CL71" s="465"/>
      <c r="CM71" s="466"/>
      <c r="CN71" s="466"/>
      <c r="CO71" s="459">
        <f t="shared" si="286"/>
        <v>0</v>
      </c>
      <c r="CP71" s="459"/>
      <c r="CQ71" s="459"/>
      <c r="CR71" s="459"/>
      <c r="CS71" s="459"/>
      <c r="CT71" s="459">
        <f t="shared" si="287"/>
        <v>0</v>
      </c>
      <c r="CU71" s="459"/>
      <c r="CV71" s="459"/>
      <c r="CW71" s="459"/>
      <c r="CX71" s="459"/>
      <c r="CY71" s="459">
        <f t="shared" si="288"/>
        <v>0</v>
      </c>
      <c r="CZ71" s="459">
        <f t="shared" si="295"/>
        <v>0</v>
      </c>
      <c r="DA71" s="459">
        <f t="shared" si="295"/>
        <v>0</v>
      </c>
      <c r="DB71" s="459">
        <f t="shared" si="295"/>
        <v>0</v>
      </c>
      <c r="DC71" s="459">
        <f t="shared" si="295"/>
        <v>0</v>
      </c>
      <c r="DD71" s="459"/>
      <c r="DE71" s="459"/>
      <c r="DF71" s="459"/>
      <c r="DG71" s="459">
        <f t="shared" si="289"/>
        <v>0</v>
      </c>
      <c r="DH71" s="467"/>
      <c r="DI71" s="459">
        <f t="shared" si="290"/>
        <v>171.9</v>
      </c>
      <c r="DJ71" s="459">
        <f t="shared" si="291"/>
        <v>171.9</v>
      </c>
      <c r="DK71" s="467"/>
      <c r="DL71" s="459"/>
      <c r="DM71" s="459"/>
      <c r="DN71" s="467"/>
      <c r="DO71" s="459"/>
      <c r="DP71" s="467"/>
      <c r="DQ71" s="467"/>
      <c r="DR71" s="459">
        <f t="shared" si="322"/>
        <v>171.9</v>
      </c>
      <c r="DS71" s="459"/>
      <c r="DT71" s="460">
        <v>171.9</v>
      </c>
      <c r="DU71" s="459"/>
      <c r="DV71" s="459"/>
      <c r="DW71" s="459">
        <f t="shared" si="323"/>
        <v>17.28</v>
      </c>
      <c r="DX71" s="459"/>
      <c r="DY71" s="459">
        <v>17.28</v>
      </c>
      <c r="DZ71" s="459"/>
      <c r="EA71" s="146"/>
      <c r="EB71" s="279"/>
      <c r="EC71" s="279"/>
      <c r="ED71" s="279"/>
      <c r="EE71" s="366"/>
      <c r="EF71" s="366"/>
      <c r="EG71" s="279"/>
      <c r="EH71" s="279"/>
      <c r="EI71" s="279"/>
      <c r="EJ71" s="366"/>
      <c r="EK71" s="366"/>
      <c r="EL71" s="366">
        <v>2.6499999999999999E-2</v>
      </c>
      <c r="EM71" s="280"/>
      <c r="EN71" s="279"/>
      <c r="EO71" s="265" t="e">
        <f t="shared" si="294"/>
        <v>#DIV/0!</v>
      </c>
      <c r="EP71" s="323">
        <f t="shared" si="46"/>
        <v>189.18</v>
      </c>
      <c r="EQ71" s="323">
        <f t="shared" si="83"/>
        <v>171.9</v>
      </c>
      <c r="ER71" s="323">
        <v>17.28</v>
      </c>
      <c r="ES71" s="358">
        <f t="shared" si="296"/>
        <v>0.90865842055185542</v>
      </c>
      <c r="ET71" s="358">
        <f t="shared" si="297"/>
        <v>9.1341579448144625E-2</v>
      </c>
      <c r="EU71" s="323">
        <f t="shared" si="49"/>
        <v>189.18</v>
      </c>
      <c r="EV71" s="323">
        <f t="shared" si="298"/>
        <v>171.9</v>
      </c>
      <c r="EW71" s="323">
        <f t="shared" si="299"/>
        <v>17.28</v>
      </c>
      <c r="EX71" s="358">
        <f t="shared" si="300"/>
        <v>0.90865842055185542</v>
      </c>
      <c r="EY71" s="358">
        <f t="shared" si="301"/>
        <v>9.1341579448144625E-2</v>
      </c>
      <c r="EZ71" s="358">
        <v>8.8400000000000006E-2</v>
      </c>
      <c r="FA71" s="323">
        <f t="shared" si="302"/>
        <v>171.9</v>
      </c>
      <c r="FB71" s="323">
        <f t="shared" si="51"/>
        <v>0</v>
      </c>
      <c r="FC71" s="279"/>
      <c r="FD71" s="279"/>
      <c r="FE71" s="279"/>
      <c r="FF71" s="366"/>
      <c r="FG71" s="366"/>
      <c r="FH71" s="279"/>
      <c r="FI71" s="279"/>
      <c r="FJ71" s="279"/>
      <c r="FK71" s="366"/>
      <c r="FL71" s="366"/>
      <c r="FM71" s="366">
        <v>8.8400000000000006E-2</v>
      </c>
      <c r="FN71" s="280"/>
      <c r="FO71" s="279"/>
    </row>
    <row r="72" spans="2:171" s="40" customFormat="1" ht="15.75" customHeight="1" x14ac:dyDescent="0.25">
      <c r="B72" s="32"/>
      <c r="C72" s="33">
        <v>1</v>
      </c>
      <c r="D72" s="33"/>
      <c r="E72" s="434">
        <v>58</v>
      </c>
      <c r="F72" s="32"/>
      <c r="G72" s="33">
        <v>1</v>
      </c>
      <c r="H72" s="33"/>
      <c r="M72" s="434">
        <v>55</v>
      </c>
      <c r="N72" s="435" t="s">
        <v>40</v>
      </c>
      <c r="O72" s="435"/>
      <c r="P72" s="24">
        <f t="shared" ref="P72:P135" si="334">BL72-BQ72</f>
        <v>0</v>
      </c>
      <c r="Q72" s="435" t="s">
        <v>490</v>
      </c>
      <c r="R72" s="435" t="s">
        <v>488</v>
      </c>
      <c r="S72" s="435" t="s">
        <v>490</v>
      </c>
      <c r="T72" s="435" t="s">
        <v>488</v>
      </c>
      <c r="U72" s="161">
        <v>1</v>
      </c>
      <c r="V72" s="434"/>
      <c r="W72" s="459">
        <f t="shared" si="271"/>
        <v>546.5</v>
      </c>
      <c r="X72" s="459"/>
      <c r="Y72" s="460">
        <v>546.5</v>
      </c>
      <c r="Z72" s="459"/>
      <c r="AA72" s="472"/>
      <c r="AB72" s="459">
        <f t="shared" si="272"/>
        <v>547.4</v>
      </c>
      <c r="AC72" s="459"/>
      <c r="AD72" s="460">
        <v>547.4</v>
      </c>
      <c r="AE72" s="459"/>
      <c r="AF72" s="472"/>
      <c r="AG72" s="459">
        <f t="shared" si="273"/>
        <v>547.4</v>
      </c>
      <c r="AH72" s="459"/>
      <c r="AI72" s="460">
        <v>547.4</v>
      </c>
      <c r="AJ72" s="459"/>
      <c r="AK72" s="472"/>
      <c r="AL72" s="459">
        <f t="shared" si="274"/>
        <v>238</v>
      </c>
      <c r="AM72" s="459"/>
      <c r="AN72" s="460">
        <v>238</v>
      </c>
      <c r="AO72" s="459"/>
      <c r="AP72" s="472"/>
      <c r="AQ72" s="398" t="s">
        <v>408</v>
      </c>
      <c r="AR72" s="459">
        <f t="shared" si="122"/>
        <v>546.5</v>
      </c>
      <c r="AS72" s="459"/>
      <c r="AT72" s="462">
        <v>546.5</v>
      </c>
      <c r="AU72" s="459"/>
      <c r="AV72" s="459"/>
      <c r="AW72" s="459" t="e">
        <f t="shared" si="275"/>
        <v>#REF!</v>
      </c>
      <c r="AX72" s="459" t="e">
        <f>#REF!-AS72</f>
        <v>#REF!</v>
      </c>
      <c r="AY72" s="459" t="e">
        <f>#REF!-AT72</f>
        <v>#REF!</v>
      </c>
      <c r="AZ72" s="459" t="e">
        <f>#REF!-AU72</f>
        <v>#REF!</v>
      </c>
      <c r="BA72" s="459" t="e">
        <f>#REF!-AV72</f>
        <v>#REF!</v>
      </c>
      <c r="BB72" s="459">
        <f t="shared" si="276"/>
        <v>547.4</v>
      </c>
      <c r="BC72" s="459"/>
      <c r="BD72" s="460">
        <v>547.4</v>
      </c>
      <c r="BE72" s="459"/>
      <c r="BF72" s="459"/>
      <c r="BG72" s="459">
        <f t="shared" si="277"/>
        <v>0</v>
      </c>
      <c r="BH72" s="459"/>
      <c r="BI72" s="459"/>
      <c r="BJ72" s="459"/>
      <c r="BK72" s="459"/>
      <c r="BL72" s="459">
        <f t="shared" si="278"/>
        <v>546.5</v>
      </c>
      <c r="BM72" s="459"/>
      <c r="BN72" s="462">
        <v>546.5</v>
      </c>
      <c r="BO72" s="459"/>
      <c r="BP72" s="459"/>
      <c r="BQ72" s="459">
        <f t="shared" si="279"/>
        <v>546.5</v>
      </c>
      <c r="BR72" s="459"/>
      <c r="BS72" s="462">
        <v>546.5</v>
      </c>
      <c r="BT72" s="459"/>
      <c r="BU72" s="459"/>
      <c r="BV72" s="459">
        <f t="shared" si="280"/>
        <v>1113.086</v>
      </c>
      <c r="BW72" s="459"/>
      <c r="BX72" s="459">
        <v>1113.086</v>
      </c>
      <c r="BY72" s="459"/>
      <c r="BZ72" s="459"/>
      <c r="CA72" s="464">
        <f t="shared" si="281"/>
        <v>1659.586</v>
      </c>
      <c r="CB72" s="459">
        <f t="shared" si="282"/>
        <v>1659.586</v>
      </c>
      <c r="CC72" s="459">
        <f t="shared" si="283"/>
        <v>0</v>
      </c>
      <c r="CD72" s="459">
        <f t="shared" si="283"/>
        <v>1659.586</v>
      </c>
      <c r="CE72" s="459">
        <f t="shared" si="283"/>
        <v>0</v>
      </c>
      <c r="CF72" s="459">
        <f t="shared" si="283"/>
        <v>0</v>
      </c>
      <c r="CG72" s="459">
        <f t="shared" si="284"/>
        <v>0</v>
      </c>
      <c r="CH72" s="459">
        <f t="shared" si="285"/>
        <v>0</v>
      </c>
      <c r="CI72" s="459">
        <f t="shared" si="285"/>
        <v>0</v>
      </c>
      <c r="CJ72" s="459">
        <f t="shared" si="285"/>
        <v>0</v>
      </c>
      <c r="CK72" s="459">
        <f t="shared" si="285"/>
        <v>0</v>
      </c>
      <c r="CL72" s="465"/>
      <c r="CM72" s="466"/>
      <c r="CN72" s="466"/>
      <c r="CO72" s="459">
        <f t="shared" si="286"/>
        <v>0</v>
      </c>
      <c r="CP72" s="459"/>
      <c r="CQ72" s="459"/>
      <c r="CR72" s="459"/>
      <c r="CS72" s="459"/>
      <c r="CT72" s="459">
        <f t="shared" si="287"/>
        <v>0</v>
      </c>
      <c r="CU72" s="459"/>
      <c r="CV72" s="459"/>
      <c r="CW72" s="459"/>
      <c r="CX72" s="459"/>
      <c r="CY72" s="459">
        <f t="shared" si="288"/>
        <v>0</v>
      </c>
      <c r="CZ72" s="459">
        <f t="shared" si="295"/>
        <v>0</v>
      </c>
      <c r="DA72" s="459">
        <f t="shared" si="295"/>
        <v>0</v>
      </c>
      <c r="DB72" s="459">
        <f t="shared" si="295"/>
        <v>0</v>
      </c>
      <c r="DC72" s="459">
        <f t="shared" si="295"/>
        <v>0</v>
      </c>
      <c r="DD72" s="459"/>
      <c r="DE72" s="459"/>
      <c r="DF72" s="459"/>
      <c r="DG72" s="459">
        <f t="shared" si="289"/>
        <v>0</v>
      </c>
      <c r="DH72" s="467"/>
      <c r="DI72" s="459">
        <f t="shared" si="290"/>
        <v>546.5</v>
      </c>
      <c r="DJ72" s="459">
        <f t="shared" si="291"/>
        <v>546.5</v>
      </c>
      <c r="DK72" s="467"/>
      <c r="DL72" s="459"/>
      <c r="DM72" s="459"/>
      <c r="DN72" s="467"/>
      <c r="DO72" s="459"/>
      <c r="DP72" s="467"/>
      <c r="DQ72" s="467"/>
      <c r="DR72" s="459">
        <f t="shared" si="322"/>
        <v>546.5</v>
      </c>
      <c r="DS72" s="459"/>
      <c r="DT72" s="462">
        <v>546.5</v>
      </c>
      <c r="DU72" s="459"/>
      <c r="DV72" s="459"/>
      <c r="DW72" s="459">
        <f t="shared" si="323"/>
        <v>1113.086</v>
      </c>
      <c r="DX72" s="459"/>
      <c r="DY72" s="459">
        <v>1113.086</v>
      </c>
      <c r="DZ72" s="459"/>
      <c r="EA72" s="146"/>
      <c r="EB72" s="279"/>
      <c r="EC72" s="279"/>
      <c r="ED72" s="279"/>
      <c r="EE72" s="366"/>
      <c r="EF72" s="366"/>
      <c r="EG72" s="279"/>
      <c r="EH72" s="279"/>
      <c r="EI72" s="279"/>
      <c r="EJ72" s="366"/>
      <c r="EK72" s="366"/>
      <c r="EL72" s="366">
        <v>2.5399999999999999E-2</v>
      </c>
      <c r="EM72" s="280"/>
      <c r="EN72" s="279"/>
      <c r="EO72" s="265" t="e">
        <f t="shared" si="294"/>
        <v>#DIV/0!</v>
      </c>
      <c r="EP72" s="323">
        <f t="shared" ref="EP72:EP135" si="335">EQ72+ER72</f>
        <v>1659.586</v>
      </c>
      <c r="EQ72" s="323">
        <f t="shared" si="83"/>
        <v>546.5</v>
      </c>
      <c r="ER72" s="323">
        <v>1113.086</v>
      </c>
      <c r="ES72" s="358">
        <f t="shared" si="296"/>
        <v>0.32929899384545303</v>
      </c>
      <c r="ET72" s="358">
        <f t="shared" si="297"/>
        <v>0.67070100615454697</v>
      </c>
      <c r="EU72" s="323">
        <f t="shared" ref="EU72:EU135" si="336">EV72+EW72</f>
        <v>1659.586</v>
      </c>
      <c r="EV72" s="323">
        <f t="shared" si="298"/>
        <v>546.5</v>
      </c>
      <c r="EW72" s="323">
        <f t="shared" si="299"/>
        <v>1113.086</v>
      </c>
      <c r="EX72" s="358">
        <f t="shared" si="300"/>
        <v>0.32929899384545303</v>
      </c>
      <c r="EY72" s="358">
        <f t="shared" si="301"/>
        <v>0.67070100615454697</v>
      </c>
      <c r="EZ72" s="358">
        <v>8.48E-2</v>
      </c>
      <c r="FA72" s="323">
        <f t="shared" si="302"/>
        <v>546.5</v>
      </c>
      <c r="FB72" s="323">
        <f t="shared" ref="FB72:FB135" si="337">EV72-FA72</f>
        <v>0</v>
      </c>
      <c r="FC72" s="279"/>
      <c r="FD72" s="279"/>
      <c r="FE72" s="279"/>
      <c r="FF72" s="366"/>
      <c r="FG72" s="366"/>
      <c r="FH72" s="279"/>
      <c r="FI72" s="279"/>
      <c r="FJ72" s="279"/>
      <c r="FK72" s="366"/>
      <c r="FL72" s="366"/>
      <c r="FM72" s="366">
        <v>8.48E-2</v>
      </c>
      <c r="FN72" s="280"/>
      <c r="FO72" s="279"/>
    </row>
    <row r="73" spans="2:171" s="40" customFormat="1" ht="15.6" customHeight="1" x14ac:dyDescent="0.25">
      <c r="B73" s="32"/>
      <c r="C73" s="33"/>
      <c r="D73" s="33">
        <v>1</v>
      </c>
      <c r="E73" s="434">
        <v>59</v>
      </c>
      <c r="F73" s="32"/>
      <c r="G73" s="33"/>
      <c r="H73" s="33">
        <v>1</v>
      </c>
      <c r="I73" s="434"/>
      <c r="J73" s="435"/>
      <c r="K73" s="435"/>
      <c r="L73" s="53"/>
      <c r="M73" s="434">
        <v>56</v>
      </c>
      <c r="N73" s="435" t="s">
        <v>95</v>
      </c>
      <c r="O73" s="435"/>
      <c r="P73" s="24">
        <f t="shared" si="334"/>
        <v>0</v>
      </c>
      <c r="Q73" s="435"/>
      <c r="R73" s="435"/>
      <c r="S73" s="435" t="s">
        <v>490</v>
      </c>
      <c r="T73" s="435" t="s">
        <v>488</v>
      </c>
      <c r="U73" s="161">
        <v>1</v>
      </c>
      <c r="V73" s="434">
        <v>2</v>
      </c>
      <c r="W73" s="459">
        <f t="shared" si="271"/>
        <v>2691.0630000000001</v>
      </c>
      <c r="X73" s="459"/>
      <c r="Y73" s="460">
        <f>808.4+741.603</f>
        <v>1550.0029999999999</v>
      </c>
      <c r="Z73" s="459">
        <f>1589.802-448.742</f>
        <v>1141.06</v>
      </c>
      <c r="AA73" s="461"/>
      <c r="AB73" s="459">
        <f t="shared" si="272"/>
        <v>816.5</v>
      </c>
      <c r="AC73" s="459"/>
      <c r="AD73" s="460">
        <v>816.5</v>
      </c>
      <c r="AE73" s="459"/>
      <c r="AF73" s="461"/>
      <c r="AG73" s="459">
        <f t="shared" si="273"/>
        <v>816.5</v>
      </c>
      <c r="AH73" s="459"/>
      <c r="AI73" s="460">
        <v>816.5</v>
      </c>
      <c r="AJ73" s="459"/>
      <c r="AK73" s="461"/>
      <c r="AL73" s="459">
        <f t="shared" si="274"/>
        <v>355</v>
      </c>
      <c r="AM73" s="459"/>
      <c r="AN73" s="460">
        <v>355</v>
      </c>
      <c r="AO73" s="459"/>
      <c r="AP73" s="461"/>
      <c r="AQ73" s="398" t="s">
        <v>477</v>
      </c>
      <c r="AR73" s="459">
        <f t="shared" si="122"/>
        <v>2465.2349999999997</v>
      </c>
      <c r="AS73" s="459"/>
      <c r="AT73" s="462">
        <f>808.4+515.775</f>
        <v>1324.175</v>
      </c>
      <c r="AU73" s="459">
        <f>1589.802-448.742</f>
        <v>1141.06</v>
      </c>
      <c r="AV73" s="461"/>
      <c r="AW73" s="459" t="e">
        <f t="shared" si="275"/>
        <v>#REF!</v>
      </c>
      <c r="AX73" s="459" t="e">
        <f>#REF!-AS73</f>
        <v>#REF!</v>
      </c>
      <c r="AY73" s="459" t="e">
        <f>#REF!-AT73</f>
        <v>#REF!</v>
      </c>
      <c r="AZ73" s="459" t="e">
        <f>#REF!-AU73</f>
        <v>#REF!</v>
      </c>
      <c r="BA73" s="459" t="e">
        <f>#REF!-AV73</f>
        <v>#REF!</v>
      </c>
      <c r="BB73" s="459">
        <f t="shared" si="276"/>
        <v>1213.2449999999999</v>
      </c>
      <c r="BC73" s="459"/>
      <c r="BD73" s="460">
        <f>355+461.5+396.745</f>
        <v>1213.2449999999999</v>
      </c>
      <c r="BE73" s="459"/>
      <c r="BF73" s="461"/>
      <c r="BG73" s="459">
        <f t="shared" si="277"/>
        <v>0</v>
      </c>
      <c r="BH73" s="459"/>
      <c r="BI73" s="461"/>
      <c r="BJ73" s="459"/>
      <c r="BK73" s="461"/>
      <c r="BL73" s="459">
        <f t="shared" si="278"/>
        <v>2465.2349999999997</v>
      </c>
      <c r="BM73" s="459"/>
      <c r="BN73" s="460">
        <f>808.4+515.775</f>
        <v>1324.175</v>
      </c>
      <c r="BO73" s="459">
        <f>1589.802-448.742</f>
        <v>1141.06</v>
      </c>
      <c r="BP73" s="470"/>
      <c r="BQ73" s="459">
        <f t="shared" si="279"/>
        <v>2465.2349999999997</v>
      </c>
      <c r="BR73" s="459"/>
      <c r="BS73" s="460">
        <f>808.4+515.775</f>
        <v>1324.175</v>
      </c>
      <c r="BT73" s="459">
        <v>1141.06</v>
      </c>
      <c r="BU73" s="470"/>
      <c r="BV73" s="459">
        <f t="shared" si="280"/>
        <v>670.05106000000001</v>
      </c>
      <c r="BW73" s="459"/>
      <c r="BX73" s="459">
        <f>339.9238+216.861</f>
        <v>556.78480000000002</v>
      </c>
      <c r="BY73" s="459">
        <v>113.26626</v>
      </c>
      <c r="BZ73" s="459"/>
      <c r="CA73" s="464">
        <f t="shared" si="281"/>
        <v>3135.2860600000004</v>
      </c>
      <c r="CB73" s="459">
        <f t="shared" si="282"/>
        <v>3135.2860600000004</v>
      </c>
      <c r="CC73" s="459">
        <f t="shared" si="283"/>
        <v>0</v>
      </c>
      <c r="CD73" s="459">
        <f t="shared" si="283"/>
        <v>1880.9598000000001</v>
      </c>
      <c r="CE73" s="459">
        <f t="shared" si="283"/>
        <v>1254.32626</v>
      </c>
      <c r="CF73" s="459">
        <f t="shared" si="283"/>
        <v>0</v>
      </c>
      <c r="CG73" s="459">
        <f t="shared" si="284"/>
        <v>0</v>
      </c>
      <c r="CH73" s="459">
        <f t="shared" si="285"/>
        <v>0</v>
      </c>
      <c r="CI73" s="459">
        <f t="shared" si="285"/>
        <v>0</v>
      </c>
      <c r="CJ73" s="459">
        <f t="shared" si="285"/>
        <v>0</v>
      </c>
      <c r="CK73" s="459">
        <f t="shared" si="285"/>
        <v>0</v>
      </c>
      <c r="CL73" s="465"/>
      <c r="CM73" s="466"/>
      <c r="CN73" s="466"/>
      <c r="CO73" s="459">
        <f t="shared" si="286"/>
        <v>0</v>
      </c>
      <c r="CP73" s="459"/>
      <c r="CQ73" s="461"/>
      <c r="CR73" s="459"/>
      <c r="CS73" s="461"/>
      <c r="CT73" s="459">
        <f t="shared" si="287"/>
        <v>0</v>
      </c>
      <c r="CU73" s="459"/>
      <c r="CV73" s="461"/>
      <c r="CW73" s="459"/>
      <c r="CX73" s="461"/>
      <c r="CY73" s="459">
        <f t="shared" si="288"/>
        <v>0</v>
      </c>
      <c r="CZ73" s="459">
        <f t="shared" si="295"/>
        <v>0</v>
      </c>
      <c r="DA73" s="459">
        <f t="shared" si="295"/>
        <v>0</v>
      </c>
      <c r="DB73" s="459">
        <f t="shared" si="295"/>
        <v>0</v>
      </c>
      <c r="DC73" s="459">
        <f t="shared" si="295"/>
        <v>0</v>
      </c>
      <c r="DD73" s="459"/>
      <c r="DE73" s="459"/>
      <c r="DF73" s="459"/>
      <c r="DG73" s="459">
        <f t="shared" si="289"/>
        <v>0</v>
      </c>
      <c r="DH73" s="467"/>
      <c r="DI73" s="459">
        <f t="shared" si="290"/>
        <v>2465.2349999999997</v>
      </c>
      <c r="DJ73" s="459">
        <f t="shared" si="291"/>
        <v>2465.2349999999997</v>
      </c>
      <c r="DK73" s="467"/>
      <c r="DL73" s="459"/>
      <c r="DM73" s="459"/>
      <c r="DN73" s="467"/>
      <c r="DO73" s="459"/>
      <c r="DP73" s="467"/>
      <c r="DQ73" s="467"/>
      <c r="DR73" s="459">
        <f t="shared" si="322"/>
        <v>2465.2349999999997</v>
      </c>
      <c r="DS73" s="459"/>
      <c r="DT73" s="460">
        <f>808.4+515.775</f>
        <v>1324.175</v>
      </c>
      <c r="DU73" s="459">
        <f>1589.802-448.742</f>
        <v>1141.06</v>
      </c>
      <c r="DV73" s="470"/>
      <c r="DW73" s="459">
        <f t="shared" si="323"/>
        <v>670.05106000000001</v>
      </c>
      <c r="DX73" s="459"/>
      <c r="DY73" s="459">
        <f>339.9238+216.861</f>
        <v>556.78480000000002</v>
      </c>
      <c r="DZ73" s="459">
        <v>113.26626</v>
      </c>
      <c r="EA73" s="146"/>
      <c r="EB73" s="279"/>
      <c r="EC73" s="279"/>
      <c r="ED73" s="279"/>
      <c r="EE73" s="366"/>
      <c r="EF73" s="366"/>
      <c r="EG73" s="279"/>
      <c r="EH73" s="279"/>
      <c r="EI73" s="279"/>
      <c r="EJ73" s="366"/>
      <c r="EK73" s="366"/>
      <c r="EL73" s="366">
        <v>2.7099999999999999E-2</v>
      </c>
      <c r="EM73" s="280"/>
      <c r="EN73" s="279"/>
      <c r="EO73" s="265" t="e">
        <f t="shared" si="294"/>
        <v>#DIV/0!</v>
      </c>
      <c r="EP73" s="323">
        <f t="shared" si="335"/>
        <v>1880.9598000000001</v>
      </c>
      <c r="EQ73" s="323">
        <f t="shared" si="83"/>
        <v>1324.175</v>
      </c>
      <c r="ER73" s="323">
        <v>556.78480000000002</v>
      </c>
      <c r="ES73" s="358">
        <f t="shared" si="296"/>
        <v>0.7039889954054307</v>
      </c>
      <c r="ET73" s="358">
        <f t="shared" si="297"/>
        <v>0.29601100459456919</v>
      </c>
      <c r="EU73" s="323">
        <f t="shared" si="336"/>
        <v>1880.9598000000001</v>
      </c>
      <c r="EV73" s="323">
        <f t="shared" si="298"/>
        <v>1324.175</v>
      </c>
      <c r="EW73" s="323">
        <f t="shared" si="299"/>
        <v>556.78480000000002</v>
      </c>
      <c r="EX73" s="358">
        <f t="shared" si="300"/>
        <v>0.7039889954054307</v>
      </c>
      <c r="EY73" s="358">
        <f t="shared" si="301"/>
        <v>0.29601100459456919</v>
      </c>
      <c r="EZ73" s="358">
        <v>9.0300000000000005E-2</v>
      </c>
      <c r="FA73" s="323">
        <f t="shared" si="302"/>
        <v>1324.175</v>
      </c>
      <c r="FB73" s="323">
        <f t="shared" si="337"/>
        <v>0</v>
      </c>
      <c r="FC73" s="279">
        <f t="shared" ref="FC73" si="338">FD73+FE73</f>
        <v>1254.32626</v>
      </c>
      <c r="FD73" s="279">
        <f t="shared" ref="FD73" si="339">AU73</f>
        <v>1141.06</v>
      </c>
      <c r="FE73" s="279">
        <v>113.26626</v>
      </c>
      <c r="FF73" s="366">
        <f t="shared" ref="FF73" si="340">FD73/FC73</f>
        <v>0.90969952267442755</v>
      </c>
      <c r="FG73" s="366">
        <f t="shared" ref="FG73" si="341">FE73/FC73</f>
        <v>9.0300477325572379E-2</v>
      </c>
      <c r="FH73" s="279">
        <f t="shared" ref="FH73" si="342">FI73+FJ73</f>
        <v>1254.32626</v>
      </c>
      <c r="FI73" s="279">
        <f t="shared" ref="FI73" si="343">DU73</f>
        <v>1141.06</v>
      </c>
      <c r="FJ73" s="279">
        <f t="shared" ref="FJ73" si="344">DZ73</f>
        <v>113.26626</v>
      </c>
      <c r="FK73" s="366">
        <f t="shared" ref="FK73" si="345">FI73/FH73</f>
        <v>0.90969952267442755</v>
      </c>
      <c r="FL73" s="366">
        <f t="shared" ref="FL73" si="346">FJ73/FH73</f>
        <v>9.0300477325572379E-2</v>
      </c>
      <c r="FM73" s="366">
        <v>9.0300000000000005E-2</v>
      </c>
      <c r="FN73" s="280">
        <f t="shared" ref="FN73" si="347">FH73*FF73</f>
        <v>1141.06</v>
      </c>
      <c r="FO73" s="279">
        <f t="shared" ref="FO73" si="348">FI73-FN73</f>
        <v>0</v>
      </c>
    </row>
    <row r="74" spans="2:171" s="40" customFormat="1" ht="16.149999999999999" customHeight="1" x14ac:dyDescent="0.25">
      <c r="B74" s="32"/>
      <c r="C74" s="33">
        <v>1</v>
      </c>
      <c r="D74" s="33"/>
      <c r="E74" s="434">
        <v>60</v>
      </c>
      <c r="F74" s="32"/>
      <c r="G74" s="33">
        <v>1</v>
      </c>
      <c r="H74" s="33">
        <v>1</v>
      </c>
      <c r="I74" s="434"/>
      <c r="J74" s="435"/>
      <c r="K74" s="435"/>
      <c r="L74" s="53"/>
      <c r="M74" s="434">
        <v>57</v>
      </c>
      <c r="N74" s="435" t="s">
        <v>41</v>
      </c>
      <c r="O74" s="435"/>
      <c r="P74" s="24">
        <f t="shared" si="334"/>
        <v>0</v>
      </c>
      <c r="Q74" s="435"/>
      <c r="R74" s="435"/>
      <c r="S74" s="435" t="s">
        <v>491</v>
      </c>
      <c r="T74" s="435" t="s">
        <v>488</v>
      </c>
      <c r="U74" s="161">
        <v>1</v>
      </c>
      <c r="V74" s="434">
        <v>1</v>
      </c>
      <c r="W74" s="459">
        <f t="shared" si="271"/>
        <v>1508.4</v>
      </c>
      <c r="X74" s="459"/>
      <c r="Y74" s="460">
        <v>1508.4</v>
      </c>
      <c r="Z74" s="459"/>
      <c r="AA74" s="461"/>
      <c r="AB74" s="459">
        <f t="shared" si="272"/>
        <v>1446.7</v>
      </c>
      <c r="AC74" s="459"/>
      <c r="AD74" s="460">
        <v>1446.7</v>
      </c>
      <c r="AE74" s="459"/>
      <c r="AF74" s="461"/>
      <c r="AG74" s="459">
        <f t="shared" si="273"/>
        <v>1446.7</v>
      </c>
      <c r="AH74" s="459"/>
      <c r="AI74" s="460">
        <v>1446.7</v>
      </c>
      <c r="AJ74" s="459"/>
      <c r="AK74" s="461"/>
      <c r="AL74" s="459">
        <f t="shared" si="274"/>
        <v>629</v>
      </c>
      <c r="AM74" s="459"/>
      <c r="AN74" s="460">
        <v>629</v>
      </c>
      <c r="AO74" s="459"/>
      <c r="AP74" s="461"/>
      <c r="AQ74" s="398" t="s">
        <v>435</v>
      </c>
      <c r="AR74" s="459">
        <f t="shared" si="122"/>
        <v>1508.4</v>
      </c>
      <c r="AS74" s="459"/>
      <c r="AT74" s="462">
        <v>1508.4</v>
      </c>
      <c r="AU74" s="459"/>
      <c r="AV74" s="461"/>
      <c r="AW74" s="459" t="e">
        <f t="shared" si="275"/>
        <v>#REF!</v>
      </c>
      <c r="AX74" s="459" t="e">
        <f>#REF!-AS74</f>
        <v>#REF!</v>
      </c>
      <c r="AY74" s="459" t="e">
        <f>#REF!-AT74</f>
        <v>#REF!</v>
      </c>
      <c r="AZ74" s="459" t="e">
        <f>#REF!-AU74</f>
        <v>#REF!</v>
      </c>
      <c r="BA74" s="459" t="e">
        <f>#REF!-AV74</f>
        <v>#REF!</v>
      </c>
      <c r="BB74" s="459">
        <f t="shared" si="276"/>
        <v>2126.6999999999998</v>
      </c>
      <c r="BC74" s="459"/>
      <c r="BD74" s="460">
        <f>629+817.7</f>
        <v>1446.7</v>
      </c>
      <c r="BE74" s="459">
        <v>680</v>
      </c>
      <c r="BF74" s="461"/>
      <c r="BG74" s="459">
        <f t="shared" si="277"/>
        <v>0</v>
      </c>
      <c r="BH74" s="459"/>
      <c r="BI74" s="460"/>
      <c r="BJ74" s="459"/>
      <c r="BK74" s="461"/>
      <c r="BL74" s="459">
        <f t="shared" si="278"/>
        <v>1508.4</v>
      </c>
      <c r="BM74" s="459"/>
      <c r="BN74" s="462">
        <v>1508.4</v>
      </c>
      <c r="BO74" s="459"/>
      <c r="BP74" s="470"/>
      <c r="BQ74" s="459">
        <f t="shared" si="279"/>
        <v>1508.4</v>
      </c>
      <c r="BR74" s="459"/>
      <c r="BS74" s="462">
        <v>1508.4</v>
      </c>
      <c r="BT74" s="459"/>
      <c r="BU74" s="470"/>
      <c r="BV74" s="459">
        <f t="shared" si="280"/>
        <v>1765.30963</v>
      </c>
      <c r="BW74" s="459"/>
      <c r="BX74" s="460">
        <v>1765.30963</v>
      </c>
      <c r="BY74" s="459"/>
      <c r="BZ74" s="459"/>
      <c r="CA74" s="464">
        <f t="shared" si="281"/>
        <v>3273.7096300000003</v>
      </c>
      <c r="CB74" s="459">
        <f t="shared" si="282"/>
        <v>3273.7096300000003</v>
      </c>
      <c r="CC74" s="459">
        <f t="shared" si="283"/>
        <v>0</v>
      </c>
      <c r="CD74" s="459">
        <f t="shared" si="283"/>
        <v>3273.7096300000003</v>
      </c>
      <c r="CE74" s="459">
        <f t="shared" si="283"/>
        <v>0</v>
      </c>
      <c r="CF74" s="459">
        <f t="shared" si="283"/>
        <v>0</v>
      </c>
      <c r="CG74" s="459">
        <f t="shared" si="284"/>
        <v>0</v>
      </c>
      <c r="CH74" s="459">
        <f t="shared" si="285"/>
        <v>0</v>
      </c>
      <c r="CI74" s="459">
        <f t="shared" si="285"/>
        <v>0</v>
      </c>
      <c r="CJ74" s="459">
        <f t="shared" si="285"/>
        <v>0</v>
      </c>
      <c r="CK74" s="459">
        <f t="shared" si="285"/>
        <v>0</v>
      </c>
      <c r="CL74" s="465"/>
      <c r="CM74" s="466"/>
      <c r="CN74" s="466"/>
      <c r="CO74" s="459">
        <f t="shared" si="286"/>
        <v>0</v>
      </c>
      <c r="CP74" s="459"/>
      <c r="CQ74" s="460"/>
      <c r="CR74" s="459"/>
      <c r="CS74" s="461"/>
      <c r="CT74" s="459">
        <f t="shared" si="287"/>
        <v>0</v>
      </c>
      <c r="CU74" s="459"/>
      <c r="CV74" s="460"/>
      <c r="CW74" s="459"/>
      <c r="CX74" s="461"/>
      <c r="CY74" s="459">
        <f t="shared" si="288"/>
        <v>0</v>
      </c>
      <c r="CZ74" s="459">
        <f t="shared" si="295"/>
        <v>0</v>
      </c>
      <c r="DA74" s="459">
        <f t="shared" si="295"/>
        <v>0</v>
      </c>
      <c r="DB74" s="459">
        <f t="shared" si="295"/>
        <v>0</v>
      </c>
      <c r="DC74" s="459">
        <f t="shared" si="295"/>
        <v>0</v>
      </c>
      <c r="DD74" s="459"/>
      <c r="DE74" s="459"/>
      <c r="DF74" s="459"/>
      <c r="DG74" s="459">
        <f t="shared" si="289"/>
        <v>0</v>
      </c>
      <c r="DH74" s="467"/>
      <c r="DI74" s="459">
        <f t="shared" si="290"/>
        <v>1508.4</v>
      </c>
      <c r="DJ74" s="459">
        <f t="shared" si="291"/>
        <v>1508.4</v>
      </c>
      <c r="DK74" s="467"/>
      <c r="DL74" s="459"/>
      <c r="DM74" s="459"/>
      <c r="DN74" s="467"/>
      <c r="DO74" s="459"/>
      <c r="DP74" s="467"/>
      <c r="DQ74" s="467"/>
      <c r="DR74" s="459">
        <f t="shared" si="322"/>
        <v>1508.4</v>
      </c>
      <c r="DS74" s="459"/>
      <c r="DT74" s="460">
        <v>1508.4</v>
      </c>
      <c r="DU74" s="459"/>
      <c r="DV74" s="470"/>
      <c r="DW74" s="459">
        <f t="shared" si="323"/>
        <v>1765.30963</v>
      </c>
      <c r="DX74" s="459"/>
      <c r="DY74" s="460">
        <v>1765.30963</v>
      </c>
      <c r="DZ74" s="459"/>
      <c r="EA74" s="146"/>
      <c r="EB74" s="279"/>
      <c r="EC74" s="279"/>
      <c r="ED74" s="286"/>
      <c r="EE74" s="366"/>
      <c r="EF74" s="366"/>
      <c r="EG74" s="279"/>
      <c r="EH74" s="279"/>
      <c r="EI74" s="286"/>
      <c r="EJ74" s="366"/>
      <c r="EK74" s="366"/>
      <c r="EL74" s="366">
        <v>0.13370000000000001</v>
      </c>
      <c r="EM74" s="280"/>
      <c r="EN74" s="279"/>
      <c r="EO74" s="265" t="e">
        <f t="shared" si="294"/>
        <v>#DIV/0!</v>
      </c>
      <c r="EP74" s="323">
        <f t="shared" si="335"/>
        <v>3273.7096300000003</v>
      </c>
      <c r="EQ74" s="323">
        <f t="shared" si="83"/>
        <v>1508.4</v>
      </c>
      <c r="ER74" s="328">
        <v>1765.30963</v>
      </c>
      <c r="ES74" s="358">
        <f t="shared" si="296"/>
        <v>0.4607616955936315</v>
      </c>
      <c r="ET74" s="358">
        <f t="shared" si="297"/>
        <v>0.53923830440636844</v>
      </c>
      <c r="EU74" s="323">
        <f t="shared" si="336"/>
        <v>3273.7096300000003</v>
      </c>
      <c r="EV74" s="323">
        <f t="shared" si="298"/>
        <v>1508.4</v>
      </c>
      <c r="EW74" s="328">
        <f t="shared" si="299"/>
        <v>1765.30963</v>
      </c>
      <c r="EX74" s="358">
        <f t="shared" si="300"/>
        <v>0.4607616955936315</v>
      </c>
      <c r="EY74" s="358">
        <f t="shared" si="301"/>
        <v>0.53923830440636844</v>
      </c>
      <c r="EZ74" s="358">
        <v>0.44550000000000001</v>
      </c>
      <c r="FA74" s="323">
        <f t="shared" si="302"/>
        <v>1508.4</v>
      </c>
      <c r="FB74" s="323">
        <f t="shared" si="337"/>
        <v>0</v>
      </c>
      <c r="FC74" s="279"/>
      <c r="FD74" s="279"/>
      <c r="FE74" s="286"/>
      <c r="FF74" s="366"/>
      <c r="FG74" s="366"/>
      <c r="FH74" s="279"/>
      <c r="FI74" s="279"/>
      <c r="FJ74" s="286"/>
      <c r="FK74" s="366"/>
      <c r="FL74" s="366"/>
      <c r="FM74" s="366">
        <v>0.44550000000000001</v>
      </c>
      <c r="FN74" s="280"/>
      <c r="FO74" s="279"/>
    </row>
    <row r="75" spans="2:171" s="40" customFormat="1" ht="15.6" customHeight="1" x14ac:dyDescent="0.25">
      <c r="B75" s="32"/>
      <c r="C75" s="33">
        <v>1</v>
      </c>
      <c r="D75" s="33"/>
      <c r="E75" s="434">
        <v>61</v>
      </c>
      <c r="F75" s="32"/>
      <c r="G75" s="33">
        <v>1</v>
      </c>
      <c r="H75" s="33">
        <v>1</v>
      </c>
      <c r="I75" s="657"/>
      <c r="J75" s="658"/>
      <c r="K75" s="658"/>
      <c r="L75" s="658"/>
      <c r="M75" s="434">
        <v>58</v>
      </c>
      <c r="N75" s="435" t="s">
        <v>30</v>
      </c>
      <c r="O75" s="435"/>
      <c r="P75" s="24">
        <f t="shared" si="334"/>
        <v>0</v>
      </c>
      <c r="Q75" s="435" t="s">
        <v>491</v>
      </c>
      <c r="R75" s="435" t="s">
        <v>488</v>
      </c>
      <c r="S75" s="435" t="s">
        <v>491</v>
      </c>
      <c r="T75" s="435" t="s">
        <v>498</v>
      </c>
      <c r="U75" s="161">
        <v>1</v>
      </c>
      <c r="V75" s="434"/>
      <c r="W75" s="459">
        <f t="shared" si="271"/>
        <v>736.8</v>
      </c>
      <c r="X75" s="459"/>
      <c r="Y75" s="460">
        <v>736.8</v>
      </c>
      <c r="Z75" s="459"/>
      <c r="AA75" s="461"/>
      <c r="AB75" s="459">
        <f t="shared" si="272"/>
        <v>742.9</v>
      </c>
      <c r="AC75" s="459"/>
      <c r="AD75" s="460">
        <v>742.9</v>
      </c>
      <c r="AE75" s="459"/>
      <c r="AF75" s="461"/>
      <c r="AG75" s="459">
        <f t="shared" si="273"/>
        <v>742.9</v>
      </c>
      <c r="AH75" s="459"/>
      <c r="AI75" s="460">
        <v>742.9</v>
      </c>
      <c r="AJ75" s="459"/>
      <c r="AK75" s="461"/>
      <c r="AL75" s="459">
        <f t="shared" si="274"/>
        <v>323</v>
      </c>
      <c r="AM75" s="459"/>
      <c r="AN75" s="460">
        <v>323</v>
      </c>
      <c r="AO75" s="459"/>
      <c r="AP75" s="461"/>
      <c r="AQ75" s="398" t="s">
        <v>406</v>
      </c>
      <c r="AR75" s="459">
        <f t="shared" si="122"/>
        <v>736.8</v>
      </c>
      <c r="AS75" s="459"/>
      <c r="AT75" s="462">
        <v>736.8</v>
      </c>
      <c r="AU75" s="459"/>
      <c r="AV75" s="461"/>
      <c r="AW75" s="459" t="e">
        <f t="shared" si="275"/>
        <v>#REF!</v>
      </c>
      <c r="AX75" s="459" t="e">
        <f>#REF!-AS75</f>
        <v>#REF!</v>
      </c>
      <c r="AY75" s="459" t="e">
        <f>#REF!-AT75</f>
        <v>#REF!</v>
      </c>
      <c r="AZ75" s="459" t="e">
        <f>#REF!-AU75</f>
        <v>#REF!</v>
      </c>
      <c r="BA75" s="459" t="e">
        <f>#REF!-AV75</f>
        <v>#REF!</v>
      </c>
      <c r="BB75" s="459">
        <f t="shared" si="276"/>
        <v>742.9</v>
      </c>
      <c r="BC75" s="459"/>
      <c r="BD75" s="460">
        <f>323+419.9</f>
        <v>742.9</v>
      </c>
      <c r="BE75" s="459"/>
      <c r="BF75" s="461"/>
      <c r="BG75" s="459">
        <f t="shared" si="277"/>
        <v>0</v>
      </c>
      <c r="BH75" s="459"/>
      <c r="BI75" s="460"/>
      <c r="BJ75" s="459"/>
      <c r="BK75" s="461"/>
      <c r="BL75" s="459">
        <f t="shared" si="278"/>
        <v>736.8</v>
      </c>
      <c r="BM75" s="459"/>
      <c r="BN75" s="460">
        <v>736.8</v>
      </c>
      <c r="BO75" s="459"/>
      <c r="BP75" s="470"/>
      <c r="BQ75" s="459">
        <f t="shared" si="279"/>
        <v>736.8</v>
      </c>
      <c r="BR75" s="459"/>
      <c r="BS75" s="460">
        <v>736.8</v>
      </c>
      <c r="BT75" s="459"/>
      <c r="BU75" s="470"/>
      <c r="BV75" s="459">
        <f t="shared" si="280"/>
        <v>982.15899999999999</v>
      </c>
      <c r="BW75" s="459"/>
      <c r="BX75" s="459">
        <v>982.15899999999999</v>
      </c>
      <c r="BY75" s="459"/>
      <c r="BZ75" s="459"/>
      <c r="CA75" s="464">
        <f t="shared" si="281"/>
        <v>1718.9589999999998</v>
      </c>
      <c r="CB75" s="459">
        <f t="shared" si="282"/>
        <v>1718.9589999999998</v>
      </c>
      <c r="CC75" s="459">
        <f t="shared" si="283"/>
        <v>0</v>
      </c>
      <c r="CD75" s="459">
        <f t="shared" si="283"/>
        <v>1718.9589999999998</v>
      </c>
      <c r="CE75" s="459">
        <f t="shared" si="283"/>
        <v>0</v>
      </c>
      <c r="CF75" s="459">
        <f t="shared" si="283"/>
        <v>0</v>
      </c>
      <c r="CG75" s="459">
        <f t="shared" si="284"/>
        <v>0</v>
      </c>
      <c r="CH75" s="459">
        <f t="shared" si="285"/>
        <v>0</v>
      </c>
      <c r="CI75" s="459">
        <f t="shared" si="285"/>
        <v>0</v>
      </c>
      <c r="CJ75" s="459">
        <f t="shared" si="285"/>
        <v>0</v>
      </c>
      <c r="CK75" s="459">
        <f t="shared" si="285"/>
        <v>0</v>
      </c>
      <c r="CL75" s="465"/>
      <c r="CM75" s="466"/>
      <c r="CN75" s="466"/>
      <c r="CO75" s="459">
        <f t="shared" si="286"/>
        <v>0</v>
      </c>
      <c r="CP75" s="459"/>
      <c r="CQ75" s="460"/>
      <c r="CR75" s="459"/>
      <c r="CS75" s="461"/>
      <c r="CT75" s="459">
        <f t="shared" si="287"/>
        <v>0</v>
      </c>
      <c r="CU75" s="459"/>
      <c r="CV75" s="460"/>
      <c r="CW75" s="459"/>
      <c r="CX75" s="461"/>
      <c r="CY75" s="459">
        <f t="shared" si="288"/>
        <v>0</v>
      </c>
      <c r="CZ75" s="459">
        <f t="shared" si="295"/>
        <v>0</v>
      </c>
      <c r="DA75" s="459">
        <f t="shared" si="295"/>
        <v>0</v>
      </c>
      <c r="DB75" s="459">
        <f t="shared" si="295"/>
        <v>0</v>
      </c>
      <c r="DC75" s="459">
        <f t="shared" si="295"/>
        <v>0</v>
      </c>
      <c r="DD75" s="459"/>
      <c r="DE75" s="459"/>
      <c r="DF75" s="459"/>
      <c r="DG75" s="459">
        <f t="shared" si="289"/>
        <v>0</v>
      </c>
      <c r="DH75" s="467"/>
      <c r="DI75" s="459">
        <f t="shared" si="290"/>
        <v>736.8</v>
      </c>
      <c r="DJ75" s="459">
        <f t="shared" si="291"/>
        <v>736.8</v>
      </c>
      <c r="DK75" s="467"/>
      <c r="DL75" s="459"/>
      <c r="DM75" s="459"/>
      <c r="DN75" s="467"/>
      <c r="DO75" s="459"/>
      <c r="DP75" s="467"/>
      <c r="DQ75" s="467"/>
      <c r="DR75" s="459">
        <f t="shared" si="322"/>
        <v>736.8</v>
      </c>
      <c r="DS75" s="459"/>
      <c r="DT75" s="460">
        <v>736.8</v>
      </c>
      <c r="DU75" s="459"/>
      <c r="DV75" s="470"/>
      <c r="DW75" s="459">
        <f t="shared" si="323"/>
        <v>982.15899999999999</v>
      </c>
      <c r="DX75" s="459"/>
      <c r="DY75" s="459">
        <v>982.15899999999999</v>
      </c>
      <c r="DZ75" s="459"/>
      <c r="EA75" s="146"/>
      <c r="EB75" s="279"/>
      <c r="EC75" s="279"/>
      <c r="ED75" s="279"/>
      <c r="EE75" s="366"/>
      <c r="EF75" s="366"/>
      <c r="EG75" s="279"/>
      <c r="EH75" s="279"/>
      <c r="EI75" s="279"/>
      <c r="EJ75" s="366"/>
      <c r="EK75" s="366"/>
      <c r="EL75" s="366">
        <v>1.9099999999999999E-2</v>
      </c>
      <c r="EM75" s="280"/>
      <c r="EN75" s="279"/>
      <c r="EO75" s="265" t="e">
        <f t="shared" si="294"/>
        <v>#DIV/0!</v>
      </c>
      <c r="EP75" s="323">
        <f t="shared" si="335"/>
        <v>1718.9589999999998</v>
      </c>
      <c r="EQ75" s="323">
        <f t="shared" ref="EQ75:EQ138" si="349">AT75</f>
        <v>736.8</v>
      </c>
      <c r="ER75" s="323">
        <v>982.15899999999999</v>
      </c>
      <c r="ES75" s="358">
        <f t="shared" si="296"/>
        <v>0.42863151477144018</v>
      </c>
      <c r="ET75" s="358">
        <f t="shared" si="297"/>
        <v>0.57136848522855987</v>
      </c>
      <c r="EU75" s="323">
        <f t="shared" si="336"/>
        <v>1718.9589999999998</v>
      </c>
      <c r="EV75" s="323">
        <f t="shared" si="298"/>
        <v>736.8</v>
      </c>
      <c r="EW75" s="323">
        <f t="shared" si="299"/>
        <v>982.15899999999999</v>
      </c>
      <c r="EX75" s="358">
        <f t="shared" si="300"/>
        <v>0.42863151477144018</v>
      </c>
      <c r="EY75" s="358">
        <f t="shared" si="301"/>
        <v>0.57136848522855987</v>
      </c>
      <c r="EZ75" s="358">
        <v>6.3700000000000007E-2</v>
      </c>
      <c r="FA75" s="323">
        <f t="shared" si="302"/>
        <v>736.8</v>
      </c>
      <c r="FB75" s="323">
        <f t="shared" si="337"/>
        <v>0</v>
      </c>
      <c r="FC75" s="279"/>
      <c r="FD75" s="279"/>
      <c r="FE75" s="279"/>
      <c r="FF75" s="366"/>
      <c r="FG75" s="366"/>
      <c r="FH75" s="279"/>
      <c r="FI75" s="279"/>
      <c r="FJ75" s="279"/>
      <c r="FK75" s="366"/>
      <c r="FL75" s="366"/>
      <c r="FM75" s="366">
        <v>6.3700000000000007E-2</v>
      </c>
      <c r="FN75" s="280"/>
      <c r="FO75" s="279"/>
    </row>
    <row r="76" spans="2:171" s="40" customFormat="1" ht="15.75" customHeight="1" x14ac:dyDescent="0.25">
      <c r="B76" s="32"/>
      <c r="C76" s="33">
        <v>1</v>
      </c>
      <c r="D76" s="33"/>
      <c r="E76" s="434">
        <v>62</v>
      </c>
      <c r="F76" s="32"/>
      <c r="G76" s="33"/>
      <c r="H76" s="33">
        <v>1</v>
      </c>
      <c r="I76" s="595"/>
      <c r="J76" s="662"/>
      <c r="K76" s="435"/>
      <c r="L76" s="53"/>
      <c r="M76" s="434">
        <v>59</v>
      </c>
      <c r="N76" s="435" t="s">
        <v>42</v>
      </c>
      <c r="O76" s="435"/>
      <c r="P76" s="24">
        <f t="shared" si="334"/>
        <v>0</v>
      </c>
      <c r="Q76" s="435" t="s">
        <v>490</v>
      </c>
      <c r="R76" s="435" t="s">
        <v>488</v>
      </c>
      <c r="S76" s="435" t="s">
        <v>490</v>
      </c>
      <c r="T76" s="435" t="s">
        <v>488</v>
      </c>
      <c r="U76" s="161">
        <v>1</v>
      </c>
      <c r="V76" s="434"/>
      <c r="W76" s="459">
        <f t="shared" si="271"/>
        <v>5852.4230000000007</v>
      </c>
      <c r="X76" s="459"/>
      <c r="Y76" s="460">
        <v>1232.0999999999999</v>
      </c>
      <c r="Z76" s="459">
        <v>4620.3230000000003</v>
      </c>
      <c r="AA76" s="461"/>
      <c r="AB76" s="459">
        <f t="shared" si="272"/>
        <v>5512.6</v>
      </c>
      <c r="AC76" s="459"/>
      <c r="AD76" s="460">
        <v>1499.6</v>
      </c>
      <c r="AE76" s="459">
        <v>4013</v>
      </c>
      <c r="AF76" s="461"/>
      <c r="AG76" s="459">
        <f t="shared" si="273"/>
        <v>1499.6</v>
      </c>
      <c r="AH76" s="459"/>
      <c r="AI76" s="460">
        <v>1499.6</v>
      </c>
      <c r="AJ76" s="459"/>
      <c r="AK76" s="461"/>
      <c r="AL76" s="459">
        <f t="shared" si="274"/>
        <v>652</v>
      </c>
      <c r="AM76" s="459"/>
      <c r="AN76" s="460">
        <v>652</v>
      </c>
      <c r="AO76" s="459"/>
      <c r="AP76" s="461"/>
      <c r="AQ76" s="383" t="s">
        <v>384</v>
      </c>
      <c r="AR76" s="459">
        <f t="shared" si="122"/>
        <v>5852.4230000000007</v>
      </c>
      <c r="AS76" s="459"/>
      <c r="AT76" s="462">
        <v>1232.0999999999999</v>
      </c>
      <c r="AU76" s="459">
        <v>4620.3230000000003</v>
      </c>
      <c r="AV76" s="461"/>
      <c r="AW76" s="459" t="e">
        <f t="shared" si="275"/>
        <v>#REF!</v>
      </c>
      <c r="AX76" s="459" t="e">
        <f>#REF!-AS76</f>
        <v>#REF!</v>
      </c>
      <c r="AY76" s="459" t="e">
        <f>#REF!-AT76</f>
        <v>#REF!</v>
      </c>
      <c r="AZ76" s="459" t="e">
        <f>#REF!-AU76</f>
        <v>#REF!</v>
      </c>
      <c r="BA76" s="459" t="e">
        <f>#REF!-AV76</f>
        <v>#REF!</v>
      </c>
      <c r="BB76" s="459">
        <f t="shared" si="276"/>
        <v>5512.6</v>
      </c>
      <c r="BC76" s="459"/>
      <c r="BD76" s="460">
        <v>1499.6</v>
      </c>
      <c r="BE76" s="459">
        <v>4013</v>
      </c>
      <c r="BF76" s="461"/>
      <c r="BG76" s="459">
        <f t="shared" si="277"/>
        <v>0</v>
      </c>
      <c r="BH76" s="459"/>
      <c r="BI76" s="459"/>
      <c r="BJ76" s="459"/>
      <c r="BK76" s="461"/>
      <c r="BL76" s="459">
        <f t="shared" si="278"/>
        <v>4620.3230000000003</v>
      </c>
      <c r="BM76" s="459"/>
      <c r="BN76" s="460"/>
      <c r="BO76" s="459">
        <v>4620.3230000000003</v>
      </c>
      <c r="BP76" s="470"/>
      <c r="BQ76" s="459">
        <f t="shared" si="279"/>
        <v>4620.3230000000003</v>
      </c>
      <c r="BR76" s="459"/>
      <c r="BS76" s="459"/>
      <c r="BT76" s="459">
        <v>4620.3230000000003</v>
      </c>
      <c r="BU76" s="470"/>
      <c r="BV76" s="459">
        <f t="shared" si="280"/>
        <v>1107.4828199999999</v>
      </c>
      <c r="BW76" s="459"/>
      <c r="BX76" s="459"/>
      <c r="BY76" s="459">
        <v>1107.4828199999999</v>
      </c>
      <c r="BZ76" s="459"/>
      <c r="CA76" s="464">
        <f t="shared" si="281"/>
        <v>5727.8058200000005</v>
      </c>
      <c r="CB76" s="459">
        <f t="shared" si="282"/>
        <v>5727.8058200000005</v>
      </c>
      <c r="CC76" s="459">
        <f t="shared" si="283"/>
        <v>0</v>
      </c>
      <c r="CD76" s="459">
        <f t="shared" si="283"/>
        <v>0</v>
      </c>
      <c r="CE76" s="459">
        <f t="shared" si="283"/>
        <v>5727.8058200000005</v>
      </c>
      <c r="CF76" s="459">
        <f t="shared" si="283"/>
        <v>0</v>
      </c>
      <c r="CG76" s="459">
        <f t="shared" si="284"/>
        <v>0</v>
      </c>
      <c r="CH76" s="459">
        <f t="shared" si="285"/>
        <v>0</v>
      </c>
      <c r="CI76" s="459">
        <f t="shared" si="285"/>
        <v>0</v>
      </c>
      <c r="CJ76" s="459">
        <f t="shared" si="285"/>
        <v>0</v>
      </c>
      <c r="CK76" s="459">
        <f t="shared" si="285"/>
        <v>0</v>
      </c>
      <c r="CL76" s="465"/>
      <c r="CM76" s="466"/>
      <c r="CN76" s="466"/>
      <c r="CO76" s="459">
        <f t="shared" si="286"/>
        <v>0</v>
      </c>
      <c r="CP76" s="459"/>
      <c r="CQ76" s="459"/>
      <c r="CR76" s="459"/>
      <c r="CS76" s="461"/>
      <c r="CT76" s="459">
        <f t="shared" si="287"/>
        <v>0</v>
      </c>
      <c r="CU76" s="459"/>
      <c r="CV76" s="459"/>
      <c r="CW76" s="459"/>
      <c r="CX76" s="461"/>
      <c r="CY76" s="459">
        <f t="shared" si="288"/>
        <v>0</v>
      </c>
      <c r="CZ76" s="459">
        <f t="shared" si="295"/>
        <v>0</v>
      </c>
      <c r="DA76" s="459">
        <f t="shared" si="295"/>
        <v>0</v>
      </c>
      <c r="DB76" s="459">
        <f t="shared" si="295"/>
        <v>0</v>
      </c>
      <c r="DC76" s="459">
        <f t="shared" si="295"/>
        <v>0</v>
      </c>
      <c r="DD76" s="459"/>
      <c r="DE76" s="459"/>
      <c r="DF76" s="459"/>
      <c r="DG76" s="459">
        <f t="shared" si="289"/>
        <v>0</v>
      </c>
      <c r="DH76" s="467"/>
      <c r="DI76" s="459">
        <f t="shared" si="290"/>
        <v>4620.3230000000003</v>
      </c>
      <c r="DJ76" s="459">
        <f t="shared" si="291"/>
        <v>4620.3230000000003</v>
      </c>
      <c r="DK76" s="467"/>
      <c r="DL76" s="459"/>
      <c r="DM76" s="459"/>
      <c r="DN76" s="467"/>
      <c r="DO76" s="459"/>
      <c r="DP76" s="467"/>
      <c r="DQ76" s="467"/>
      <c r="DR76" s="459">
        <f t="shared" si="322"/>
        <v>4620.3230000000003</v>
      </c>
      <c r="DS76" s="459"/>
      <c r="DT76" s="460"/>
      <c r="DU76" s="459">
        <v>4620.3230000000003</v>
      </c>
      <c r="DV76" s="470"/>
      <c r="DW76" s="459">
        <f t="shared" si="323"/>
        <v>1107.4828199999999</v>
      </c>
      <c r="DX76" s="459"/>
      <c r="DY76" s="459"/>
      <c r="DZ76" s="459">
        <v>1107.4828199999999</v>
      </c>
      <c r="EA76" s="146"/>
      <c r="EB76" s="279"/>
      <c r="EC76" s="279"/>
      <c r="ED76" s="279"/>
      <c r="EE76" s="366"/>
      <c r="EF76" s="366"/>
      <c r="EG76" s="279"/>
      <c r="EH76" s="279"/>
      <c r="EI76" s="279"/>
      <c r="EJ76" s="366"/>
      <c r="EK76" s="366"/>
      <c r="EL76" s="366">
        <v>3.2099999999999997E-2</v>
      </c>
      <c r="EM76" s="280"/>
      <c r="EN76" s="279"/>
      <c r="EO76" s="265" t="e">
        <f t="shared" si="294"/>
        <v>#DIV/0!</v>
      </c>
      <c r="EP76" s="323">
        <f t="shared" si="335"/>
        <v>1393.2647999999999</v>
      </c>
      <c r="EQ76" s="323">
        <f t="shared" si="349"/>
        <v>1232.0999999999999</v>
      </c>
      <c r="ER76" s="323">
        <v>161.16480000000001</v>
      </c>
      <c r="ES76" s="358">
        <f t="shared" si="296"/>
        <v>0.88432579363233754</v>
      </c>
      <c r="ET76" s="358">
        <f t="shared" si="297"/>
        <v>0.1156742063676625</v>
      </c>
      <c r="EU76" s="323">
        <f t="shared" si="336"/>
        <v>0</v>
      </c>
      <c r="EV76" s="323">
        <f t="shared" si="298"/>
        <v>0</v>
      </c>
      <c r="EW76" s="323">
        <f t="shared" si="299"/>
        <v>0</v>
      </c>
      <c r="EX76" s="358" t="e">
        <f t="shared" si="300"/>
        <v>#DIV/0!</v>
      </c>
      <c r="EY76" s="358" t="e">
        <f t="shared" si="301"/>
        <v>#DIV/0!</v>
      </c>
      <c r="EZ76" s="358">
        <v>0.107</v>
      </c>
      <c r="FA76" s="323">
        <f t="shared" si="302"/>
        <v>0</v>
      </c>
      <c r="FB76" s="323">
        <f t="shared" si="337"/>
        <v>0</v>
      </c>
      <c r="FC76" s="279">
        <f t="shared" si="308"/>
        <v>5727.8058200000005</v>
      </c>
      <c r="FD76" s="279">
        <f t="shared" ref="FD76:FD133" si="350">AU76</f>
        <v>4620.3230000000003</v>
      </c>
      <c r="FE76" s="279">
        <v>1107.4828199999999</v>
      </c>
      <c r="FF76" s="366">
        <f t="shared" si="309"/>
        <v>0.80664798095407497</v>
      </c>
      <c r="FG76" s="366">
        <f t="shared" si="310"/>
        <v>0.19335201904592497</v>
      </c>
      <c r="FH76" s="279">
        <f t="shared" ref="FH76:FH133" si="351">FI76+FJ76</f>
        <v>5727.8058200000005</v>
      </c>
      <c r="FI76" s="279">
        <f t="shared" si="151"/>
        <v>4620.3230000000003</v>
      </c>
      <c r="FJ76" s="279">
        <f t="shared" si="152"/>
        <v>1107.4828199999999</v>
      </c>
      <c r="FK76" s="366">
        <f t="shared" si="311"/>
        <v>0.80664798095407497</v>
      </c>
      <c r="FL76" s="366">
        <f t="shared" si="312"/>
        <v>0.19335201904592497</v>
      </c>
      <c r="FM76" s="366">
        <v>0.107</v>
      </c>
      <c r="FN76" s="280">
        <f t="shared" si="230"/>
        <v>4620.3230000000003</v>
      </c>
      <c r="FO76" s="279">
        <f t="shared" ref="FO76:FO133" si="352">FI76-FN76</f>
        <v>0</v>
      </c>
    </row>
    <row r="77" spans="2:171" s="40" customFormat="1" ht="15.6" customHeight="1" x14ac:dyDescent="0.25">
      <c r="B77" s="32"/>
      <c r="C77" s="33"/>
      <c r="D77" s="33">
        <v>1</v>
      </c>
      <c r="E77" s="434">
        <v>63</v>
      </c>
      <c r="F77" s="32"/>
      <c r="G77" s="33"/>
      <c r="H77" s="33">
        <v>1</v>
      </c>
      <c r="I77" s="661"/>
      <c r="J77" s="663"/>
      <c r="K77" s="435"/>
      <c r="L77" s="53"/>
      <c r="M77" s="434">
        <v>60</v>
      </c>
      <c r="N77" s="435" t="s">
        <v>96</v>
      </c>
      <c r="O77" s="435"/>
      <c r="P77" s="24">
        <f t="shared" si="334"/>
        <v>0</v>
      </c>
      <c r="Q77" s="435"/>
      <c r="R77" s="435"/>
      <c r="S77" s="435" t="s">
        <v>491</v>
      </c>
      <c r="T77" s="435" t="s">
        <v>488</v>
      </c>
      <c r="U77" s="161">
        <v>1</v>
      </c>
      <c r="V77" s="434">
        <v>1</v>
      </c>
      <c r="W77" s="459">
        <f t="shared" si="271"/>
        <v>3663.9490000000001</v>
      </c>
      <c r="X77" s="459"/>
      <c r="Y77" s="460">
        <v>411.4</v>
      </c>
      <c r="Z77" s="459">
        <v>3252.549</v>
      </c>
      <c r="AA77" s="461"/>
      <c r="AB77" s="459">
        <f t="shared" si="272"/>
        <v>416.3</v>
      </c>
      <c r="AC77" s="459"/>
      <c r="AD77" s="460">
        <v>416.3</v>
      </c>
      <c r="AE77" s="459"/>
      <c r="AF77" s="461"/>
      <c r="AG77" s="459">
        <f t="shared" si="273"/>
        <v>416.3</v>
      </c>
      <c r="AH77" s="459"/>
      <c r="AI77" s="460">
        <v>416.3</v>
      </c>
      <c r="AJ77" s="459"/>
      <c r="AK77" s="461"/>
      <c r="AL77" s="459">
        <f t="shared" si="274"/>
        <v>181</v>
      </c>
      <c r="AM77" s="459"/>
      <c r="AN77" s="460">
        <v>181</v>
      </c>
      <c r="AO77" s="459"/>
      <c r="AP77" s="461"/>
      <c r="AQ77" s="383" t="s">
        <v>509</v>
      </c>
      <c r="AR77" s="459">
        <f t="shared" si="122"/>
        <v>3663.9490000000001</v>
      </c>
      <c r="AS77" s="459"/>
      <c r="AT77" s="462">
        <v>411.4</v>
      </c>
      <c r="AU77" s="459">
        <v>3252.549</v>
      </c>
      <c r="AV77" s="459"/>
      <c r="AW77" s="459" t="e">
        <f t="shared" si="275"/>
        <v>#REF!</v>
      </c>
      <c r="AX77" s="459" t="e">
        <f>#REF!-AS77</f>
        <v>#REF!</v>
      </c>
      <c r="AY77" s="459" t="e">
        <f>#REF!-AT77</f>
        <v>#REF!</v>
      </c>
      <c r="AZ77" s="459" t="e">
        <f>#REF!-AU77</f>
        <v>#REF!</v>
      </c>
      <c r="BA77" s="459" t="e">
        <f>#REF!-AV77</f>
        <v>#REF!</v>
      </c>
      <c r="BB77" s="459">
        <f t="shared" si="276"/>
        <v>416.3</v>
      </c>
      <c r="BC77" s="459"/>
      <c r="BD77" s="460">
        <v>416.3</v>
      </c>
      <c r="BE77" s="459"/>
      <c r="BF77" s="459"/>
      <c r="BG77" s="459">
        <f t="shared" si="277"/>
        <v>0</v>
      </c>
      <c r="BH77" s="459"/>
      <c r="BI77" s="459"/>
      <c r="BJ77" s="459"/>
      <c r="BK77" s="459"/>
      <c r="BL77" s="459">
        <f t="shared" si="278"/>
        <v>3663.9490000000001</v>
      </c>
      <c r="BM77" s="459"/>
      <c r="BN77" s="462">
        <v>411.4</v>
      </c>
      <c r="BO77" s="459">
        <v>3252.549</v>
      </c>
      <c r="BP77" s="459"/>
      <c r="BQ77" s="459">
        <f t="shared" si="279"/>
        <v>3663.9490000000001</v>
      </c>
      <c r="BR77" s="459"/>
      <c r="BS77" s="462">
        <v>411.4</v>
      </c>
      <c r="BT77" s="459">
        <f>3252.549</f>
        <v>3252.549</v>
      </c>
      <c r="BU77" s="459"/>
      <c r="BV77" s="459">
        <f t="shared" si="280"/>
        <v>1420.25604</v>
      </c>
      <c r="BW77" s="459"/>
      <c r="BX77" s="459">
        <v>682.75256999999999</v>
      </c>
      <c r="BY77" s="459">
        <v>737.50346999999999</v>
      </c>
      <c r="BZ77" s="459"/>
      <c r="CA77" s="464">
        <f t="shared" si="281"/>
        <v>5084.2050399999998</v>
      </c>
      <c r="CB77" s="459">
        <f t="shared" si="282"/>
        <v>5084.2050399999998</v>
      </c>
      <c r="CC77" s="459">
        <f t="shared" si="283"/>
        <v>0</v>
      </c>
      <c r="CD77" s="459">
        <f t="shared" si="283"/>
        <v>1094.15257</v>
      </c>
      <c r="CE77" s="459">
        <f t="shared" si="283"/>
        <v>3990.0524700000001</v>
      </c>
      <c r="CF77" s="459">
        <f t="shared" si="283"/>
        <v>0</v>
      </c>
      <c r="CG77" s="459">
        <f t="shared" si="284"/>
        <v>0</v>
      </c>
      <c r="CH77" s="459">
        <f t="shared" si="285"/>
        <v>0</v>
      </c>
      <c r="CI77" s="459">
        <f t="shared" si="285"/>
        <v>0</v>
      </c>
      <c r="CJ77" s="459">
        <f t="shared" si="285"/>
        <v>0</v>
      </c>
      <c r="CK77" s="459">
        <f t="shared" si="285"/>
        <v>0</v>
      </c>
      <c r="CL77" s="465"/>
      <c r="CM77" s="466"/>
      <c r="CN77" s="466"/>
      <c r="CO77" s="459">
        <f t="shared" si="286"/>
        <v>0</v>
      </c>
      <c r="CP77" s="459"/>
      <c r="CQ77" s="459"/>
      <c r="CR77" s="459"/>
      <c r="CS77" s="459"/>
      <c r="CT77" s="459">
        <f t="shared" si="287"/>
        <v>0</v>
      </c>
      <c r="CU77" s="459"/>
      <c r="CV77" s="459"/>
      <c r="CW77" s="459"/>
      <c r="CX77" s="459"/>
      <c r="CY77" s="459">
        <f t="shared" si="288"/>
        <v>0</v>
      </c>
      <c r="CZ77" s="459">
        <f t="shared" si="295"/>
        <v>0</v>
      </c>
      <c r="DA77" s="459">
        <f t="shared" si="295"/>
        <v>0</v>
      </c>
      <c r="DB77" s="459">
        <f t="shared" si="295"/>
        <v>0</v>
      </c>
      <c r="DC77" s="459">
        <f t="shared" si="295"/>
        <v>0</v>
      </c>
      <c r="DD77" s="459"/>
      <c r="DE77" s="459"/>
      <c r="DF77" s="459"/>
      <c r="DG77" s="459">
        <f t="shared" si="289"/>
        <v>0</v>
      </c>
      <c r="DH77" s="467"/>
      <c r="DI77" s="459">
        <f t="shared" si="290"/>
        <v>3663.9490000000001</v>
      </c>
      <c r="DJ77" s="459">
        <f t="shared" si="291"/>
        <v>3663.9490000000001</v>
      </c>
      <c r="DK77" s="467"/>
      <c r="DL77" s="459"/>
      <c r="DM77" s="459"/>
      <c r="DN77" s="467"/>
      <c r="DO77" s="459"/>
      <c r="DP77" s="467"/>
      <c r="DQ77" s="467"/>
      <c r="DR77" s="459">
        <f t="shared" si="322"/>
        <v>3663.9490000000001</v>
      </c>
      <c r="DS77" s="459"/>
      <c r="DT77" s="462">
        <v>411.4</v>
      </c>
      <c r="DU77" s="459">
        <v>3252.549</v>
      </c>
      <c r="DV77" s="459"/>
      <c r="DW77" s="459">
        <f t="shared" si="323"/>
        <v>1420.25604</v>
      </c>
      <c r="DX77" s="459"/>
      <c r="DY77" s="459">
        <v>682.75256999999999</v>
      </c>
      <c r="DZ77" s="459">
        <v>737.50346999999999</v>
      </c>
      <c r="EA77" s="146"/>
      <c r="EB77" s="279"/>
      <c r="EC77" s="279"/>
      <c r="ED77" s="279"/>
      <c r="EE77" s="366"/>
      <c r="EF77" s="366"/>
      <c r="EG77" s="279"/>
      <c r="EH77" s="279"/>
      <c r="EI77" s="279"/>
      <c r="EJ77" s="366"/>
      <c r="EK77" s="366"/>
      <c r="EL77" s="366">
        <v>4.4600000000000001E-2</v>
      </c>
      <c r="EM77" s="280"/>
      <c r="EN77" s="279"/>
      <c r="EO77" s="265" t="e">
        <f t="shared" si="294"/>
        <v>#DIV/0!</v>
      </c>
      <c r="EP77" s="323">
        <f t="shared" si="335"/>
        <v>1094.15257</v>
      </c>
      <c r="EQ77" s="323">
        <f t="shared" si="349"/>
        <v>411.4</v>
      </c>
      <c r="ER77" s="323">
        <v>682.75256999999999</v>
      </c>
      <c r="ES77" s="358">
        <f t="shared" si="296"/>
        <v>0.37599875125276178</v>
      </c>
      <c r="ET77" s="358">
        <f t="shared" si="297"/>
        <v>0.62400124874723828</v>
      </c>
      <c r="EU77" s="323">
        <f t="shared" si="336"/>
        <v>1094.15257</v>
      </c>
      <c r="EV77" s="323">
        <f t="shared" si="298"/>
        <v>411.4</v>
      </c>
      <c r="EW77" s="323">
        <f t="shared" si="299"/>
        <v>682.75256999999999</v>
      </c>
      <c r="EX77" s="358">
        <f t="shared" si="300"/>
        <v>0.37599875125276178</v>
      </c>
      <c r="EY77" s="358">
        <f t="shared" si="301"/>
        <v>0.62400124874723828</v>
      </c>
      <c r="EZ77" s="358">
        <v>0.14860000000000001</v>
      </c>
      <c r="FA77" s="323">
        <f t="shared" si="302"/>
        <v>411.4</v>
      </c>
      <c r="FB77" s="323">
        <f t="shared" si="337"/>
        <v>0</v>
      </c>
      <c r="FC77" s="279">
        <f t="shared" si="308"/>
        <v>3990.0524700000001</v>
      </c>
      <c r="FD77" s="279">
        <f t="shared" si="350"/>
        <v>3252.549</v>
      </c>
      <c r="FE77" s="279">
        <v>737.50346999999999</v>
      </c>
      <c r="FF77" s="366">
        <f t="shared" si="309"/>
        <v>0.81516446825071454</v>
      </c>
      <c r="FG77" s="366">
        <f t="shared" si="310"/>
        <v>0.18483553174928549</v>
      </c>
      <c r="FH77" s="279">
        <f t="shared" si="351"/>
        <v>3990.0524700000001</v>
      </c>
      <c r="FI77" s="279">
        <f t="shared" si="151"/>
        <v>3252.549</v>
      </c>
      <c r="FJ77" s="279">
        <f t="shared" si="152"/>
        <v>737.50346999999999</v>
      </c>
      <c r="FK77" s="366">
        <f t="shared" si="311"/>
        <v>0.81516446825071454</v>
      </c>
      <c r="FL77" s="366">
        <f t="shared" si="312"/>
        <v>0.18483553174928549</v>
      </c>
      <c r="FM77" s="366">
        <v>0.14860000000000001</v>
      </c>
      <c r="FN77" s="280">
        <f t="shared" si="230"/>
        <v>3252.549</v>
      </c>
      <c r="FO77" s="279">
        <f t="shared" si="352"/>
        <v>0</v>
      </c>
    </row>
    <row r="78" spans="2:171" s="40" customFormat="1" ht="15.75" customHeight="1" x14ac:dyDescent="0.25">
      <c r="B78" s="32"/>
      <c r="C78" s="33"/>
      <c r="D78" s="33">
        <v>1</v>
      </c>
      <c r="E78" s="434">
        <v>64</v>
      </c>
      <c r="F78" s="32"/>
      <c r="G78" s="33"/>
      <c r="H78" s="33"/>
      <c r="I78" s="670"/>
      <c r="J78" s="671"/>
      <c r="K78" s="671"/>
      <c r="L78" s="55"/>
      <c r="M78" s="434">
        <v>61</v>
      </c>
      <c r="N78" s="435" t="s">
        <v>209</v>
      </c>
      <c r="O78" s="435"/>
      <c r="P78" s="24">
        <f t="shared" si="334"/>
        <v>0</v>
      </c>
      <c r="Q78" s="435" t="s">
        <v>490</v>
      </c>
      <c r="R78" s="435" t="s">
        <v>488</v>
      </c>
      <c r="S78" s="435" t="s">
        <v>490</v>
      </c>
      <c r="T78" s="435" t="s">
        <v>488</v>
      </c>
      <c r="U78" s="161">
        <v>1</v>
      </c>
      <c r="V78" s="132">
        <v>1</v>
      </c>
      <c r="W78" s="459">
        <f t="shared" si="271"/>
        <v>830.197</v>
      </c>
      <c r="X78" s="459"/>
      <c r="Y78" s="460">
        <f>839.1-8.903</f>
        <v>830.197</v>
      </c>
      <c r="Z78" s="459"/>
      <c r="AA78" s="464"/>
      <c r="AB78" s="459">
        <f t="shared" si="272"/>
        <v>618.70000000000005</v>
      </c>
      <c r="AC78" s="459"/>
      <c r="AD78" s="460">
        <v>618.70000000000005</v>
      </c>
      <c r="AE78" s="459"/>
      <c r="AF78" s="464"/>
      <c r="AG78" s="459">
        <f t="shared" si="273"/>
        <v>618.70000000000005</v>
      </c>
      <c r="AH78" s="459"/>
      <c r="AI78" s="460">
        <v>618.70000000000005</v>
      </c>
      <c r="AJ78" s="459"/>
      <c r="AK78" s="464"/>
      <c r="AL78" s="459">
        <f t="shared" si="274"/>
        <v>269</v>
      </c>
      <c r="AM78" s="459"/>
      <c r="AN78" s="460">
        <v>269</v>
      </c>
      <c r="AO78" s="459"/>
      <c r="AP78" s="459"/>
      <c r="AQ78" s="383" t="s">
        <v>480</v>
      </c>
      <c r="AR78" s="459">
        <f t="shared" si="122"/>
        <v>830.197</v>
      </c>
      <c r="AS78" s="459"/>
      <c r="AT78" s="469">
        <v>830.197</v>
      </c>
      <c r="AU78" s="459"/>
      <c r="AV78" s="459"/>
      <c r="AW78" s="459" t="e">
        <f t="shared" si="275"/>
        <v>#REF!</v>
      </c>
      <c r="AX78" s="459" t="e">
        <f>#REF!-AS78</f>
        <v>#REF!</v>
      </c>
      <c r="AY78" s="459" t="e">
        <f>#REF!-AT78</f>
        <v>#REF!</v>
      </c>
      <c r="AZ78" s="459" t="e">
        <f>#REF!-AU78</f>
        <v>#REF!</v>
      </c>
      <c r="BA78" s="459" t="e">
        <f>#REF!-AV78</f>
        <v>#REF!</v>
      </c>
      <c r="BB78" s="459">
        <f t="shared" si="276"/>
        <v>0</v>
      </c>
      <c r="BC78" s="459"/>
      <c r="BD78" s="459"/>
      <c r="BE78" s="459"/>
      <c r="BF78" s="459"/>
      <c r="BG78" s="459">
        <f t="shared" si="277"/>
        <v>0</v>
      </c>
      <c r="BH78" s="459"/>
      <c r="BI78" s="459"/>
      <c r="BJ78" s="459"/>
      <c r="BK78" s="459"/>
      <c r="BL78" s="459">
        <f t="shared" si="278"/>
        <v>830.19699999999989</v>
      </c>
      <c r="BM78" s="459"/>
      <c r="BN78" s="459">
        <f>688.983+141.214</f>
        <v>830.19699999999989</v>
      </c>
      <c r="BO78" s="459"/>
      <c r="BP78" s="459"/>
      <c r="BQ78" s="459">
        <f t="shared" si="279"/>
        <v>830.19699999999989</v>
      </c>
      <c r="BR78" s="459"/>
      <c r="BS78" s="459">
        <f>688.983+141.214</f>
        <v>830.19699999999989</v>
      </c>
      <c r="BT78" s="459"/>
      <c r="BU78" s="459"/>
      <c r="BV78" s="459">
        <f t="shared" si="280"/>
        <v>129.85599999999999</v>
      </c>
      <c r="BW78" s="459"/>
      <c r="BX78" s="459">
        <f>107.07+22.786</f>
        <v>129.85599999999999</v>
      </c>
      <c r="BY78" s="459"/>
      <c r="BZ78" s="459"/>
      <c r="CA78" s="464">
        <f t="shared" si="281"/>
        <v>960.05299999999988</v>
      </c>
      <c r="CB78" s="459">
        <f t="shared" si="282"/>
        <v>960.05299999999988</v>
      </c>
      <c r="CC78" s="459">
        <f t="shared" si="283"/>
        <v>0</v>
      </c>
      <c r="CD78" s="459">
        <f t="shared" si="283"/>
        <v>960.05299999999988</v>
      </c>
      <c r="CE78" s="459">
        <f t="shared" si="283"/>
        <v>0</v>
      </c>
      <c r="CF78" s="459">
        <f t="shared" si="283"/>
        <v>0</v>
      </c>
      <c r="CG78" s="459">
        <f t="shared" si="284"/>
        <v>0</v>
      </c>
      <c r="CH78" s="459">
        <f t="shared" si="285"/>
        <v>0</v>
      </c>
      <c r="CI78" s="459">
        <f t="shared" si="285"/>
        <v>0</v>
      </c>
      <c r="CJ78" s="459">
        <f t="shared" si="285"/>
        <v>0</v>
      </c>
      <c r="CK78" s="459">
        <f t="shared" si="285"/>
        <v>0</v>
      </c>
      <c r="CL78" s="465"/>
      <c r="CM78" s="466"/>
      <c r="CN78" s="466"/>
      <c r="CO78" s="459">
        <f t="shared" si="286"/>
        <v>0</v>
      </c>
      <c r="CP78" s="459"/>
      <c r="CQ78" s="459"/>
      <c r="CR78" s="459"/>
      <c r="CS78" s="459"/>
      <c r="CT78" s="459">
        <f t="shared" si="287"/>
        <v>0</v>
      </c>
      <c r="CU78" s="459"/>
      <c r="CV78" s="459"/>
      <c r="CW78" s="459"/>
      <c r="CX78" s="459"/>
      <c r="CY78" s="459">
        <f t="shared" si="288"/>
        <v>0</v>
      </c>
      <c r="CZ78" s="459">
        <f t="shared" si="295"/>
        <v>0</v>
      </c>
      <c r="DA78" s="459">
        <f t="shared" si="295"/>
        <v>0</v>
      </c>
      <c r="DB78" s="459">
        <f t="shared" si="295"/>
        <v>0</v>
      </c>
      <c r="DC78" s="459">
        <f t="shared" si="295"/>
        <v>0</v>
      </c>
      <c r="DD78" s="459"/>
      <c r="DE78" s="459"/>
      <c r="DF78" s="459"/>
      <c r="DG78" s="459">
        <f t="shared" si="289"/>
        <v>0</v>
      </c>
      <c r="DH78" s="467"/>
      <c r="DI78" s="459">
        <f t="shared" si="290"/>
        <v>830.19699999999989</v>
      </c>
      <c r="DJ78" s="459">
        <f t="shared" si="291"/>
        <v>830.19699999999989</v>
      </c>
      <c r="DK78" s="467"/>
      <c r="DL78" s="459"/>
      <c r="DM78" s="459"/>
      <c r="DN78" s="467"/>
      <c r="DO78" s="459"/>
      <c r="DP78" s="467"/>
      <c r="DQ78" s="467"/>
      <c r="DR78" s="459">
        <f t="shared" si="322"/>
        <v>830.197</v>
      </c>
      <c r="DS78" s="459"/>
      <c r="DT78" s="459">
        <v>830.197</v>
      </c>
      <c r="DU78" s="459"/>
      <c r="DV78" s="459"/>
      <c r="DW78" s="459">
        <f t="shared" si="323"/>
        <v>129.85599999999999</v>
      </c>
      <c r="DX78" s="459"/>
      <c r="DY78" s="459">
        <v>129.85599999999999</v>
      </c>
      <c r="DZ78" s="459"/>
      <c r="EA78" s="146"/>
      <c r="EB78" s="279"/>
      <c r="EC78" s="279"/>
      <c r="ED78" s="279"/>
      <c r="EE78" s="366"/>
      <c r="EF78" s="366"/>
      <c r="EG78" s="279"/>
      <c r="EH78" s="279"/>
      <c r="EI78" s="279"/>
      <c r="EJ78" s="366"/>
      <c r="EK78" s="366"/>
      <c r="EL78" s="366">
        <v>4.0300000000000002E-2</v>
      </c>
      <c r="EM78" s="280"/>
      <c r="EN78" s="279"/>
      <c r="EO78" s="265" t="e">
        <f t="shared" si="294"/>
        <v>#DIV/0!</v>
      </c>
      <c r="EP78" s="323">
        <f t="shared" si="335"/>
        <v>960.053</v>
      </c>
      <c r="EQ78" s="323">
        <f t="shared" si="349"/>
        <v>830.197</v>
      </c>
      <c r="ER78" s="323">
        <v>129.85599999999999</v>
      </c>
      <c r="ES78" s="358">
        <f t="shared" si="296"/>
        <v>0.86474080076829096</v>
      </c>
      <c r="ET78" s="358">
        <f t="shared" si="297"/>
        <v>0.13525919923170907</v>
      </c>
      <c r="EU78" s="323">
        <f t="shared" si="336"/>
        <v>960.053</v>
      </c>
      <c r="EV78" s="323">
        <f t="shared" si="298"/>
        <v>830.197</v>
      </c>
      <c r="EW78" s="323">
        <f t="shared" si="299"/>
        <v>129.85599999999999</v>
      </c>
      <c r="EX78" s="358">
        <f t="shared" si="300"/>
        <v>0.86474080076829096</v>
      </c>
      <c r="EY78" s="358">
        <f t="shared" si="301"/>
        <v>0.13525919923170907</v>
      </c>
      <c r="EZ78" s="358">
        <v>0.13439999999999999</v>
      </c>
      <c r="FA78" s="323">
        <f t="shared" si="302"/>
        <v>830.197</v>
      </c>
      <c r="FB78" s="323">
        <f t="shared" si="337"/>
        <v>0</v>
      </c>
      <c r="FC78" s="279"/>
      <c r="FD78" s="279"/>
      <c r="FE78" s="279"/>
      <c r="FF78" s="366"/>
      <c r="FG78" s="366"/>
      <c r="FH78" s="279"/>
      <c r="FI78" s="279"/>
      <c r="FJ78" s="279"/>
      <c r="FK78" s="366"/>
      <c r="FL78" s="366"/>
      <c r="FM78" s="366">
        <v>0.13439999999999999</v>
      </c>
      <c r="FN78" s="280"/>
      <c r="FO78" s="279"/>
    </row>
    <row r="79" spans="2:171" s="119" customFormat="1" ht="15.75" customHeight="1" x14ac:dyDescent="0.25">
      <c r="B79" s="113"/>
      <c r="C79" s="114"/>
      <c r="D79" s="114"/>
      <c r="E79" s="115"/>
      <c r="F79" s="113"/>
      <c r="G79" s="114"/>
      <c r="H79" s="114"/>
      <c r="I79" s="115"/>
      <c r="J79" s="116"/>
      <c r="K79" s="116"/>
      <c r="L79" s="117"/>
      <c r="M79" s="115"/>
      <c r="N79" s="118" t="s">
        <v>3</v>
      </c>
      <c r="O79" s="118"/>
      <c r="P79" s="68">
        <f t="shared" si="334"/>
        <v>0</v>
      </c>
      <c r="Q79" s="118"/>
      <c r="R79" s="118"/>
      <c r="S79" s="118"/>
      <c r="T79" s="118"/>
      <c r="U79" s="163">
        <f>U80+U81+U82+U83+U84+U85+U86+U87+U88+U89+U90+U91+U92+U93</f>
        <v>11</v>
      </c>
      <c r="V79" s="163">
        <f>V80+V81+V82+V83+V84+V85+V86+V87+V88+V89+V90+V91+V92+V93</f>
        <v>14</v>
      </c>
      <c r="W79" s="452">
        <f t="shared" ref="W79:AA79" si="353">SUM(W80:W93)-W81</f>
        <v>119381.66099999999</v>
      </c>
      <c r="X79" s="452">
        <f t="shared" si="353"/>
        <v>0</v>
      </c>
      <c r="Y79" s="452">
        <f t="shared" si="353"/>
        <v>24973.3</v>
      </c>
      <c r="Z79" s="452">
        <f t="shared" si="353"/>
        <v>94408.361000000004</v>
      </c>
      <c r="AA79" s="452">
        <f t="shared" si="353"/>
        <v>0</v>
      </c>
      <c r="AB79" s="452">
        <f t="shared" ref="AB79:AF79" si="354">SUM(AB80:AB93)-AB81</f>
        <v>101053.3</v>
      </c>
      <c r="AC79" s="452">
        <f t="shared" si="354"/>
        <v>0</v>
      </c>
      <c r="AD79" s="452">
        <f t="shared" si="354"/>
        <v>24817.000000000004</v>
      </c>
      <c r="AE79" s="452">
        <f t="shared" si="354"/>
        <v>76236.3</v>
      </c>
      <c r="AF79" s="452">
        <f t="shared" si="354"/>
        <v>0</v>
      </c>
      <c r="AG79" s="452">
        <f t="shared" ref="AG79:AK79" si="355">SUM(AG80:AG93)-AG81</f>
        <v>68616.999999999985</v>
      </c>
      <c r="AH79" s="452">
        <f t="shared" si="355"/>
        <v>0</v>
      </c>
      <c r="AI79" s="452">
        <f t="shared" si="355"/>
        <v>24817.000000000004</v>
      </c>
      <c r="AJ79" s="452">
        <f t="shared" si="355"/>
        <v>43800</v>
      </c>
      <c r="AK79" s="452">
        <f t="shared" si="355"/>
        <v>0</v>
      </c>
      <c r="AL79" s="454">
        <f t="shared" ref="AL79:AP79" si="356">SUM(AL80:AL93)-AL81</f>
        <v>54590</v>
      </c>
      <c r="AM79" s="452">
        <f t="shared" si="356"/>
        <v>0</v>
      </c>
      <c r="AN79" s="452">
        <f t="shared" si="356"/>
        <v>10790</v>
      </c>
      <c r="AO79" s="452">
        <f t="shared" si="356"/>
        <v>43800</v>
      </c>
      <c r="AP79" s="452">
        <f t="shared" si="356"/>
        <v>0</v>
      </c>
      <c r="AQ79" s="453"/>
      <c r="AR79" s="452">
        <f t="shared" ref="AR79:AU79" si="357">SUM(AR80:AR93)-AR81</f>
        <v>117807.03560999999</v>
      </c>
      <c r="AS79" s="452">
        <f t="shared" si="357"/>
        <v>0</v>
      </c>
      <c r="AT79" s="452">
        <f t="shared" si="357"/>
        <v>23456.783289999999</v>
      </c>
      <c r="AU79" s="452">
        <f t="shared" si="357"/>
        <v>94350.252319999985</v>
      </c>
      <c r="AV79" s="452">
        <f>SUM(AV80:AV93)-AV81</f>
        <v>0</v>
      </c>
      <c r="AW79" s="452" t="e">
        <f t="shared" ref="AW79:BF79" si="358">SUM(AW80:AW93)-AW81</f>
        <v>#REF!</v>
      </c>
      <c r="AX79" s="452" t="e">
        <f t="shared" si="358"/>
        <v>#REF!</v>
      </c>
      <c r="AY79" s="452" t="e">
        <f t="shared" si="358"/>
        <v>#REF!</v>
      </c>
      <c r="AZ79" s="452" t="e">
        <f t="shared" si="358"/>
        <v>#REF!</v>
      </c>
      <c r="BA79" s="452" t="e">
        <f t="shared" si="358"/>
        <v>#REF!</v>
      </c>
      <c r="BB79" s="452">
        <f t="shared" si="358"/>
        <v>99284.5</v>
      </c>
      <c r="BC79" s="452">
        <f t="shared" si="358"/>
        <v>0</v>
      </c>
      <c r="BD79" s="452">
        <f t="shared" si="358"/>
        <v>24288.2</v>
      </c>
      <c r="BE79" s="452">
        <f t="shared" si="358"/>
        <v>74996.3</v>
      </c>
      <c r="BF79" s="452">
        <f t="shared" si="358"/>
        <v>0</v>
      </c>
      <c r="BG79" s="452">
        <f t="shared" ref="BG79:CK79" si="359">SUM(BG80:BG93)-BG81</f>
        <v>0</v>
      </c>
      <c r="BH79" s="452">
        <f t="shared" si="359"/>
        <v>0</v>
      </c>
      <c r="BI79" s="452">
        <f t="shared" si="359"/>
        <v>0</v>
      </c>
      <c r="BJ79" s="452">
        <f t="shared" si="359"/>
        <v>0</v>
      </c>
      <c r="BK79" s="452">
        <f t="shared" si="359"/>
        <v>0</v>
      </c>
      <c r="BL79" s="452">
        <f t="shared" si="359"/>
        <v>117807.03560999999</v>
      </c>
      <c r="BM79" s="452">
        <f t="shared" si="359"/>
        <v>0</v>
      </c>
      <c r="BN79" s="452">
        <f t="shared" si="359"/>
        <v>23456.783289999999</v>
      </c>
      <c r="BO79" s="452">
        <f t="shared" si="359"/>
        <v>94350.25232</v>
      </c>
      <c r="BP79" s="452">
        <f t="shared" si="359"/>
        <v>0</v>
      </c>
      <c r="BQ79" s="452">
        <f t="shared" si="359"/>
        <v>117807.03560999999</v>
      </c>
      <c r="BR79" s="452">
        <f t="shared" si="359"/>
        <v>0</v>
      </c>
      <c r="BS79" s="452">
        <f t="shared" si="359"/>
        <v>23456.783289999999</v>
      </c>
      <c r="BT79" s="452">
        <f t="shared" si="359"/>
        <v>94350.25232</v>
      </c>
      <c r="BU79" s="452">
        <f t="shared" si="359"/>
        <v>0</v>
      </c>
      <c r="BV79" s="454">
        <f t="shared" si="359"/>
        <v>19640.190620000005</v>
      </c>
      <c r="BW79" s="452">
        <f t="shared" si="359"/>
        <v>0</v>
      </c>
      <c r="BX79" s="452">
        <f t="shared" si="359"/>
        <v>7581.6852200000003</v>
      </c>
      <c r="BY79" s="452">
        <f t="shared" si="359"/>
        <v>12058.505399999998</v>
      </c>
      <c r="BZ79" s="452">
        <f t="shared" si="359"/>
        <v>0</v>
      </c>
      <c r="CA79" s="452">
        <f t="shared" si="359"/>
        <v>137447.22623</v>
      </c>
      <c r="CB79" s="452">
        <f t="shared" si="359"/>
        <v>137447.22623</v>
      </c>
      <c r="CC79" s="452">
        <f t="shared" si="359"/>
        <v>0</v>
      </c>
      <c r="CD79" s="452">
        <f t="shared" si="359"/>
        <v>31038.468509999999</v>
      </c>
      <c r="CE79" s="452">
        <f t="shared" si="359"/>
        <v>106408.75771999999</v>
      </c>
      <c r="CF79" s="452">
        <f t="shared" si="359"/>
        <v>0</v>
      </c>
      <c r="CG79" s="452">
        <f t="shared" si="359"/>
        <v>0</v>
      </c>
      <c r="CH79" s="452">
        <f t="shared" si="359"/>
        <v>0</v>
      </c>
      <c r="CI79" s="452">
        <f t="shared" si="359"/>
        <v>0</v>
      </c>
      <c r="CJ79" s="452">
        <f t="shared" si="359"/>
        <v>0</v>
      </c>
      <c r="CK79" s="452">
        <f t="shared" si="359"/>
        <v>0</v>
      </c>
      <c r="CL79" s="455">
        <f>CM79+CO79-BG79</f>
        <v>99284.499999999985</v>
      </c>
      <c r="CM79" s="456">
        <f t="shared" ref="CM79:DG79" si="360">SUM(CM80:CM93)-CM81</f>
        <v>99284.499999999985</v>
      </c>
      <c r="CN79" s="456">
        <f t="shared" si="360"/>
        <v>87391.799999999988</v>
      </c>
      <c r="CO79" s="452">
        <f t="shared" si="360"/>
        <v>0</v>
      </c>
      <c r="CP79" s="452">
        <f t="shared" si="360"/>
        <v>0</v>
      </c>
      <c r="CQ79" s="452">
        <f t="shared" si="360"/>
        <v>0</v>
      </c>
      <c r="CR79" s="452">
        <f t="shared" si="360"/>
        <v>0</v>
      </c>
      <c r="CS79" s="452">
        <f t="shared" si="360"/>
        <v>0</v>
      </c>
      <c r="CT79" s="452">
        <f t="shared" si="360"/>
        <v>0</v>
      </c>
      <c r="CU79" s="452">
        <f t="shared" si="360"/>
        <v>0</v>
      </c>
      <c r="CV79" s="452">
        <f t="shared" si="360"/>
        <v>0</v>
      </c>
      <c r="CW79" s="452">
        <f t="shared" si="360"/>
        <v>0</v>
      </c>
      <c r="CX79" s="452">
        <f t="shared" si="360"/>
        <v>0</v>
      </c>
      <c r="CY79" s="452">
        <f t="shared" si="360"/>
        <v>0</v>
      </c>
      <c r="CZ79" s="452">
        <f t="shared" si="360"/>
        <v>0</v>
      </c>
      <c r="DA79" s="452">
        <f t="shared" si="360"/>
        <v>0</v>
      </c>
      <c r="DB79" s="452">
        <f t="shared" si="360"/>
        <v>0</v>
      </c>
      <c r="DC79" s="452">
        <f t="shared" si="360"/>
        <v>0</v>
      </c>
      <c r="DD79" s="452">
        <f t="shared" si="360"/>
        <v>0</v>
      </c>
      <c r="DE79" s="452">
        <f t="shared" si="360"/>
        <v>0</v>
      </c>
      <c r="DF79" s="452">
        <f t="shared" si="360"/>
        <v>0</v>
      </c>
      <c r="DG79" s="452">
        <f t="shared" si="360"/>
        <v>0</v>
      </c>
      <c r="DH79" s="457"/>
      <c r="DI79" s="452">
        <f>SUM(DI80:DI93)-DI81</f>
        <v>117807.03560999999</v>
      </c>
      <c r="DJ79" s="452">
        <f>SUM(DJ80:DJ93)-DJ81</f>
        <v>117807.03560999999</v>
      </c>
      <c r="DK79" s="457"/>
      <c r="DL79" s="452">
        <f>SUM(DL80:DL93)-DL81</f>
        <v>117807.03561000001</v>
      </c>
      <c r="DM79" s="452">
        <f>SUM(DM80:DM93)-DM81</f>
        <v>0</v>
      </c>
      <c r="DN79" s="457"/>
      <c r="DO79" s="452">
        <f>SUM(DO80:DO93)-DO81</f>
        <v>-30415.235610000018</v>
      </c>
      <c r="DP79" s="457">
        <f>DG79-DO79</f>
        <v>30415.235610000018</v>
      </c>
      <c r="DQ79" s="457"/>
      <c r="DR79" s="452">
        <f t="shared" si="322"/>
        <v>117807.03560999999</v>
      </c>
      <c r="DS79" s="452">
        <f t="shared" ref="DS79:DU79" si="361">SUM(DS80:DS93)-DS81</f>
        <v>0</v>
      </c>
      <c r="DT79" s="452">
        <f t="shared" si="361"/>
        <v>23456.783289999999</v>
      </c>
      <c r="DU79" s="452">
        <f t="shared" si="361"/>
        <v>94350.25232</v>
      </c>
      <c r="DV79" s="452">
        <f t="shared" ref="DV79" si="362">SUM(DV80:DV93)-DV81</f>
        <v>0</v>
      </c>
      <c r="DW79" s="452">
        <f t="shared" si="323"/>
        <v>19640.190619999998</v>
      </c>
      <c r="DX79" s="452">
        <f t="shared" ref="DX79:DZ79" si="363">SUM(DX80:DX93)-DX81</f>
        <v>0</v>
      </c>
      <c r="DY79" s="452">
        <f t="shared" si="363"/>
        <v>7581.6852200000003</v>
      </c>
      <c r="DZ79" s="452">
        <f t="shared" si="363"/>
        <v>12058.505399999998</v>
      </c>
      <c r="EA79" s="145">
        <f t="shared" ref="EA79" si="364">SUM(EA80:EA93)-EA81</f>
        <v>0</v>
      </c>
      <c r="EB79" s="57">
        <f t="shared" ref="EB79:EB128" si="365">EC79+ED79+EE79</f>
        <v>0</v>
      </c>
      <c r="EC79" s="57">
        <f t="shared" ref="EC79:EC128" si="366">AS79</f>
        <v>0</v>
      </c>
      <c r="ED79" s="57">
        <f t="shared" ref="ED79" si="367">SUM(ED80:ED93)-ED81</f>
        <v>0</v>
      </c>
      <c r="EE79" s="360"/>
      <c r="EF79" s="360"/>
      <c r="EG79" s="57">
        <f t="shared" ref="EG79:EG128" si="368">EH79+EI79</f>
        <v>0</v>
      </c>
      <c r="EH79" s="57">
        <f>SUM(EH80:EH93)</f>
        <v>0</v>
      </c>
      <c r="EI79" s="57">
        <f>SUM(EI80:EI93)</f>
        <v>0</v>
      </c>
      <c r="EJ79" s="360"/>
      <c r="EK79" s="360"/>
      <c r="EL79" s="360"/>
      <c r="EM79" s="273" t="e">
        <f t="shared" ref="EM79" si="369">SUM(EM80:EM93)</f>
        <v>#DIV/0!</v>
      </c>
      <c r="EN79" s="57" t="e">
        <f t="shared" ref="EN79:EN128" si="370">EM79-EJ79</f>
        <v>#DIV/0!</v>
      </c>
      <c r="EO79" s="264"/>
      <c r="EP79" s="57">
        <f t="shared" si="335"/>
        <v>31038.468509999999</v>
      </c>
      <c r="EQ79" s="57">
        <f t="shared" si="349"/>
        <v>23456.783289999999</v>
      </c>
      <c r="ER79" s="57">
        <f t="shared" ref="ER79" si="371">SUM(ER80:ER93)-ER81</f>
        <v>7581.6852200000003</v>
      </c>
      <c r="ES79" s="360"/>
      <c r="ET79" s="360"/>
      <c r="EU79" s="57">
        <f t="shared" si="336"/>
        <v>31038.468509999999</v>
      </c>
      <c r="EV79" s="57">
        <f>SUM(EV80:EV93)</f>
        <v>23456.783289999999</v>
      </c>
      <c r="EW79" s="57">
        <f>SUM(EW80:EW93)</f>
        <v>7581.6852200000003</v>
      </c>
      <c r="EX79" s="360"/>
      <c r="EY79" s="360"/>
      <c r="EZ79" s="360"/>
      <c r="FA79" s="57">
        <f t="shared" si="302"/>
        <v>0</v>
      </c>
      <c r="FB79" s="57">
        <f t="shared" si="337"/>
        <v>23456.783289999999</v>
      </c>
      <c r="FC79" s="57">
        <f t="shared" ref="FC79" si="372">FD79+FE79+FF79</f>
        <v>106408.75771999998</v>
      </c>
      <c r="FD79" s="57">
        <f t="shared" si="350"/>
        <v>94350.252319999985</v>
      </c>
      <c r="FE79" s="57">
        <f t="shared" ref="FE79" si="373">SUM(FE80:FE93)-FE81</f>
        <v>12058.505399999998</v>
      </c>
      <c r="FF79" s="360"/>
      <c r="FG79" s="360"/>
      <c r="FH79" s="57">
        <f t="shared" si="351"/>
        <v>106408.75771999999</v>
      </c>
      <c r="FI79" s="57">
        <f t="shared" si="151"/>
        <v>94350.25232</v>
      </c>
      <c r="FJ79" s="57">
        <f t="shared" si="152"/>
        <v>12058.505399999998</v>
      </c>
      <c r="FK79" s="360"/>
      <c r="FL79" s="360"/>
      <c r="FM79" s="360"/>
      <c r="FN79" s="273">
        <f t="shared" si="230"/>
        <v>0</v>
      </c>
      <c r="FO79" s="57">
        <f t="shared" si="352"/>
        <v>94350.25232</v>
      </c>
    </row>
    <row r="80" spans="2:171" s="40" customFormat="1" ht="15.6" customHeight="1" x14ac:dyDescent="0.25">
      <c r="B80" s="32">
        <v>1</v>
      </c>
      <c r="C80" s="33"/>
      <c r="D80" s="33"/>
      <c r="E80" s="434">
        <v>65</v>
      </c>
      <c r="F80" s="32">
        <v>1</v>
      </c>
      <c r="G80" s="33"/>
      <c r="H80" s="33"/>
      <c r="I80" s="664"/>
      <c r="J80" s="665"/>
      <c r="K80" s="665"/>
      <c r="L80" s="159"/>
      <c r="M80" s="434">
        <v>62</v>
      </c>
      <c r="N80" s="435" t="s">
        <v>210</v>
      </c>
      <c r="O80" s="132"/>
      <c r="P80" s="2">
        <f t="shared" si="334"/>
        <v>0</v>
      </c>
      <c r="Q80" s="132"/>
      <c r="R80" s="132"/>
      <c r="S80" s="132"/>
      <c r="T80" s="132"/>
      <c r="U80" s="132"/>
      <c r="V80" s="132"/>
      <c r="W80" s="459">
        <f t="shared" ref="W80:W93" si="374">X80+Y80+Z80+AA80</f>
        <v>0</v>
      </c>
      <c r="X80" s="459"/>
      <c r="Y80" s="459">
        <f>22.5-22.5</f>
        <v>0</v>
      </c>
      <c r="Z80" s="459"/>
      <c r="AA80" s="464"/>
      <c r="AB80" s="459">
        <f t="shared" ref="AB80:AB93" si="375">AC80+AD80+AE80+AF80</f>
        <v>0</v>
      </c>
      <c r="AC80" s="459"/>
      <c r="AD80" s="459">
        <v>0</v>
      </c>
      <c r="AE80" s="459"/>
      <c r="AF80" s="464"/>
      <c r="AG80" s="459">
        <f t="shared" ref="AG80:AG93" si="376">AH80+AI80+AJ80+AK80</f>
        <v>0</v>
      </c>
      <c r="AH80" s="459"/>
      <c r="AI80" s="459">
        <v>0</v>
      </c>
      <c r="AJ80" s="459"/>
      <c r="AK80" s="464"/>
      <c r="AL80" s="459">
        <f t="shared" ref="AL80:AL93" si="377">AM80+AN80+AO80+AP80</f>
        <v>10</v>
      </c>
      <c r="AM80" s="459"/>
      <c r="AN80" s="459">
        <v>10</v>
      </c>
      <c r="AO80" s="459"/>
      <c r="AP80" s="459"/>
      <c r="AQ80" s="383"/>
      <c r="AR80" s="459">
        <f t="shared" si="122"/>
        <v>0</v>
      </c>
      <c r="AS80" s="459"/>
      <c r="AT80" s="459"/>
      <c r="AU80" s="459"/>
      <c r="AV80" s="459"/>
      <c r="AW80" s="459" t="e">
        <f t="shared" ref="AW80:AW93" si="378">AX80+AY80+AZ80+BA80</f>
        <v>#REF!</v>
      </c>
      <c r="AX80" s="459" t="e">
        <f>#REF!-AS80</f>
        <v>#REF!</v>
      </c>
      <c r="AY80" s="459" t="e">
        <f>#REF!-AT80</f>
        <v>#REF!</v>
      </c>
      <c r="AZ80" s="459" t="e">
        <f>#REF!-AU80</f>
        <v>#REF!</v>
      </c>
      <c r="BA80" s="459" t="e">
        <f>#REF!-AV80</f>
        <v>#REF!</v>
      </c>
      <c r="BB80" s="459">
        <f t="shared" ref="BB80:BB93" si="379">BC80+BD80+BE80+BF80</f>
        <v>0</v>
      </c>
      <c r="BC80" s="459"/>
      <c r="BD80" s="459"/>
      <c r="BE80" s="459"/>
      <c r="BF80" s="459"/>
      <c r="BG80" s="459">
        <f t="shared" ref="BG80:BG93" si="380">BH80+BI80+BJ80+BK80</f>
        <v>0</v>
      </c>
      <c r="BH80" s="459"/>
      <c r="BI80" s="459"/>
      <c r="BJ80" s="459"/>
      <c r="BK80" s="459"/>
      <c r="BL80" s="459">
        <f t="shared" ref="BL80:BL93" si="381">BM80+BN80+BO80+BP80</f>
        <v>0</v>
      </c>
      <c r="BM80" s="459"/>
      <c r="BN80" s="459"/>
      <c r="BO80" s="459"/>
      <c r="BP80" s="459"/>
      <c r="BQ80" s="459">
        <f t="shared" ref="BQ80:BQ93" si="382">BR80+BS80+BT80+BU80</f>
        <v>0</v>
      </c>
      <c r="BR80" s="459"/>
      <c r="BS80" s="459"/>
      <c r="BT80" s="459"/>
      <c r="BU80" s="459"/>
      <c r="BV80" s="459">
        <f t="shared" ref="BV80:BV93" si="383">BW80+BX80+BY80+BZ80</f>
        <v>0</v>
      </c>
      <c r="BW80" s="459"/>
      <c r="BX80" s="459"/>
      <c r="BY80" s="459"/>
      <c r="BZ80" s="459"/>
      <c r="CA80" s="464">
        <f t="shared" ref="CA80:CA93" si="384">CB80</f>
        <v>0</v>
      </c>
      <c r="CB80" s="459">
        <f t="shared" ref="CB80:CB93" si="385">CC80+CD80+CE80+CF80</f>
        <v>0</v>
      </c>
      <c r="CC80" s="459">
        <f t="shared" ref="CC80:CF93" si="386">BR80+BW80</f>
        <v>0</v>
      </c>
      <c r="CD80" s="459">
        <f t="shared" si="386"/>
        <v>0</v>
      </c>
      <c r="CE80" s="459">
        <f t="shared" si="386"/>
        <v>0</v>
      </c>
      <c r="CF80" s="459">
        <f t="shared" si="386"/>
        <v>0</v>
      </c>
      <c r="CG80" s="459">
        <f t="shared" ref="CG80:CG93" si="387">CH80+CI80+CJ80+CK80</f>
        <v>0</v>
      </c>
      <c r="CH80" s="459">
        <f t="shared" ref="CH80:CK93" si="388">BM80-BR80</f>
        <v>0</v>
      </c>
      <c r="CI80" s="459">
        <f t="shared" si="388"/>
        <v>0</v>
      </c>
      <c r="CJ80" s="459">
        <f t="shared" si="388"/>
        <v>0</v>
      </c>
      <c r="CK80" s="459">
        <f t="shared" si="388"/>
        <v>0</v>
      </c>
      <c r="CL80" s="465"/>
      <c r="CM80" s="466"/>
      <c r="CN80" s="466">
        <f>CO80</f>
        <v>0</v>
      </c>
      <c r="CO80" s="459">
        <f t="shared" ref="CO80:CO93" si="389">CP80+CQ80+CR80+CS80</f>
        <v>0</v>
      </c>
      <c r="CP80" s="459"/>
      <c r="CQ80" s="459"/>
      <c r="CR80" s="459"/>
      <c r="CS80" s="459"/>
      <c r="CT80" s="459">
        <f t="shared" ref="CT80:CT93" si="390">CU80+CV80+CW80+CX80</f>
        <v>0</v>
      </c>
      <c r="CU80" s="459"/>
      <c r="CV80" s="459"/>
      <c r="CW80" s="459"/>
      <c r="CX80" s="459"/>
      <c r="CY80" s="459">
        <f t="shared" ref="CY80:CY93" si="391">CZ80+DA80+DB80+DC80</f>
        <v>0</v>
      </c>
      <c r="CZ80" s="459">
        <f t="shared" ref="CZ80:DC93" si="392">CP80-CU80</f>
        <v>0</v>
      </c>
      <c r="DA80" s="459">
        <f t="shared" si="392"/>
        <v>0</v>
      </c>
      <c r="DB80" s="459">
        <f t="shared" si="392"/>
        <v>0</v>
      </c>
      <c r="DC80" s="459">
        <f t="shared" si="392"/>
        <v>0</v>
      </c>
      <c r="DD80" s="459"/>
      <c r="DE80" s="459"/>
      <c r="DF80" s="459"/>
      <c r="DG80" s="459">
        <f t="shared" ref="DG80:DG93" si="393">CG80+CY80+DF80</f>
        <v>0</v>
      </c>
      <c r="DH80" s="467"/>
      <c r="DI80" s="459">
        <f t="shared" ref="DI80:DI93" si="394">BL80+CO80+DD80</f>
        <v>0</v>
      </c>
      <c r="DJ80" s="459">
        <f t="shared" ref="DJ80:DJ93" si="395">BQ80+CT80+DE80</f>
        <v>0</v>
      </c>
      <c r="DK80" s="467"/>
      <c r="DL80" s="459">
        <f t="shared" ref="DL80:DL81" si="396">DJ80</f>
        <v>0</v>
      </c>
      <c r="DM80" s="459">
        <f t="shared" ref="DM80:DM81" si="397">DG80</f>
        <v>0</v>
      </c>
      <c r="DN80" s="467"/>
      <c r="DO80" s="459">
        <f>CN80-DL80</f>
        <v>0</v>
      </c>
      <c r="DP80" s="467"/>
      <c r="DQ80" s="467"/>
      <c r="DR80" s="459">
        <f t="shared" si="322"/>
        <v>0</v>
      </c>
      <c r="DS80" s="459"/>
      <c r="DT80" s="459"/>
      <c r="DU80" s="459"/>
      <c r="DV80" s="459"/>
      <c r="DW80" s="459">
        <f t="shared" si="323"/>
        <v>0</v>
      </c>
      <c r="DX80" s="459"/>
      <c r="DY80" s="459"/>
      <c r="DZ80" s="459"/>
      <c r="EA80" s="146"/>
      <c r="EB80" s="279"/>
      <c r="EC80" s="279"/>
      <c r="ED80" s="279"/>
      <c r="EE80" s="366"/>
      <c r="EF80" s="366"/>
      <c r="EG80" s="279"/>
      <c r="EH80" s="279"/>
      <c r="EI80" s="279"/>
      <c r="EJ80" s="366"/>
      <c r="EK80" s="366"/>
      <c r="EL80" s="366">
        <v>2.9700000000000001E-2</v>
      </c>
      <c r="EM80" s="280"/>
      <c r="EN80" s="279"/>
      <c r="EO80" s="265" t="e">
        <f t="shared" ref="EO80:EO93" si="398">EM80/EJ80</f>
        <v>#DIV/0!</v>
      </c>
      <c r="EP80" s="323"/>
      <c r="EQ80" s="323"/>
      <c r="ER80" s="323"/>
      <c r="ES80" s="358"/>
      <c r="ET80" s="358"/>
      <c r="EU80" s="323"/>
      <c r="EV80" s="323"/>
      <c r="EW80" s="323"/>
      <c r="EX80" s="358"/>
      <c r="EY80" s="358"/>
      <c r="EZ80" s="358">
        <v>0.1</v>
      </c>
      <c r="FA80" s="323"/>
      <c r="FB80" s="323">
        <f t="shared" si="337"/>
        <v>0</v>
      </c>
      <c r="FC80" s="279"/>
      <c r="FD80" s="279"/>
      <c r="FE80" s="279"/>
      <c r="FF80" s="366"/>
      <c r="FG80" s="366"/>
      <c r="FH80" s="279"/>
      <c r="FI80" s="279"/>
      <c r="FJ80" s="279"/>
      <c r="FK80" s="366"/>
      <c r="FL80" s="366"/>
      <c r="FM80" s="366">
        <v>0.1</v>
      </c>
      <c r="FN80" s="280"/>
      <c r="FO80" s="279"/>
    </row>
    <row r="81" spans="2:171" s="40" customFormat="1" ht="15.6" customHeight="1" x14ac:dyDescent="0.2">
      <c r="B81" s="32"/>
      <c r="C81" s="33"/>
      <c r="D81" s="33"/>
      <c r="E81" s="434"/>
      <c r="F81" s="32"/>
      <c r="G81" s="33"/>
      <c r="H81" s="33"/>
      <c r="I81" s="657"/>
      <c r="J81" s="658"/>
      <c r="K81" s="658"/>
      <c r="L81" s="658"/>
      <c r="M81" s="434"/>
      <c r="N81" s="19" t="s">
        <v>251</v>
      </c>
      <c r="O81" s="133"/>
      <c r="P81" s="2">
        <f t="shared" si="334"/>
        <v>0</v>
      </c>
      <c r="Q81" s="133"/>
      <c r="R81" s="133"/>
      <c r="S81" s="133"/>
      <c r="T81" s="133"/>
      <c r="U81" s="133"/>
      <c r="V81" s="133"/>
      <c r="W81" s="459">
        <f t="shared" si="374"/>
        <v>0</v>
      </c>
      <c r="X81" s="459"/>
      <c r="Y81" s="459"/>
      <c r="Z81" s="459"/>
      <c r="AA81" s="464"/>
      <c r="AB81" s="459">
        <f t="shared" si="375"/>
        <v>0</v>
      </c>
      <c r="AC81" s="459"/>
      <c r="AD81" s="459"/>
      <c r="AE81" s="459"/>
      <c r="AF81" s="464"/>
      <c r="AG81" s="459">
        <f t="shared" si="376"/>
        <v>0</v>
      </c>
      <c r="AH81" s="459"/>
      <c r="AI81" s="459"/>
      <c r="AJ81" s="459"/>
      <c r="AK81" s="464"/>
      <c r="AL81" s="459">
        <f t="shared" si="377"/>
        <v>0</v>
      </c>
      <c r="AM81" s="459"/>
      <c r="AN81" s="459"/>
      <c r="AO81" s="459"/>
      <c r="AP81" s="459"/>
      <c r="AQ81" s="383"/>
      <c r="AR81" s="459">
        <f t="shared" si="122"/>
        <v>0</v>
      </c>
      <c r="AS81" s="459"/>
      <c r="AT81" s="459"/>
      <c r="AU81" s="459"/>
      <c r="AV81" s="459"/>
      <c r="AW81" s="459" t="e">
        <f t="shared" si="378"/>
        <v>#REF!</v>
      </c>
      <c r="AX81" s="459" t="e">
        <f>#REF!-AS81</f>
        <v>#REF!</v>
      </c>
      <c r="AY81" s="459" t="e">
        <f>#REF!-AT81</f>
        <v>#REF!</v>
      </c>
      <c r="AZ81" s="459" t="e">
        <f>#REF!-AU81</f>
        <v>#REF!</v>
      </c>
      <c r="BA81" s="459" t="e">
        <f>#REF!-AV81</f>
        <v>#REF!</v>
      </c>
      <c r="BB81" s="459">
        <f t="shared" si="379"/>
        <v>0</v>
      </c>
      <c r="BC81" s="459"/>
      <c r="BD81" s="459"/>
      <c r="BE81" s="459"/>
      <c r="BF81" s="459"/>
      <c r="BG81" s="459">
        <f t="shared" si="380"/>
        <v>0</v>
      </c>
      <c r="BH81" s="459"/>
      <c r="BI81" s="459"/>
      <c r="BJ81" s="459"/>
      <c r="BK81" s="459"/>
      <c r="BL81" s="459">
        <f t="shared" si="381"/>
        <v>0</v>
      </c>
      <c r="BM81" s="459"/>
      <c r="BN81" s="459"/>
      <c r="BO81" s="459"/>
      <c r="BP81" s="459"/>
      <c r="BQ81" s="459">
        <f t="shared" si="382"/>
        <v>0</v>
      </c>
      <c r="BR81" s="459"/>
      <c r="BS81" s="459"/>
      <c r="BT81" s="459"/>
      <c r="BU81" s="459"/>
      <c r="BV81" s="459">
        <f t="shared" si="383"/>
        <v>0</v>
      </c>
      <c r="BW81" s="459"/>
      <c r="BX81" s="459"/>
      <c r="BY81" s="459"/>
      <c r="BZ81" s="459"/>
      <c r="CA81" s="464">
        <f t="shared" si="384"/>
        <v>0</v>
      </c>
      <c r="CB81" s="459">
        <f t="shared" si="385"/>
        <v>0</v>
      </c>
      <c r="CC81" s="459">
        <f t="shared" si="386"/>
        <v>0</v>
      </c>
      <c r="CD81" s="459">
        <f t="shared" si="386"/>
        <v>0</v>
      </c>
      <c r="CE81" s="459">
        <f t="shared" si="386"/>
        <v>0</v>
      </c>
      <c r="CF81" s="459">
        <f t="shared" si="386"/>
        <v>0</v>
      </c>
      <c r="CG81" s="459">
        <f t="shared" si="387"/>
        <v>0</v>
      </c>
      <c r="CH81" s="459">
        <f t="shared" si="388"/>
        <v>0</v>
      </c>
      <c r="CI81" s="459">
        <f t="shared" si="388"/>
        <v>0</v>
      </c>
      <c r="CJ81" s="459">
        <f t="shared" si="388"/>
        <v>0</v>
      </c>
      <c r="CK81" s="459">
        <f t="shared" si="388"/>
        <v>0</v>
      </c>
      <c r="CL81" s="465"/>
      <c r="CM81" s="466"/>
      <c r="CN81" s="466"/>
      <c r="CO81" s="459">
        <f t="shared" si="389"/>
        <v>0</v>
      </c>
      <c r="CP81" s="459"/>
      <c r="CQ81" s="459"/>
      <c r="CR81" s="459"/>
      <c r="CS81" s="459"/>
      <c r="CT81" s="459">
        <f t="shared" si="390"/>
        <v>0</v>
      </c>
      <c r="CU81" s="459"/>
      <c r="CV81" s="459"/>
      <c r="CW81" s="459"/>
      <c r="CX81" s="459"/>
      <c r="CY81" s="459">
        <f t="shared" si="391"/>
        <v>0</v>
      </c>
      <c r="CZ81" s="459">
        <f t="shared" si="392"/>
        <v>0</v>
      </c>
      <c r="DA81" s="459">
        <f t="shared" si="392"/>
        <v>0</v>
      </c>
      <c r="DB81" s="459">
        <f t="shared" si="392"/>
        <v>0</v>
      </c>
      <c r="DC81" s="459">
        <f t="shared" si="392"/>
        <v>0</v>
      </c>
      <c r="DD81" s="459"/>
      <c r="DE81" s="459"/>
      <c r="DF81" s="459"/>
      <c r="DG81" s="459">
        <f t="shared" si="393"/>
        <v>0</v>
      </c>
      <c r="DH81" s="467"/>
      <c r="DI81" s="459">
        <f t="shared" si="394"/>
        <v>0</v>
      </c>
      <c r="DJ81" s="459">
        <f t="shared" si="395"/>
        <v>0</v>
      </c>
      <c r="DK81" s="467"/>
      <c r="DL81" s="459">
        <f t="shared" si="396"/>
        <v>0</v>
      </c>
      <c r="DM81" s="459">
        <f t="shared" si="397"/>
        <v>0</v>
      </c>
      <c r="DN81" s="467"/>
      <c r="DO81" s="459"/>
      <c r="DP81" s="467"/>
      <c r="DQ81" s="467"/>
      <c r="DR81" s="459">
        <f t="shared" si="322"/>
        <v>0</v>
      </c>
      <c r="DS81" s="459"/>
      <c r="DT81" s="459"/>
      <c r="DU81" s="459"/>
      <c r="DV81" s="459"/>
      <c r="DW81" s="459">
        <f t="shared" si="323"/>
        <v>0</v>
      </c>
      <c r="DX81" s="459"/>
      <c r="DY81" s="459"/>
      <c r="DZ81" s="459"/>
      <c r="EA81" s="146"/>
      <c r="EB81" s="279"/>
      <c r="EC81" s="279"/>
      <c r="ED81" s="279"/>
      <c r="EE81" s="366"/>
      <c r="EF81" s="366"/>
      <c r="EG81" s="279"/>
      <c r="EH81" s="279"/>
      <c r="EI81" s="279"/>
      <c r="EJ81" s="366"/>
      <c r="EK81" s="366"/>
      <c r="EL81" s="366"/>
      <c r="EM81" s="280"/>
      <c r="EN81" s="279"/>
      <c r="EO81" s="265" t="e">
        <f t="shared" si="398"/>
        <v>#DIV/0!</v>
      </c>
      <c r="EP81" s="323"/>
      <c r="EQ81" s="323"/>
      <c r="ER81" s="323"/>
      <c r="ES81" s="358"/>
      <c r="ET81" s="358"/>
      <c r="EU81" s="323"/>
      <c r="EV81" s="323"/>
      <c r="EW81" s="323"/>
      <c r="EX81" s="358"/>
      <c r="EY81" s="358"/>
      <c r="EZ81" s="358"/>
      <c r="FA81" s="323"/>
      <c r="FB81" s="323">
        <f t="shared" si="337"/>
        <v>0</v>
      </c>
      <c r="FC81" s="279"/>
      <c r="FD81" s="279"/>
      <c r="FE81" s="279"/>
      <c r="FF81" s="366"/>
      <c r="FG81" s="366"/>
      <c r="FH81" s="279"/>
      <c r="FI81" s="279"/>
      <c r="FJ81" s="279"/>
      <c r="FK81" s="366"/>
      <c r="FL81" s="366"/>
      <c r="FM81" s="366"/>
      <c r="FN81" s="280"/>
      <c r="FO81" s="279"/>
    </row>
    <row r="82" spans="2:171" s="40" customFormat="1" ht="15.6" customHeight="1" x14ac:dyDescent="0.25">
      <c r="B82" s="32"/>
      <c r="C82" s="33">
        <v>1</v>
      </c>
      <c r="D82" s="33"/>
      <c r="E82" s="434">
        <v>66</v>
      </c>
      <c r="F82" s="32"/>
      <c r="G82" s="33">
        <v>1</v>
      </c>
      <c r="H82" s="33">
        <v>1</v>
      </c>
      <c r="I82" s="434"/>
      <c r="J82" s="435"/>
      <c r="K82" s="56"/>
      <c r="L82" s="53"/>
      <c r="M82" s="434">
        <v>63</v>
      </c>
      <c r="N82" s="435" t="s">
        <v>31</v>
      </c>
      <c r="O82" s="435"/>
      <c r="P82" s="24">
        <f t="shared" si="334"/>
        <v>0</v>
      </c>
      <c r="Q82" s="435"/>
      <c r="R82" s="435"/>
      <c r="S82" s="435" t="s">
        <v>491</v>
      </c>
      <c r="T82" s="435" t="s">
        <v>488</v>
      </c>
      <c r="U82" s="161">
        <v>1</v>
      </c>
      <c r="V82" s="434">
        <v>3</v>
      </c>
      <c r="W82" s="459">
        <f t="shared" si="374"/>
        <v>47036.472000000002</v>
      </c>
      <c r="X82" s="459"/>
      <c r="Y82" s="460">
        <f>2235+686.8</f>
        <v>2921.8</v>
      </c>
      <c r="Z82" s="459">
        <f>45300-1185.328</f>
        <v>44114.671999999999</v>
      </c>
      <c r="AA82" s="461"/>
      <c r="AB82" s="459">
        <f t="shared" si="375"/>
        <v>39489.300000000003</v>
      </c>
      <c r="AC82" s="459"/>
      <c r="AD82" s="460">
        <v>2279.3000000000002</v>
      </c>
      <c r="AE82" s="459">
        <v>37210</v>
      </c>
      <c r="AF82" s="461"/>
      <c r="AG82" s="459">
        <f t="shared" si="376"/>
        <v>23879.3</v>
      </c>
      <c r="AH82" s="459"/>
      <c r="AI82" s="460">
        <v>2279.3000000000002</v>
      </c>
      <c r="AJ82" s="459">
        <v>21600</v>
      </c>
      <c r="AK82" s="461"/>
      <c r="AL82" s="459">
        <f t="shared" si="377"/>
        <v>22581</v>
      </c>
      <c r="AM82" s="459"/>
      <c r="AN82" s="460">
        <v>981</v>
      </c>
      <c r="AO82" s="459">
        <v>21600</v>
      </c>
      <c r="AP82" s="461"/>
      <c r="AQ82" s="383" t="s">
        <v>495</v>
      </c>
      <c r="AR82" s="459">
        <f t="shared" si="122"/>
        <v>46291.564999999995</v>
      </c>
      <c r="AS82" s="459"/>
      <c r="AT82" s="460">
        <v>2235</v>
      </c>
      <c r="AU82" s="459">
        <f>45300-1185.328-58.107</f>
        <v>44056.564999999995</v>
      </c>
      <c r="AV82" s="461"/>
      <c r="AW82" s="459" t="e">
        <f t="shared" si="378"/>
        <v>#REF!</v>
      </c>
      <c r="AX82" s="459" t="e">
        <f>#REF!-AS82</f>
        <v>#REF!</v>
      </c>
      <c r="AY82" s="459" t="e">
        <f>#REF!-AT82</f>
        <v>#REF!</v>
      </c>
      <c r="AZ82" s="459" t="e">
        <f>#REF!-AU82</f>
        <v>#REF!</v>
      </c>
      <c r="BA82" s="459" t="e">
        <f>#REF!-AV82</f>
        <v>#REF!</v>
      </c>
      <c r="BB82" s="459">
        <f t="shared" si="379"/>
        <v>39489.300000000003</v>
      </c>
      <c r="BC82" s="459"/>
      <c r="BD82" s="460">
        <f>981+1298.3</f>
        <v>2279.3000000000002</v>
      </c>
      <c r="BE82" s="459">
        <f>21600+15610</f>
        <v>37210</v>
      </c>
      <c r="BF82" s="461"/>
      <c r="BG82" s="459">
        <f t="shared" si="380"/>
        <v>0</v>
      </c>
      <c r="BH82" s="459"/>
      <c r="BI82" s="461"/>
      <c r="BJ82" s="459"/>
      <c r="BK82" s="461"/>
      <c r="BL82" s="459">
        <f t="shared" si="381"/>
        <v>46291.565000000002</v>
      </c>
      <c r="BM82" s="459"/>
      <c r="BN82" s="460">
        <v>2235</v>
      </c>
      <c r="BO82" s="459">
        <f>5594.594+5455.715+11563.267+5512.574+11309.947+3417.26+1203.208</f>
        <v>44056.565000000002</v>
      </c>
      <c r="BP82" s="470"/>
      <c r="BQ82" s="459">
        <f t="shared" si="382"/>
        <v>46291.565000000002</v>
      </c>
      <c r="BR82" s="459"/>
      <c r="BS82" s="460">
        <v>2235</v>
      </c>
      <c r="BT82" s="459">
        <f>5594.594+5455.715+11563.267+5512.574+11309.947+3417.26+1203.208</f>
        <v>44056.565000000002</v>
      </c>
      <c r="BU82" s="461"/>
      <c r="BV82" s="459">
        <f t="shared" si="383"/>
        <v>5395.7130299999999</v>
      </c>
      <c r="BW82" s="459"/>
      <c r="BX82" s="459">
        <v>969.18849999999998</v>
      </c>
      <c r="BY82" s="459">
        <f>2272.06953+553.868+1136.352+343.344+120.891</f>
        <v>4426.5245299999997</v>
      </c>
      <c r="BZ82" s="459"/>
      <c r="CA82" s="464">
        <f t="shared" si="384"/>
        <v>51687.278030000001</v>
      </c>
      <c r="CB82" s="459">
        <f t="shared" si="385"/>
        <v>51687.278030000001</v>
      </c>
      <c r="CC82" s="459">
        <f t="shared" si="386"/>
        <v>0</v>
      </c>
      <c r="CD82" s="459">
        <f t="shared" si="386"/>
        <v>3204.1885000000002</v>
      </c>
      <c r="CE82" s="459">
        <f t="shared" si="386"/>
        <v>48483.089530000005</v>
      </c>
      <c r="CF82" s="459">
        <f t="shared" si="386"/>
        <v>0</v>
      </c>
      <c r="CG82" s="459">
        <f t="shared" si="387"/>
        <v>0</v>
      </c>
      <c r="CH82" s="459">
        <f t="shared" si="388"/>
        <v>0</v>
      </c>
      <c r="CI82" s="459">
        <f t="shared" si="388"/>
        <v>0</v>
      </c>
      <c r="CJ82" s="459">
        <f t="shared" si="388"/>
        <v>0</v>
      </c>
      <c r="CK82" s="459">
        <f t="shared" si="388"/>
        <v>0</v>
      </c>
      <c r="CL82" s="465"/>
      <c r="CM82" s="559">
        <f>BB82+BB83+BB85+BB89+BB90+BB91+BB93</f>
        <v>87391.799999999988</v>
      </c>
      <c r="CN82" s="559">
        <f>CM82+CO82+CO85+CO89-BG79</f>
        <v>87391.799999999988</v>
      </c>
      <c r="CO82" s="459">
        <f t="shared" si="389"/>
        <v>0</v>
      </c>
      <c r="CP82" s="459"/>
      <c r="CQ82" s="461"/>
      <c r="CR82" s="459"/>
      <c r="CS82" s="461"/>
      <c r="CT82" s="459">
        <f t="shared" si="390"/>
        <v>0</v>
      </c>
      <c r="CU82" s="459"/>
      <c r="CV82" s="461"/>
      <c r="CW82" s="459"/>
      <c r="CX82" s="461"/>
      <c r="CY82" s="459">
        <f t="shared" si="391"/>
        <v>0</v>
      </c>
      <c r="CZ82" s="459">
        <f t="shared" si="392"/>
        <v>0</v>
      </c>
      <c r="DA82" s="459">
        <f t="shared" si="392"/>
        <v>0</v>
      </c>
      <c r="DB82" s="459">
        <f t="shared" si="392"/>
        <v>0</v>
      </c>
      <c r="DC82" s="459">
        <f t="shared" si="392"/>
        <v>0</v>
      </c>
      <c r="DD82" s="459"/>
      <c r="DE82" s="459"/>
      <c r="DF82" s="459"/>
      <c r="DG82" s="459">
        <f t="shared" si="393"/>
        <v>0</v>
      </c>
      <c r="DH82" s="467"/>
      <c r="DI82" s="459">
        <f t="shared" si="394"/>
        <v>46291.565000000002</v>
      </c>
      <c r="DJ82" s="459">
        <f t="shared" si="395"/>
        <v>46291.565000000002</v>
      </c>
      <c r="DK82" s="467"/>
      <c r="DL82" s="560">
        <f>DJ82+DJ83+DJ85+DJ89+DJ90+DJ91+DJ93</f>
        <v>96569.066610000009</v>
      </c>
      <c r="DM82" s="560">
        <f>DG82+DG83+DG85+DG89+DG90+DG91+DG93</f>
        <v>0</v>
      </c>
      <c r="DN82" s="467"/>
      <c r="DO82" s="459">
        <f>CN82-DL82</f>
        <v>-9177.2666100000206</v>
      </c>
      <c r="DP82" s="467"/>
      <c r="DQ82" s="467"/>
      <c r="DR82" s="459">
        <f t="shared" si="322"/>
        <v>46291.565000000002</v>
      </c>
      <c r="DS82" s="459"/>
      <c r="DT82" s="460">
        <v>2235</v>
      </c>
      <c r="DU82" s="459">
        <f>5594.594+5455.715+11563.267+5512.574+11309.947+3417.26+1203.208</f>
        <v>44056.565000000002</v>
      </c>
      <c r="DV82" s="461"/>
      <c r="DW82" s="459">
        <f t="shared" si="323"/>
        <v>5395.7130299999999</v>
      </c>
      <c r="DX82" s="459"/>
      <c r="DY82" s="459">
        <v>969.18849999999998</v>
      </c>
      <c r="DZ82" s="459">
        <f>2272.06953+553.868+1136.352+343.344+120.891</f>
        <v>4426.5245299999997</v>
      </c>
      <c r="EA82" s="146"/>
      <c r="EB82" s="279">
        <f t="shared" ref="EB82" si="399">EC82+ED82</f>
        <v>0</v>
      </c>
      <c r="EC82" s="279">
        <f t="shared" si="366"/>
        <v>0</v>
      </c>
      <c r="ED82" s="279"/>
      <c r="EE82" s="366" t="e">
        <f t="shared" ref="EE82" si="400">EC82/EB82</f>
        <v>#DIV/0!</v>
      </c>
      <c r="EF82" s="366" t="e">
        <f t="shared" ref="EF82" si="401">ED82/EB82</f>
        <v>#DIV/0!</v>
      </c>
      <c r="EG82" s="279">
        <f t="shared" si="368"/>
        <v>0</v>
      </c>
      <c r="EH82" s="279">
        <f t="shared" ref="EH82:EH109" si="402">DS82</f>
        <v>0</v>
      </c>
      <c r="EI82" s="279">
        <f t="shared" ref="EI82:EI109" si="403">DX82</f>
        <v>0</v>
      </c>
      <c r="EJ82" s="366" t="e">
        <f t="shared" ref="EJ82" si="404">EH82/EG82</f>
        <v>#DIV/0!</v>
      </c>
      <c r="EK82" s="366" t="e">
        <f t="shared" ref="EK82" si="405">EI82/EG82</f>
        <v>#DIV/0!</v>
      </c>
      <c r="EL82" s="366">
        <v>2.7400000000000001E-2</v>
      </c>
      <c r="EM82" s="280" t="e">
        <f>EG82*EE82</f>
        <v>#DIV/0!</v>
      </c>
      <c r="EN82" s="279" t="e">
        <f>EH82-EM82</f>
        <v>#DIV/0!</v>
      </c>
      <c r="EO82" s="265" t="e">
        <f t="shared" si="398"/>
        <v>#DIV/0!</v>
      </c>
      <c r="EP82" s="323">
        <f t="shared" si="335"/>
        <v>3204.1885000000002</v>
      </c>
      <c r="EQ82" s="323">
        <f t="shared" si="349"/>
        <v>2235</v>
      </c>
      <c r="ER82" s="323">
        <v>969.18849999999998</v>
      </c>
      <c r="ES82" s="358">
        <f t="shared" ref="ES82:ES93" si="406">EQ82/EP82</f>
        <v>0.69752450581481074</v>
      </c>
      <c r="ET82" s="358">
        <f t="shared" ref="ET82:ET93" si="407">ER82/EP82</f>
        <v>0.30247549418518915</v>
      </c>
      <c r="EU82" s="323">
        <f t="shared" si="336"/>
        <v>3204.1885000000002</v>
      </c>
      <c r="EV82" s="323">
        <f t="shared" ref="EV82:EV93" si="408">DT82</f>
        <v>2235</v>
      </c>
      <c r="EW82" s="323">
        <f t="shared" ref="EW82:EW93" si="409">DY82</f>
        <v>969.18849999999998</v>
      </c>
      <c r="EX82" s="358">
        <f t="shared" ref="EX82:EX93" si="410">EV82/EU82</f>
        <v>0.69752450581481074</v>
      </c>
      <c r="EY82" s="358">
        <f t="shared" ref="EY82:EY93" si="411">EW82/EU82</f>
        <v>0.30247549418518915</v>
      </c>
      <c r="EZ82" s="358">
        <v>9.1300000000000006E-2</v>
      </c>
      <c r="FA82" s="323">
        <f t="shared" ref="FA82:FA94" si="412">EU82*ES82</f>
        <v>2235</v>
      </c>
      <c r="FB82" s="323">
        <f t="shared" si="337"/>
        <v>0</v>
      </c>
      <c r="FC82" s="279">
        <f t="shared" ref="FC82:FC91" si="413">FD82+FE82</f>
        <v>48483.089529999997</v>
      </c>
      <c r="FD82" s="279">
        <f t="shared" si="350"/>
        <v>44056.564999999995</v>
      </c>
      <c r="FE82" s="279">
        <v>4426.5245299999997</v>
      </c>
      <c r="FF82" s="366">
        <f t="shared" ref="FF82:FF91" si="414">FD82/FC82</f>
        <v>0.90869961933302557</v>
      </c>
      <c r="FG82" s="366">
        <f t="shared" ref="FG82:FG91" si="415">FE82/FC82</f>
        <v>9.1300380666974379E-2</v>
      </c>
      <c r="FH82" s="279">
        <f t="shared" si="351"/>
        <v>48483.089530000005</v>
      </c>
      <c r="FI82" s="279">
        <f t="shared" si="151"/>
        <v>44056.565000000002</v>
      </c>
      <c r="FJ82" s="279">
        <f t="shared" si="152"/>
        <v>4426.5245299999997</v>
      </c>
      <c r="FK82" s="366">
        <f t="shared" ref="FK82:FK91" si="416">FI82/FH82</f>
        <v>0.90869961933302557</v>
      </c>
      <c r="FL82" s="366">
        <f t="shared" ref="FL82:FL91" si="417">FJ82/FH82</f>
        <v>9.1300380666974365E-2</v>
      </c>
      <c r="FM82" s="366">
        <v>9.1300000000000006E-2</v>
      </c>
      <c r="FN82" s="280">
        <f t="shared" si="230"/>
        <v>44056.565000000002</v>
      </c>
      <c r="FO82" s="279">
        <f t="shared" si="352"/>
        <v>0</v>
      </c>
    </row>
    <row r="83" spans="2:171" s="40" customFormat="1" ht="15.6" customHeight="1" x14ac:dyDescent="0.25">
      <c r="B83" s="32"/>
      <c r="C83" s="33">
        <v>1</v>
      </c>
      <c r="D83" s="33"/>
      <c r="E83" s="434">
        <v>67</v>
      </c>
      <c r="F83" s="32"/>
      <c r="G83" s="33"/>
      <c r="H83" s="33"/>
      <c r="I83" s="664"/>
      <c r="J83" s="665"/>
      <c r="K83" s="665"/>
      <c r="L83" s="159"/>
      <c r="M83" s="434">
        <v>64</v>
      </c>
      <c r="N83" s="435" t="s">
        <v>211</v>
      </c>
      <c r="O83" s="435"/>
      <c r="P83" s="24">
        <f t="shared" si="334"/>
        <v>0</v>
      </c>
      <c r="Q83" s="435"/>
      <c r="R83" s="435"/>
      <c r="S83" s="435"/>
      <c r="T83" s="435"/>
      <c r="U83" s="161"/>
      <c r="V83" s="434"/>
      <c r="W83" s="459">
        <f t="shared" si="374"/>
        <v>0</v>
      </c>
      <c r="X83" s="459"/>
      <c r="Y83" s="460">
        <f>345.9-345.9</f>
        <v>0</v>
      </c>
      <c r="Z83" s="459"/>
      <c r="AA83" s="472"/>
      <c r="AB83" s="459">
        <f t="shared" si="375"/>
        <v>340.4</v>
      </c>
      <c r="AC83" s="459"/>
      <c r="AD83" s="460">
        <v>340.4</v>
      </c>
      <c r="AE83" s="459"/>
      <c r="AF83" s="472"/>
      <c r="AG83" s="459">
        <f t="shared" si="376"/>
        <v>340.4</v>
      </c>
      <c r="AH83" s="459"/>
      <c r="AI83" s="460">
        <v>340.4</v>
      </c>
      <c r="AJ83" s="459"/>
      <c r="AK83" s="472"/>
      <c r="AL83" s="459">
        <f t="shared" si="377"/>
        <v>148</v>
      </c>
      <c r="AM83" s="459"/>
      <c r="AN83" s="460">
        <v>148</v>
      </c>
      <c r="AO83" s="459"/>
      <c r="AP83" s="467"/>
      <c r="AQ83" s="386"/>
      <c r="AR83" s="459">
        <f t="shared" si="122"/>
        <v>0</v>
      </c>
      <c r="AS83" s="459"/>
      <c r="AT83" s="459"/>
      <c r="AU83" s="459"/>
      <c r="AV83" s="459"/>
      <c r="AW83" s="459" t="e">
        <f t="shared" si="378"/>
        <v>#REF!</v>
      </c>
      <c r="AX83" s="459" t="e">
        <f>#REF!-AS83</f>
        <v>#REF!</v>
      </c>
      <c r="AY83" s="459" t="e">
        <f>#REF!-AT83</f>
        <v>#REF!</v>
      </c>
      <c r="AZ83" s="459" t="e">
        <f>#REF!-AU83</f>
        <v>#REF!</v>
      </c>
      <c r="BA83" s="459" t="e">
        <f>#REF!-AV83</f>
        <v>#REF!</v>
      </c>
      <c r="BB83" s="459">
        <f t="shared" si="379"/>
        <v>0</v>
      </c>
      <c r="BC83" s="459"/>
      <c r="BD83" s="459"/>
      <c r="BE83" s="459"/>
      <c r="BF83" s="459"/>
      <c r="BG83" s="459">
        <f t="shared" si="380"/>
        <v>0</v>
      </c>
      <c r="BH83" s="459"/>
      <c r="BI83" s="459"/>
      <c r="BJ83" s="459"/>
      <c r="BK83" s="459"/>
      <c r="BL83" s="459">
        <f t="shared" si="381"/>
        <v>0</v>
      </c>
      <c r="BM83" s="459"/>
      <c r="BN83" s="459"/>
      <c r="BO83" s="459"/>
      <c r="BP83" s="459"/>
      <c r="BQ83" s="459">
        <f t="shared" si="382"/>
        <v>0</v>
      </c>
      <c r="BR83" s="459"/>
      <c r="BS83" s="459"/>
      <c r="BT83" s="459"/>
      <c r="BU83" s="459"/>
      <c r="BV83" s="459">
        <f t="shared" si="383"/>
        <v>0</v>
      </c>
      <c r="BW83" s="459"/>
      <c r="BX83" s="459"/>
      <c r="BY83" s="459"/>
      <c r="BZ83" s="459"/>
      <c r="CA83" s="464">
        <f t="shared" si="384"/>
        <v>0</v>
      </c>
      <c r="CB83" s="459">
        <f t="shared" si="385"/>
        <v>0</v>
      </c>
      <c r="CC83" s="459">
        <f t="shared" si="386"/>
        <v>0</v>
      </c>
      <c r="CD83" s="459">
        <f t="shared" si="386"/>
        <v>0</v>
      </c>
      <c r="CE83" s="459">
        <f t="shared" si="386"/>
        <v>0</v>
      </c>
      <c r="CF83" s="459">
        <f t="shared" si="386"/>
        <v>0</v>
      </c>
      <c r="CG83" s="459">
        <f t="shared" si="387"/>
        <v>0</v>
      </c>
      <c r="CH83" s="459">
        <f t="shared" si="388"/>
        <v>0</v>
      </c>
      <c r="CI83" s="459">
        <f t="shared" si="388"/>
        <v>0</v>
      </c>
      <c r="CJ83" s="459">
        <f t="shared" si="388"/>
        <v>0</v>
      </c>
      <c r="CK83" s="459">
        <f t="shared" si="388"/>
        <v>0</v>
      </c>
      <c r="CL83" s="465"/>
      <c r="CM83" s="466"/>
      <c r="CN83" s="466"/>
      <c r="CO83" s="459">
        <f t="shared" si="389"/>
        <v>0</v>
      </c>
      <c r="CP83" s="459"/>
      <c r="CQ83" s="459"/>
      <c r="CR83" s="459"/>
      <c r="CS83" s="459"/>
      <c r="CT83" s="459">
        <f t="shared" si="390"/>
        <v>0</v>
      </c>
      <c r="CU83" s="459"/>
      <c r="CV83" s="459"/>
      <c r="CW83" s="459"/>
      <c r="CX83" s="459"/>
      <c r="CY83" s="459">
        <f t="shared" si="391"/>
        <v>0</v>
      </c>
      <c r="CZ83" s="459">
        <f t="shared" si="392"/>
        <v>0</v>
      </c>
      <c r="DA83" s="459">
        <f t="shared" si="392"/>
        <v>0</v>
      </c>
      <c r="DB83" s="459">
        <f t="shared" si="392"/>
        <v>0</v>
      </c>
      <c r="DC83" s="459">
        <f t="shared" si="392"/>
        <v>0</v>
      </c>
      <c r="DD83" s="459"/>
      <c r="DE83" s="459"/>
      <c r="DF83" s="459"/>
      <c r="DG83" s="459">
        <f t="shared" si="393"/>
        <v>0</v>
      </c>
      <c r="DH83" s="467"/>
      <c r="DI83" s="459">
        <f t="shared" si="394"/>
        <v>0</v>
      </c>
      <c r="DJ83" s="459">
        <f t="shared" si="395"/>
        <v>0</v>
      </c>
      <c r="DK83" s="467"/>
      <c r="DL83" s="459"/>
      <c r="DM83" s="459"/>
      <c r="DN83" s="467"/>
      <c r="DO83" s="459"/>
      <c r="DP83" s="467"/>
      <c r="DQ83" s="467"/>
      <c r="DR83" s="459">
        <f t="shared" si="322"/>
        <v>0</v>
      </c>
      <c r="DS83" s="459"/>
      <c r="DT83" s="459"/>
      <c r="DU83" s="459"/>
      <c r="DV83" s="459"/>
      <c r="DW83" s="459">
        <f t="shared" si="323"/>
        <v>0</v>
      </c>
      <c r="DX83" s="459"/>
      <c r="DY83" s="459"/>
      <c r="DZ83" s="459"/>
      <c r="EA83" s="146"/>
      <c r="EB83" s="279"/>
      <c r="EC83" s="279"/>
      <c r="ED83" s="279"/>
      <c r="EE83" s="366"/>
      <c r="EF83" s="366"/>
      <c r="EG83" s="279"/>
      <c r="EH83" s="279"/>
      <c r="EI83" s="279"/>
      <c r="EJ83" s="366"/>
      <c r="EK83" s="366"/>
      <c r="EL83" s="366">
        <v>8.5099999999999995E-2</v>
      </c>
      <c r="EM83" s="280"/>
      <c r="EN83" s="279"/>
      <c r="EO83" s="265" t="e">
        <f t="shared" si="398"/>
        <v>#DIV/0!</v>
      </c>
      <c r="EP83" s="323"/>
      <c r="EQ83" s="323"/>
      <c r="ER83" s="323"/>
      <c r="ES83" s="358"/>
      <c r="ET83" s="358"/>
      <c r="EU83" s="323"/>
      <c r="EV83" s="323"/>
      <c r="EW83" s="323"/>
      <c r="EX83" s="358"/>
      <c r="EY83" s="358"/>
      <c r="EZ83" s="358">
        <v>0.2838</v>
      </c>
      <c r="FA83" s="323"/>
      <c r="FB83" s="323">
        <f t="shared" si="337"/>
        <v>0</v>
      </c>
      <c r="FC83" s="279"/>
      <c r="FD83" s="279"/>
      <c r="FE83" s="279"/>
      <c r="FF83" s="366"/>
      <c r="FG83" s="366"/>
      <c r="FH83" s="279"/>
      <c r="FI83" s="279"/>
      <c r="FJ83" s="279"/>
      <c r="FK83" s="366"/>
      <c r="FL83" s="366"/>
      <c r="FM83" s="366">
        <v>0.2838</v>
      </c>
      <c r="FN83" s="280"/>
      <c r="FO83" s="279"/>
    </row>
    <row r="84" spans="2:171" s="40" customFormat="1" ht="15.6" customHeight="1" x14ac:dyDescent="0.25">
      <c r="B84" s="32"/>
      <c r="C84" s="33"/>
      <c r="D84" s="33">
        <v>1</v>
      </c>
      <c r="E84" s="434">
        <v>68</v>
      </c>
      <c r="F84" s="32"/>
      <c r="G84" s="33"/>
      <c r="H84" s="33">
        <v>1</v>
      </c>
      <c r="I84" s="672" t="s">
        <v>272</v>
      </c>
      <c r="J84" s="673"/>
      <c r="K84" s="673"/>
      <c r="L84" s="673"/>
      <c r="M84" s="434">
        <v>65</v>
      </c>
      <c r="N84" s="435" t="s">
        <v>97</v>
      </c>
      <c r="O84" s="435"/>
      <c r="P84" s="24">
        <f t="shared" si="334"/>
        <v>0</v>
      </c>
      <c r="Q84" s="435" t="s">
        <v>491</v>
      </c>
      <c r="R84" s="435" t="s">
        <v>488</v>
      </c>
      <c r="S84" s="435" t="s">
        <v>491</v>
      </c>
      <c r="T84" s="435" t="s">
        <v>488</v>
      </c>
      <c r="U84" s="161">
        <v>1</v>
      </c>
      <c r="V84" s="434"/>
      <c r="W84" s="459">
        <f t="shared" si="374"/>
        <v>1713.1</v>
      </c>
      <c r="X84" s="459"/>
      <c r="Y84" s="460">
        <v>1713.1</v>
      </c>
      <c r="Z84" s="459"/>
      <c r="AA84" s="461"/>
      <c r="AB84" s="459">
        <f t="shared" si="375"/>
        <v>1729.6</v>
      </c>
      <c r="AC84" s="459"/>
      <c r="AD84" s="460">
        <v>1729.6</v>
      </c>
      <c r="AE84" s="459"/>
      <c r="AF84" s="461"/>
      <c r="AG84" s="459">
        <f t="shared" si="376"/>
        <v>1729.6</v>
      </c>
      <c r="AH84" s="459"/>
      <c r="AI84" s="460">
        <v>1729.6</v>
      </c>
      <c r="AJ84" s="459"/>
      <c r="AK84" s="461"/>
      <c r="AL84" s="459">
        <f t="shared" si="377"/>
        <v>752</v>
      </c>
      <c r="AM84" s="459"/>
      <c r="AN84" s="460">
        <v>752</v>
      </c>
      <c r="AO84" s="459"/>
      <c r="AP84" s="461"/>
      <c r="AQ84" s="383" t="s">
        <v>372</v>
      </c>
      <c r="AR84" s="459">
        <f t="shared" si="122"/>
        <v>1713.1</v>
      </c>
      <c r="AS84" s="459"/>
      <c r="AT84" s="460">
        <v>1713.1</v>
      </c>
      <c r="AU84" s="459"/>
      <c r="AV84" s="461"/>
      <c r="AW84" s="459" t="e">
        <f t="shared" si="378"/>
        <v>#REF!</v>
      </c>
      <c r="AX84" s="459" t="e">
        <f>#REF!-AS84</f>
        <v>#REF!</v>
      </c>
      <c r="AY84" s="459" t="e">
        <f>#REF!-AT84</f>
        <v>#REF!</v>
      </c>
      <c r="AZ84" s="459" t="e">
        <f>#REF!-AU84</f>
        <v>#REF!</v>
      </c>
      <c r="BA84" s="459" t="e">
        <f>#REF!-AV84</f>
        <v>#REF!</v>
      </c>
      <c r="BB84" s="459">
        <f t="shared" si="379"/>
        <v>1729.6</v>
      </c>
      <c r="BC84" s="459"/>
      <c r="BD84" s="460">
        <f>752+977.6</f>
        <v>1729.6</v>
      </c>
      <c r="BE84" s="459"/>
      <c r="BF84" s="461"/>
      <c r="BG84" s="459">
        <f t="shared" si="380"/>
        <v>0</v>
      </c>
      <c r="BH84" s="459"/>
      <c r="BI84" s="460"/>
      <c r="BJ84" s="459"/>
      <c r="BK84" s="461"/>
      <c r="BL84" s="459">
        <f t="shared" si="381"/>
        <v>1713.1</v>
      </c>
      <c r="BM84" s="459"/>
      <c r="BN84" s="460">
        <v>1713.1</v>
      </c>
      <c r="BO84" s="459"/>
      <c r="BP84" s="470"/>
      <c r="BQ84" s="459">
        <f t="shared" si="382"/>
        <v>1713.1</v>
      </c>
      <c r="BR84" s="459"/>
      <c r="BS84" s="460">
        <v>1713.1</v>
      </c>
      <c r="BT84" s="459"/>
      <c r="BU84" s="461"/>
      <c r="BV84" s="459">
        <f t="shared" si="383"/>
        <v>316.61878000000002</v>
      </c>
      <c r="BW84" s="459"/>
      <c r="BX84" s="470">
        <v>316.61878000000002</v>
      </c>
      <c r="BY84" s="459"/>
      <c r="BZ84" s="459"/>
      <c r="CA84" s="464">
        <f t="shared" si="384"/>
        <v>2029.7187799999999</v>
      </c>
      <c r="CB84" s="459">
        <f t="shared" si="385"/>
        <v>2029.7187799999999</v>
      </c>
      <c r="CC84" s="459">
        <f t="shared" si="386"/>
        <v>0</v>
      </c>
      <c r="CD84" s="459">
        <f t="shared" si="386"/>
        <v>2029.7187799999999</v>
      </c>
      <c r="CE84" s="459">
        <f t="shared" si="386"/>
        <v>0</v>
      </c>
      <c r="CF84" s="459">
        <f t="shared" si="386"/>
        <v>0</v>
      </c>
      <c r="CG84" s="459">
        <f t="shared" si="387"/>
        <v>0</v>
      </c>
      <c r="CH84" s="459">
        <f t="shared" si="388"/>
        <v>0</v>
      </c>
      <c r="CI84" s="459">
        <f t="shared" si="388"/>
        <v>0</v>
      </c>
      <c r="CJ84" s="459">
        <f t="shared" si="388"/>
        <v>0</v>
      </c>
      <c r="CK84" s="459">
        <f t="shared" si="388"/>
        <v>0</v>
      </c>
      <c r="CL84" s="465"/>
      <c r="CM84" s="466">
        <f>BB84+BB86+BB87+BB88+BB92</f>
        <v>11892.699999999999</v>
      </c>
      <c r="CN84" s="466"/>
      <c r="CO84" s="459">
        <f t="shared" si="389"/>
        <v>0</v>
      </c>
      <c r="CP84" s="459"/>
      <c r="CQ84" s="460"/>
      <c r="CR84" s="459"/>
      <c r="CS84" s="461"/>
      <c r="CT84" s="459">
        <f t="shared" si="390"/>
        <v>0</v>
      </c>
      <c r="CU84" s="459"/>
      <c r="CV84" s="460"/>
      <c r="CW84" s="459"/>
      <c r="CX84" s="461"/>
      <c r="CY84" s="459">
        <f t="shared" si="391"/>
        <v>0</v>
      </c>
      <c r="CZ84" s="459">
        <f t="shared" si="392"/>
        <v>0</v>
      </c>
      <c r="DA84" s="459">
        <f t="shared" si="392"/>
        <v>0</v>
      </c>
      <c r="DB84" s="459">
        <f t="shared" si="392"/>
        <v>0</v>
      </c>
      <c r="DC84" s="459">
        <f t="shared" si="392"/>
        <v>0</v>
      </c>
      <c r="DD84" s="459"/>
      <c r="DE84" s="459"/>
      <c r="DF84" s="459"/>
      <c r="DG84" s="459">
        <f t="shared" si="393"/>
        <v>0</v>
      </c>
      <c r="DH84" s="467"/>
      <c r="DI84" s="459">
        <f t="shared" si="394"/>
        <v>1713.1</v>
      </c>
      <c r="DJ84" s="459">
        <f t="shared" si="395"/>
        <v>1713.1</v>
      </c>
      <c r="DK84" s="467"/>
      <c r="DL84" s="459">
        <f>DJ84+DJ86+DJ87+DJ88+DJ92</f>
        <v>21237.968999999997</v>
      </c>
      <c r="DM84" s="459">
        <f>DG84+DG86+DG87+DG88+DG92</f>
        <v>0</v>
      </c>
      <c r="DN84" s="467"/>
      <c r="DO84" s="459">
        <f>CN83-DL84</f>
        <v>-21237.968999999997</v>
      </c>
      <c r="DP84" s="467"/>
      <c r="DQ84" s="467"/>
      <c r="DR84" s="459">
        <f t="shared" si="322"/>
        <v>1713.1</v>
      </c>
      <c r="DS84" s="459"/>
      <c r="DT84" s="460">
        <v>1713.1</v>
      </c>
      <c r="DU84" s="459"/>
      <c r="DV84" s="461"/>
      <c r="DW84" s="459">
        <f t="shared" si="323"/>
        <v>316.61878000000002</v>
      </c>
      <c r="DX84" s="459"/>
      <c r="DY84" s="470">
        <v>316.61878000000002</v>
      </c>
      <c r="DZ84" s="459"/>
      <c r="EA84" s="146"/>
      <c r="EB84" s="279"/>
      <c r="EC84" s="279"/>
      <c r="ED84" s="281"/>
      <c r="EE84" s="366"/>
      <c r="EF84" s="366"/>
      <c r="EG84" s="279"/>
      <c r="EH84" s="279"/>
      <c r="EI84" s="281"/>
      <c r="EJ84" s="366"/>
      <c r="EK84" s="366"/>
      <c r="EL84" s="366">
        <v>2.52E-2</v>
      </c>
      <c r="EM84" s="280"/>
      <c r="EN84" s="279"/>
      <c r="EO84" s="265" t="e">
        <f t="shared" si="398"/>
        <v>#DIV/0!</v>
      </c>
      <c r="EP84" s="323">
        <f t="shared" si="335"/>
        <v>2029.7187799999999</v>
      </c>
      <c r="EQ84" s="323">
        <f t="shared" si="349"/>
        <v>1713.1</v>
      </c>
      <c r="ER84" s="324">
        <v>316.61878000000002</v>
      </c>
      <c r="ES84" s="358">
        <f t="shared" si="406"/>
        <v>0.84400854782454149</v>
      </c>
      <c r="ET84" s="358">
        <f t="shared" si="407"/>
        <v>0.15599145217545854</v>
      </c>
      <c r="EU84" s="323">
        <f t="shared" si="336"/>
        <v>2029.7187799999999</v>
      </c>
      <c r="EV84" s="323">
        <f t="shared" si="408"/>
        <v>1713.1</v>
      </c>
      <c r="EW84" s="324">
        <f t="shared" si="409"/>
        <v>316.61878000000002</v>
      </c>
      <c r="EX84" s="358">
        <f t="shared" si="410"/>
        <v>0.84400854782454149</v>
      </c>
      <c r="EY84" s="358">
        <f t="shared" si="411"/>
        <v>0.15599145217545854</v>
      </c>
      <c r="EZ84" s="358">
        <v>8.4099999999999994E-2</v>
      </c>
      <c r="FA84" s="323">
        <f t="shared" si="412"/>
        <v>1713.1</v>
      </c>
      <c r="FB84" s="323">
        <f t="shared" si="337"/>
        <v>0</v>
      </c>
      <c r="FC84" s="279">
        <f t="shared" si="413"/>
        <v>0</v>
      </c>
      <c r="FD84" s="279">
        <f t="shared" si="350"/>
        <v>0</v>
      </c>
      <c r="FE84" s="281"/>
      <c r="FF84" s="366" t="e">
        <f t="shared" si="414"/>
        <v>#DIV/0!</v>
      </c>
      <c r="FG84" s="366" t="e">
        <f t="shared" si="415"/>
        <v>#DIV/0!</v>
      </c>
      <c r="FH84" s="279">
        <f t="shared" si="351"/>
        <v>0</v>
      </c>
      <c r="FI84" s="279">
        <f>DU84</f>
        <v>0</v>
      </c>
      <c r="FJ84" s="281">
        <f>DZ84</f>
        <v>0</v>
      </c>
      <c r="FK84" s="366" t="e">
        <f t="shared" ref="FK84" si="418">FI84/FH84</f>
        <v>#DIV/0!</v>
      </c>
      <c r="FL84" s="366" t="e">
        <f t="shared" ref="FL84" si="419">FJ84/FH84</f>
        <v>#DIV/0!</v>
      </c>
      <c r="FM84" s="366">
        <v>8.4099999999999994E-2</v>
      </c>
      <c r="FN84" s="280" t="e">
        <f t="shared" si="230"/>
        <v>#DIV/0!</v>
      </c>
      <c r="FO84" s="279" t="e">
        <f t="shared" si="352"/>
        <v>#DIV/0!</v>
      </c>
    </row>
    <row r="85" spans="2:171" s="40" customFormat="1" ht="15.75" customHeight="1" x14ac:dyDescent="0.25">
      <c r="B85" s="32"/>
      <c r="C85" s="33">
        <v>1</v>
      </c>
      <c r="D85" s="33"/>
      <c r="E85" s="434">
        <v>69</v>
      </c>
      <c r="F85" s="32"/>
      <c r="G85" s="33">
        <v>1</v>
      </c>
      <c r="H85" s="33">
        <v>1</v>
      </c>
      <c r="I85" s="562"/>
      <c r="J85" s="563"/>
      <c r="K85" s="564"/>
      <c r="L85" s="565"/>
      <c r="M85" s="434">
        <v>66</v>
      </c>
      <c r="N85" s="435" t="s">
        <v>43</v>
      </c>
      <c r="O85" s="435"/>
      <c r="P85" s="24">
        <f t="shared" si="334"/>
        <v>0</v>
      </c>
      <c r="Q85" s="435" t="s">
        <v>490</v>
      </c>
      <c r="R85" s="435" t="s">
        <v>488</v>
      </c>
      <c r="S85" s="435"/>
      <c r="T85" s="435"/>
      <c r="U85" s="161">
        <v>1</v>
      </c>
      <c r="V85" s="434">
        <v>1</v>
      </c>
      <c r="W85" s="459">
        <f t="shared" si="374"/>
        <v>5032.7</v>
      </c>
      <c r="X85" s="459"/>
      <c r="Y85" s="460">
        <v>5032.7</v>
      </c>
      <c r="Z85" s="459"/>
      <c r="AA85" s="461"/>
      <c r="AB85" s="459">
        <f t="shared" si="375"/>
        <v>4733.3999999999996</v>
      </c>
      <c r="AC85" s="459"/>
      <c r="AD85" s="460">
        <v>4733.3999999999996</v>
      </c>
      <c r="AE85" s="459"/>
      <c r="AF85" s="461"/>
      <c r="AG85" s="459">
        <f t="shared" si="376"/>
        <v>4733.3999999999996</v>
      </c>
      <c r="AH85" s="459"/>
      <c r="AI85" s="460">
        <v>4733.3999999999996</v>
      </c>
      <c r="AJ85" s="459"/>
      <c r="AK85" s="461"/>
      <c r="AL85" s="459">
        <f t="shared" si="377"/>
        <v>2058</v>
      </c>
      <c r="AM85" s="459"/>
      <c r="AN85" s="460">
        <v>2058</v>
      </c>
      <c r="AO85" s="459"/>
      <c r="AP85" s="461"/>
      <c r="AQ85" s="398" t="s">
        <v>538</v>
      </c>
      <c r="AR85" s="459">
        <f t="shared" ref="AR85:AR93" si="420">AS85+AT85+AU85+AV85</f>
        <v>4361.0479999999998</v>
      </c>
      <c r="AS85" s="459"/>
      <c r="AT85" s="460">
        <f>5032.7-671.652</f>
        <v>4361.0479999999998</v>
      </c>
      <c r="AU85" s="459"/>
      <c r="AV85" s="461"/>
      <c r="AW85" s="459" t="e">
        <f t="shared" si="378"/>
        <v>#REF!</v>
      </c>
      <c r="AX85" s="459" t="e">
        <f>#REF!-AS85</f>
        <v>#REF!</v>
      </c>
      <c r="AY85" s="459" t="e">
        <f>#REF!-AT85</f>
        <v>#REF!</v>
      </c>
      <c r="AZ85" s="459" t="e">
        <f>#REF!-AU85</f>
        <v>#REF!</v>
      </c>
      <c r="BA85" s="459" t="e">
        <f>#REF!-AV85</f>
        <v>#REF!</v>
      </c>
      <c r="BB85" s="459">
        <f t="shared" si="379"/>
        <v>4733.3999999999996</v>
      </c>
      <c r="BC85" s="459"/>
      <c r="BD85" s="460">
        <f>1363.205+2425.669+944.526</f>
        <v>4733.3999999999996</v>
      </c>
      <c r="BE85" s="459"/>
      <c r="BF85" s="461"/>
      <c r="BG85" s="459">
        <f t="shared" si="380"/>
        <v>0</v>
      </c>
      <c r="BH85" s="459"/>
      <c r="BI85" s="459"/>
      <c r="BJ85" s="459"/>
      <c r="BK85" s="461"/>
      <c r="BL85" s="459">
        <f t="shared" si="381"/>
        <v>4361.0479999999998</v>
      </c>
      <c r="BM85" s="459"/>
      <c r="BN85" s="460">
        <f>1362.217+1673.466+1325.365</f>
        <v>4361.0479999999998</v>
      </c>
      <c r="BO85" s="459"/>
      <c r="BP85" s="470"/>
      <c r="BQ85" s="459">
        <f t="shared" si="382"/>
        <v>4361.0479999999998</v>
      </c>
      <c r="BR85" s="459"/>
      <c r="BS85" s="460">
        <f>1362.217+1673.466+1325.365</f>
        <v>4361.0479999999998</v>
      </c>
      <c r="BT85" s="459"/>
      <c r="BU85" s="461"/>
      <c r="BV85" s="459">
        <f t="shared" si="383"/>
        <v>326.16876000000002</v>
      </c>
      <c r="BW85" s="459"/>
      <c r="BX85" s="459">
        <f>99.079+101.903+125.18676</f>
        <v>326.16876000000002</v>
      </c>
      <c r="BY85" s="459"/>
      <c r="BZ85" s="459"/>
      <c r="CA85" s="464">
        <f t="shared" si="384"/>
        <v>4687.2167599999993</v>
      </c>
      <c r="CB85" s="459">
        <f t="shared" si="385"/>
        <v>4687.2167599999993</v>
      </c>
      <c r="CC85" s="459">
        <f t="shared" si="386"/>
        <v>0</v>
      </c>
      <c r="CD85" s="459">
        <f t="shared" si="386"/>
        <v>4687.2167599999993</v>
      </c>
      <c r="CE85" s="459">
        <f t="shared" si="386"/>
        <v>0</v>
      </c>
      <c r="CF85" s="459">
        <f t="shared" si="386"/>
        <v>0</v>
      </c>
      <c r="CG85" s="459">
        <f t="shared" si="387"/>
        <v>0</v>
      </c>
      <c r="CH85" s="459">
        <f t="shared" si="388"/>
        <v>0</v>
      </c>
      <c r="CI85" s="459">
        <f t="shared" si="388"/>
        <v>0</v>
      </c>
      <c r="CJ85" s="459">
        <f t="shared" si="388"/>
        <v>0</v>
      </c>
      <c r="CK85" s="459">
        <f t="shared" si="388"/>
        <v>0</v>
      </c>
      <c r="CL85" s="465"/>
      <c r="CM85" s="466"/>
      <c r="CN85" s="466"/>
      <c r="CO85" s="459">
        <f t="shared" si="389"/>
        <v>0</v>
      </c>
      <c r="CP85" s="459"/>
      <c r="CQ85" s="459"/>
      <c r="CR85" s="459"/>
      <c r="CS85" s="461"/>
      <c r="CT85" s="459">
        <f t="shared" si="390"/>
        <v>0</v>
      </c>
      <c r="CU85" s="459"/>
      <c r="CV85" s="459"/>
      <c r="CW85" s="459"/>
      <c r="CX85" s="461"/>
      <c r="CY85" s="459">
        <f t="shared" si="391"/>
        <v>0</v>
      </c>
      <c r="CZ85" s="459">
        <f t="shared" si="392"/>
        <v>0</v>
      </c>
      <c r="DA85" s="459">
        <f t="shared" si="392"/>
        <v>0</v>
      </c>
      <c r="DB85" s="459">
        <f t="shared" si="392"/>
        <v>0</v>
      </c>
      <c r="DC85" s="459">
        <f t="shared" si="392"/>
        <v>0</v>
      </c>
      <c r="DD85" s="459"/>
      <c r="DE85" s="459"/>
      <c r="DF85" s="459"/>
      <c r="DG85" s="459">
        <f t="shared" si="393"/>
        <v>0</v>
      </c>
      <c r="DH85" s="467"/>
      <c r="DI85" s="459">
        <f t="shared" si="394"/>
        <v>4361.0479999999998</v>
      </c>
      <c r="DJ85" s="459">
        <f t="shared" si="395"/>
        <v>4361.0479999999998</v>
      </c>
      <c r="DK85" s="467"/>
      <c r="DL85" s="459"/>
      <c r="DM85" s="459"/>
      <c r="DN85" s="467"/>
      <c r="DO85" s="459"/>
      <c r="DP85" s="467"/>
      <c r="DQ85" s="467"/>
      <c r="DR85" s="459">
        <f t="shared" si="322"/>
        <v>4361.0479999999998</v>
      </c>
      <c r="DS85" s="459"/>
      <c r="DT85" s="460">
        <v>4361.0479999999998</v>
      </c>
      <c r="DU85" s="459"/>
      <c r="DV85" s="461"/>
      <c r="DW85" s="459">
        <f t="shared" si="323"/>
        <v>326.16876000000002</v>
      </c>
      <c r="DX85" s="459"/>
      <c r="DY85" s="459">
        <v>326.16876000000002</v>
      </c>
      <c r="DZ85" s="459"/>
      <c r="EA85" s="146"/>
      <c r="EB85" s="279"/>
      <c r="EC85" s="279"/>
      <c r="ED85" s="279"/>
      <c r="EE85" s="366"/>
      <c r="EF85" s="366"/>
      <c r="EG85" s="279"/>
      <c r="EH85" s="279"/>
      <c r="EI85" s="279"/>
      <c r="EJ85" s="366"/>
      <c r="EK85" s="366"/>
      <c r="EL85" s="366">
        <v>2.06E-2</v>
      </c>
      <c r="EM85" s="280"/>
      <c r="EN85" s="279"/>
      <c r="EO85" s="265" t="e">
        <f t="shared" si="398"/>
        <v>#DIV/0!</v>
      </c>
      <c r="EP85" s="323">
        <f t="shared" si="335"/>
        <v>4687.2167599999993</v>
      </c>
      <c r="EQ85" s="323">
        <f t="shared" si="349"/>
        <v>4361.0479999999998</v>
      </c>
      <c r="ER85" s="323">
        <v>326.16876000000002</v>
      </c>
      <c r="ES85" s="358">
        <f t="shared" si="406"/>
        <v>0.93041312644563945</v>
      </c>
      <c r="ET85" s="358">
        <f t="shared" si="407"/>
        <v>6.9586873554360662E-2</v>
      </c>
      <c r="EU85" s="323">
        <f t="shared" si="336"/>
        <v>4687.2167599999993</v>
      </c>
      <c r="EV85" s="323">
        <f t="shared" si="408"/>
        <v>4361.0479999999998</v>
      </c>
      <c r="EW85" s="323">
        <f t="shared" si="409"/>
        <v>326.16876000000002</v>
      </c>
      <c r="EX85" s="358">
        <f t="shared" si="410"/>
        <v>0.93041312644563945</v>
      </c>
      <c r="EY85" s="358">
        <f t="shared" si="411"/>
        <v>6.9586873554360662E-2</v>
      </c>
      <c r="EZ85" s="358">
        <v>6.88E-2</v>
      </c>
      <c r="FA85" s="323">
        <f t="shared" si="412"/>
        <v>4361.0479999999998</v>
      </c>
      <c r="FB85" s="323">
        <f t="shared" si="337"/>
        <v>0</v>
      </c>
      <c r="FC85" s="279"/>
      <c r="FD85" s="279"/>
      <c r="FE85" s="279"/>
      <c r="FF85" s="366"/>
      <c r="FG85" s="366"/>
      <c r="FH85" s="279"/>
      <c r="FI85" s="279"/>
      <c r="FJ85" s="279"/>
      <c r="FK85" s="366"/>
      <c r="FL85" s="366"/>
      <c r="FM85" s="366">
        <v>6.88E-2</v>
      </c>
      <c r="FN85" s="280"/>
      <c r="FO85" s="279"/>
    </row>
    <row r="86" spans="2:171" s="40" customFormat="1" ht="15.6" customHeight="1" x14ac:dyDescent="0.25">
      <c r="B86" s="32"/>
      <c r="C86" s="33"/>
      <c r="D86" s="33">
        <v>1</v>
      </c>
      <c r="E86" s="434">
        <v>70</v>
      </c>
      <c r="F86" s="32"/>
      <c r="G86" s="33"/>
      <c r="H86" s="33"/>
      <c r="I86" s="674"/>
      <c r="J86" s="675"/>
      <c r="K86" s="675"/>
      <c r="L86" s="206"/>
      <c r="M86" s="434">
        <v>67</v>
      </c>
      <c r="N86" s="435" t="s">
        <v>98</v>
      </c>
      <c r="O86" s="435"/>
      <c r="P86" s="24">
        <f t="shared" si="334"/>
        <v>0</v>
      </c>
      <c r="Q86" s="435" t="s">
        <v>490</v>
      </c>
      <c r="R86" s="435" t="s">
        <v>488</v>
      </c>
      <c r="S86" s="435" t="s">
        <v>490</v>
      </c>
      <c r="T86" s="435" t="s">
        <v>488</v>
      </c>
      <c r="U86" s="161">
        <v>1</v>
      </c>
      <c r="V86" s="434">
        <v>2</v>
      </c>
      <c r="W86" s="459">
        <f t="shared" si="374"/>
        <v>14344.868999999999</v>
      </c>
      <c r="X86" s="459"/>
      <c r="Y86" s="459">
        <v>1311.9</v>
      </c>
      <c r="Z86" s="459">
        <v>13032.968999999999</v>
      </c>
      <c r="AA86" s="472"/>
      <c r="AB86" s="459">
        <f t="shared" si="375"/>
        <v>4824.8</v>
      </c>
      <c r="AC86" s="459"/>
      <c r="AD86" s="459">
        <v>1324.8</v>
      </c>
      <c r="AE86" s="459">
        <v>3500</v>
      </c>
      <c r="AF86" s="472"/>
      <c r="AG86" s="459">
        <f t="shared" si="376"/>
        <v>1324.8</v>
      </c>
      <c r="AH86" s="459"/>
      <c r="AI86" s="459">
        <v>1324.8</v>
      </c>
      <c r="AJ86" s="459"/>
      <c r="AK86" s="472"/>
      <c r="AL86" s="459">
        <f t="shared" si="377"/>
        <v>576</v>
      </c>
      <c r="AM86" s="459"/>
      <c r="AN86" s="459">
        <v>576</v>
      </c>
      <c r="AO86" s="459"/>
      <c r="AP86" s="467"/>
      <c r="AQ86" s="399" t="s">
        <v>549</v>
      </c>
      <c r="AR86" s="459">
        <f t="shared" si="420"/>
        <v>14344.868999999999</v>
      </c>
      <c r="AS86" s="459"/>
      <c r="AT86" s="459">
        <v>1311.9</v>
      </c>
      <c r="AU86" s="459">
        <v>13032.968999999999</v>
      </c>
      <c r="AV86" s="459"/>
      <c r="AW86" s="459" t="e">
        <f t="shared" si="378"/>
        <v>#REF!</v>
      </c>
      <c r="AX86" s="459" t="e">
        <f>#REF!-AS86</f>
        <v>#REF!</v>
      </c>
      <c r="AY86" s="459" t="e">
        <f>#REF!-AT86</f>
        <v>#REF!</v>
      </c>
      <c r="AZ86" s="459" t="e">
        <f>#REF!-AU86</f>
        <v>#REF!</v>
      </c>
      <c r="BA86" s="459" t="e">
        <f>#REF!-AV86</f>
        <v>#REF!</v>
      </c>
      <c r="BB86" s="459">
        <f t="shared" si="379"/>
        <v>4824.8</v>
      </c>
      <c r="BC86" s="459"/>
      <c r="BD86" s="459">
        <v>1324.8</v>
      </c>
      <c r="BE86" s="459">
        <v>3500</v>
      </c>
      <c r="BF86" s="459"/>
      <c r="BG86" s="459">
        <f t="shared" si="380"/>
        <v>0</v>
      </c>
      <c r="BH86" s="459"/>
      <c r="BI86" s="459"/>
      <c r="BJ86" s="459"/>
      <c r="BK86" s="459"/>
      <c r="BL86" s="459">
        <f t="shared" si="381"/>
        <v>14344.868999999999</v>
      </c>
      <c r="BM86" s="459"/>
      <c r="BN86" s="459">
        <v>1311.9</v>
      </c>
      <c r="BO86" s="459">
        <v>13032.968999999999</v>
      </c>
      <c r="BP86" s="459"/>
      <c r="BQ86" s="459">
        <f t="shared" si="382"/>
        <v>14344.868999999999</v>
      </c>
      <c r="BR86" s="459"/>
      <c r="BS86" s="459">
        <v>1311.9</v>
      </c>
      <c r="BT86" s="459">
        <v>13032.968999999999</v>
      </c>
      <c r="BU86" s="459"/>
      <c r="BV86" s="459">
        <f t="shared" si="383"/>
        <v>2471.0133000000001</v>
      </c>
      <c r="BW86" s="459"/>
      <c r="BX86" s="459">
        <v>782.35519999999997</v>
      </c>
      <c r="BY86" s="459">
        <v>1688.6581000000001</v>
      </c>
      <c r="BZ86" s="459"/>
      <c r="CA86" s="464">
        <f t="shared" si="384"/>
        <v>16815.882300000001</v>
      </c>
      <c r="CB86" s="459">
        <f t="shared" si="385"/>
        <v>16815.882300000001</v>
      </c>
      <c r="CC86" s="459">
        <f t="shared" si="386"/>
        <v>0</v>
      </c>
      <c r="CD86" s="459">
        <f t="shared" si="386"/>
        <v>2094.2552000000001</v>
      </c>
      <c r="CE86" s="459">
        <f t="shared" si="386"/>
        <v>14721.6271</v>
      </c>
      <c r="CF86" s="459">
        <f t="shared" si="386"/>
        <v>0</v>
      </c>
      <c r="CG86" s="459">
        <f t="shared" si="387"/>
        <v>0</v>
      </c>
      <c r="CH86" s="459">
        <f t="shared" si="388"/>
        <v>0</v>
      </c>
      <c r="CI86" s="459">
        <f t="shared" si="388"/>
        <v>0</v>
      </c>
      <c r="CJ86" s="459">
        <f t="shared" si="388"/>
        <v>0</v>
      </c>
      <c r="CK86" s="459">
        <f t="shared" si="388"/>
        <v>0</v>
      </c>
      <c r="CL86" s="465"/>
      <c r="CM86" s="466"/>
      <c r="CN86" s="466"/>
      <c r="CO86" s="459">
        <f t="shared" si="389"/>
        <v>0</v>
      </c>
      <c r="CP86" s="459"/>
      <c r="CQ86" s="459"/>
      <c r="CR86" s="459"/>
      <c r="CS86" s="459"/>
      <c r="CT86" s="459">
        <f t="shared" si="390"/>
        <v>0</v>
      </c>
      <c r="CU86" s="459"/>
      <c r="CV86" s="459"/>
      <c r="CW86" s="459"/>
      <c r="CX86" s="459"/>
      <c r="CY86" s="459">
        <f t="shared" si="391"/>
        <v>0</v>
      </c>
      <c r="CZ86" s="459">
        <f t="shared" si="392"/>
        <v>0</v>
      </c>
      <c r="DA86" s="459">
        <f t="shared" si="392"/>
        <v>0</v>
      </c>
      <c r="DB86" s="459">
        <f t="shared" si="392"/>
        <v>0</v>
      </c>
      <c r="DC86" s="459">
        <f t="shared" si="392"/>
        <v>0</v>
      </c>
      <c r="DD86" s="459"/>
      <c r="DE86" s="459"/>
      <c r="DF86" s="459"/>
      <c r="DG86" s="459">
        <f t="shared" si="393"/>
        <v>0</v>
      </c>
      <c r="DH86" s="467"/>
      <c r="DI86" s="459">
        <f t="shared" si="394"/>
        <v>14344.868999999999</v>
      </c>
      <c r="DJ86" s="459">
        <f t="shared" si="395"/>
        <v>14344.868999999999</v>
      </c>
      <c r="DK86" s="467"/>
      <c r="DL86" s="459"/>
      <c r="DM86" s="459"/>
      <c r="DN86" s="467"/>
      <c r="DO86" s="459"/>
      <c r="DP86" s="467"/>
      <c r="DQ86" s="467"/>
      <c r="DR86" s="459">
        <f t="shared" si="322"/>
        <v>14344.868999999999</v>
      </c>
      <c r="DS86" s="459"/>
      <c r="DT86" s="459">
        <v>1311.9</v>
      </c>
      <c r="DU86" s="459">
        <v>13032.968999999999</v>
      </c>
      <c r="DV86" s="459"/>
      <c r="DW86" s="459">
        <f t="shared" si="323"/>
        <v>2471.0133000000001</v>
      </c>
      <c r="DX86" s="459"/>
      <c r="DY86" s="459">
        <v>782.35519999999997</v>
      </c>
      <c r="DZ86" s="459">
        <v>1688.6581000000001</v>
      </c>
      <c r="EA86" s="146"/>
      <c r="EB86" s="279"/>
      <c r="EC86" s="279"/>
      <c r="ED86" s="279"/>
      <c r="EE86" s="366"/>
      <c r="EF86" s="366"/>
      <c r="EG86" s="279"/>
      <c r="EH86" s="279"/>
      <c r="EI86" s="279"/>
      <c r="EJ86" s="366"/>
      <c r="EK86" s="366"/>
      <c r="EL86" s="366">
        <v>2.4799999999999999E-2</v>
      </c>
      <c r="EM86" s="280"/>
      <c r="EN86" s="279"/>
      <c r="EO86" s="265" t="e">
        <f t="shared" si="398"/>
        <v>#DIV/0!</v>
      </c>
      <c r="EP86" s="323">
        <f t="shared" si="335"/>
        <v>2094.2552000000001</v>
      </c>
      <c r="EQ86" s="323">
        <f t="shared" si="349"/>
        <v>1311.9</v>
      </c>
      <c r="ER86" s="323">
        <v>782.35519999999997</v>
      </c>
      <c r="ES86" s="358">
        <f t="shared" si="406"/>
        <v>0.62642795395709183</v>
      </c>
      <c r="ET86" s="358">
        <f t="shared" si="407"/>
        <v>0.37357204604290822</v>
      </c>
      <c r="EU86" s="323">
        <f t="shared" si="336"/>
        <v>2094.2552000000001</v>
      </c>
      <c r="EV86" s="323">
        <f t="shared" si="408"/>
        <v>1311.9</v>
      </c>
      <c r="EW86" s="323">
        <f t="shared" si="409"/>
        <v>782.35519999999997</v>
      </c>
      <c r="EX86" s="358">
        <f t="shared" si="410"/>
        <v>0.62642795395709183</v>
      </c>
      <c r="EY86" s="358">
        <f t="shared" si="411"/>
        <v>0.37357204604290822</v>
      </c>
      <c r="EZ86" s="358">
        <v>8.2600000000000007E-2</v>
      </c>
      <c r="FA86" s="323">
        <f t="shared" si="412"/>
        <v>1311.9</v>
      </c>
      <c r="FB86" s="323">
        <f t="shared" si="337"/>
        <v>0</v>
      </c>
      <c r="FC86" s="279">
        <f t="shared" si="413"/>
        <v>14721.6271</v>
      </c>
      <c r="FD86" s="279">
        <f t="shared" si="350"/>
        <v>13032.968999999999</v>
      </c>
      <c r="FE86" s="279">
        <v>1688.6581000000001</v>
      </c>
      <c r="FF86" s="366">
        <f t="shared" ref="FF86" si="421">FD86/FC86</f>
        <v>0.88529405829060837</v>
      </c>
      <c r="FG86" s="366">
        <f t="shared" ref="FG86" si="422">FE86/FC86</f>
        <v>0.11470594170939163</v>
      </c>
      <c r="FH86" s="279">
        <f t="shared" ref="FH86" si="423">FI86+FJ86</f>
        <v>14721.6271</v>
      </c>
      <c r="FI86" s="279">
        <f>DU86</f>
        <v>13032.968999999999</v>
      </c>
      <c r="FJ86" s="279">
        <f>DZ86</f>
        <v>1688.6581000000001</v>
      </c>
      <c r="FK86" s="366">
        <f t="shared" ref="FK86" si="424">FI86/FH86</f>
        <v>0.88529405829060837</v>
      </c>
      <c r="FL86" s="366">
        <f t="shared" ref="FL86" si="425">FJ86/FH86</f>
        <v>0.11470594170939163</v>
      </c>
      <c r="FM86" s="366">
        <v>8.2600000000000007E-2</v>
      </c>
      <c r="FN86" s="280">
        <f t="shared" ref="FN86" si="426">FH86*FF86</f>
        <v>13032.968999999999</v>
      </c>
      <c r="FO86" s="279">
        <f t="shared" ref="FO86" si="427">FI86-FN86</f>
        <v>0</v>
      </c>
    </row>
    <row r="87" spans="2:171" s="40" customFormat="1" ht="15.6" customHeight="1" x14ac:dyDescent="0.25">
      <c r="B87" s="32"/>
      <c r="C87" s="33"/>
      <c r="D87" s="33">
        <v>1</v>
      </c>
      <c r="E87" s="434">
        <v>71</v>
      </c>
      <c r="F87" s="32"/>
      <c r="G87" s="33"/>
      <c r="H87" s="33">
        <v>1</v>
      </c>
      <c r="M87" s="434">
        <v>68</v>
      </c>
      <c r="N87" s="435" t="s">
        <v>99</v>
      </c>
      <c r="O87" s="435"/>
      <c r="P87" s="24">
        <f t="shared" si="334"/>
        <v>0</v>
      </c>
      <c r="Q87" s="435" t="s">
        <v>490</v>
      </c>
      <c r="R87" s="435" t="s">
        <v>488</v>
      </c>
      <c r="S87" s="435" t="s">
        <v>490</v>
      </c>
      <c r="T87" s="435" t="s">
        <v>488</v>
      </c>
      <c r="U87" s="161">
        <v>1</v>
      </c>
      <c r="V87" s="434"/>
      <c r="W87" s="459">
        <f t="shared" si="374"/>
        <v>1733.5</v>
      </c>
      <c r="X87" s="459"/>
      <c r="Y87" s="460">
        <v>1733.5</v>
      </c>
      <c r="Z87" s="459"/>
      <c r="AA87" s="461"/>
      <c r="AB87" s="459">
        <f t="shared" si="375"/>
        <v>1750.3</v>
      </c>
      <c r="AC87" s="459"/>
      <c r="AD87" s="460">
        <v>1750.3</v>
      </c>
      <c r="AE87" s="459"/>
      <c r="AF87" s="461"/>
      <c r="AG87" s="459">
        <f t="shared" si="376"/>
        <v>1750.3</v>
      </c>
      <c r="AH87" s="459"/>
      <c r="AI87" s="460">
        <v>1750.3</v>
      </c>
      <c r="AJ87" s="459"/>
      <c r="AK87" s="461"/>
      <c r="AL87" s="459">
        <f t="shared" si="377"/>
        <v>761</v>
      </c>
      <c r="AM87" s="459"/>
      <c r="AN87" s="460">
        <v>761</v>
      </c>
      <c r="AO87" s="459"/>
      <c r="AP87" s="461"/>
      <c r="AQ87" s="383" t="s">
        <v>400</v>
      </c>
      <c r="AR87" s="459">
        <f t="shared" si="420"/>
        <v>1733.5</v>
      </c>
      <c r="AS87" s="459"/>
      <c r="AT87" s="460">
        <v>1733.5</v>
      </c>
      <c r="AU87" s="459"/>
      <c r="AV87" s="459"/>
      <c r="AW87" s="459" t="e">
        <f t="shared" si="378"/>
        <v>#REF!</v>
      </c>
      <c r="AX87" s="459" t="e">
        <f>#REF!-AS87</f>
        <v>#REF!</v>
      </c>
      <c r="AY87" s="459" t="e">
        <f>#REF!-AT87</f>
        <v>#REF!</v>
      </c>
      <c r="AZ87" s="459" t="e">
        <f>#REF!-AU87</f>
        <v>#REF!</v>
      </c>
      <c r="BA87" s="459" t="e">
        <f>#REF!-AV87</f>
        <v>#REF!</v>
      </c>
      <c r="BB87" s="459">
        <f t="shared" si="379"/>
        <v>1750.3</v>
      </c>
      <c r="BC87" s="459"/>
      <c r="BD87" s="460">
        <f>761+989.3</f>
        <v>1750.3</v>
      </c>
      <c r="BE87" s="459"/>
      <c r="BF87" s="459"/>
      <c r="BG87" s="459">
        <f t="shared" si="380"/>
        <v>0</v>
      </c>
      <c r="BH87" s="459"/>
      <c r="BI87" s="460"/>
      <c r="BJ87" s="459"/>
      <c r="BK87" s="459"/>
      <c r="BL87" s="459">
        <f t="shared" si="381"/>
        <v>1733.5</v>
      </c>
      <c r="BM87" s="459"/>
      <c r="BN87" s="460">
        <v>1733.5</v>
      </c>
      <c r="BO87" s="459"/>
      <c r="BP87" s="459"/>
      <c r="BQ87" s="459">
        <f t="shared" si="382"/>
        <v>1733.5</v>
      </c>
      <c r="BR87" s="459"/>
      <c r="BS87" s="460">
        <v>1733.5</v>
      </c>
      <c r="BT87" s="459"/>
      <c r="BU87" s="459"/>
      <c r="BV87" s="459">
        <f t="shared" si="383"/>
        <v>1140.7952</v>
      </c>
      <c r="BW87" s="459"/>
      <c r="BX87" s="459">
        <v>1140.7952</v>
      </c>
      <c r="BY87" s="459"/>
      <c r="BZ87" s="459"/>
      <c r="CA87" s="464">
        <f t="shared" si="384"/>
        <v>2874.2952</v>
      </c>
      <c r="CB87" s="459">
        <f t="shared" si="385"/>
        <v>2874.2952</v>
      </c>
      <c r="CC87" s="459">
        <f t="shared" si="386"/>
        <v>0</v>
      </c>
      <c r="CD87" s="459">
        <f t="shared" si="386"/>
        <v>2874.2952</v>
      </c>
      <c r="CE87" s="459">
        <f t="shared" si="386"/>
        <v>0</v>
      </c>
      <c r="CF87" s="459">
        <f t="shared" si="386"/>
        <v>0</v>
      </c>
      <c r="CG87" s="459">
        <f t="shared" si="387"/>
        <v>0</v>
      </c>
      <c r="CH87" s="459">
        <f t="shared" si="388"/>
        <v>0</v>
      </c>
      <c r="CI87" s="459">
        <f t="shared" si="388"/>
        <v>0</v>
      </c>
      <c r="CJ87" s="459">
        <f t="shared" si="388"/>
        <v>0</v>
      </c>
      <c r="CK87" s="459">
        <f t="shared" si="388"/>
        <v>0</v>
      </c>
      <c r="CL87" s="465"/>
      <c r="CM87" s="466"/>
      <c r="CN87" s="466"/>
      <c r="CO87" s="459">
        <f t="shared" si="389"/>
        <v>0</v>
      </c>
      <c r="CP87" s="459"/>
      <c r="CQ87" s="460"/>
      <c r="CR87" s="459"/>
      <c r="CS87" s="459"/>
      <c r="CT87" s="459">
        <f t="shared" si="390"/>
        <v>0</v>
      </c>
      <c r="CU87" s="459"/>
      <c r="CV87" s="460"/>
      <c r="CW87" s="459"/>
      <c r="CX87" s="459"/>
      <c r="CY87" s="459">
        <f t="shared" si="391"/>
        <v>0</v>
      </c>
      <c r="CZ87" s="459">
        <f t="shared" si="392"/>
        <v>0</v>
      </c>
      <c r="DA87" s="459">
        <f t="shared" si="392"/>
        <v>0</v>
      </c>
      <c r="DB87" s="459">
        <f t="shared" si="392"/>
        <v>0</v>
      </c>
      <c r="DC87" s="459">
        <f t="shared" si="392"/>
        <v>0</v>
      </c>
      <c r="DD87" s="459"/>
      <c r="DE87" s="459"/>
      <c r="DF87" s="459"/>
      <c r="DG87" s="459">
        <f t="shared" si="393"/>
        <v>0</v>
      </c>
      <c r="DH87" s="467"/>
      <c r="DI87" s="459">
        <f t="shared" si="394"/>
        <v>1733.5</v>
      </c>
      <c r="DJ87" s="459">
        <f t="shared" si="395"/>
        <v>1733.5</v>
      </c>
      <c r="DK87" s="467"/>
      <c r="DL87" s="459"/>
      <c r="DM87" s="459"/>
      <c r="DN87" s="467"/>
      <c r="DO87" s="459"/>
      <c r="DP87" s="467"/>
      <c r="DQ87" s="467"/>
      <c r="DR87" s="459">
        <f t="shared" si="322"/>
        <v>1733.5</v>
      </c>
      <c r="DS87" s="459"/>
      <c r="DT87" s="460">
        <v>1733.5</v>
      </c>
      <c r="DU87" s="459"/>
      <c r="DV87" s="459"/>
      <c r="DW87" s="459">
        <f t="shared" si="323"/>
        <v>1140.7952</v>
      </c>
      <c r="DX87" s="459"/>
      <c r="DY87" s="459">
        <v>1140.7952</v>
      </c>
      <c r="DZ87" s="459"/>
      <c r="EA87" s="146"/>
      <c r="EB87" s="279"/>
      <c r="EC87" s="279"/>
      <c r="ED87" s="279"/>
      <c r="EE87" s="366"/>
      <c r="EF87" s="366"/>
      <c r="EG87" s="279"/>
      <c r="EH87" s="279"/>
      <c r="EI87" s="279"/>
      <c r="EJ87" s="366"/>
      <c r="EK87" s="366"/>
      <c r="EL87" s="366">
        <v>5.96E-2</v>
      </c>
      <c r="EM87" s="280"/>
      <c r="EN87" s="279"/>
      <c r="EO87" s="265" t="e">
        <f t="shared" si="398"/>
        <v>#DIV/0!</v>
      </c>
      <c r="EP87" s="323">
        <f t="shared" si="335"/>
        <v>2874.2952</v>
      </c>
      <c r="EQ87" s="323">
        <f t="shared" si="349"/>
        <v>1733.5</v>
      </c>
      <c r="ER87" s="323">
        <v>1140.7952</v>
      </c>
      <c r="ES87" s="358">
        <f t="shared" si="406"/>
        <v>0.60310437146469853</v>
      </c>
      <c r="ET87" s="358">
        <f t="shared" si="407"/>
        <v>0.39689562853530147</v>
      </c>
      <c r="EU87" s="323">
        <f t="shared" si="336"/>
        <v>2874.2952</v>
      </c>
      <c r="EV87" s="323">
        <f t="shared" si="408"/>
        <v>1733.5</v>
      </c>
      <c r="EW87" s="323">
        <f t="shared" si="409"/>
        <v>1140.7952</v>
      </c>
      <c r="EX87" s="358">
        <f t="shared" si="410"/>
        <v>0.60310437146469853</v>
      </c>
      <c r="EY87" s="358">
        <f t="shared" si="411"/>
        <v>0.39689562853530147</v>
      </c>
      <c r="EZ87" s="358">
        <v>0.19850000000000001</v>
      </c>
      <c r="FA87" s="323">
        <f t="shared" si="412"/>
        <v>1733.5</v>
      </c>
      <c r="FB87" s="323">
        <f t="shared" si="337"/>
        <v>0</v>
      </c>
      <c r="FC87" s="279"/>
      <c r="FD87" s="279"/>
      <c r="FE87" s="279"/>
      <c r="FF87" s="366"/>
      <c r="FG87" s="366"/>
      <c r="FH87" s="279"/>
      <c r="FI87" s="279"/>
      <c r="FJ87" s="279"/>
      <c r="FK87" s="366"/>
      <c r="FL87" s="366"/>
      <c r="FM87" s="366">
        <v>0.19850000000000001</v>
      </c>
      <c r="FN87" s="280"/>
      <c r="FO87" s="279"/>
    </row>
    <row r="88" spans="2:171" s="40" customFormat="1" ht="15.6" customHeight="1" x14ac:dyDescent="0.25">
      <c r="B88" s="32"/>
      <c r="C88" s="33"/>
      <c r="D88" s="33">
        <v>1</v>
      </c>
      <c r="E88" s="434">
        <v>72</v>
      </c>
      <c r="F88" s="32"/>
      <c r="G88" s="33"/>
      <c r="H88" s="33">
        <v>1</v>
      </c>
      <c r="M88" s="434">
        <v>69</v>
      </c>
      <c r="N88" s="435" t="s">
        <v>100</v>
      </c>
      <c r="O88" s="435"/>
      <c r="P88" s="24">
        <f t="shared" si="334"/>
        <v>0</v>
      </c>
      <c r="Q88" s="435" t="s">
        <v>491</v>
      </c>
      <c r="R88" s="435" t="s">
        <v>488</v>
      </c>
      <c r="S88" s="435" t="s">
        <v>491</v>
      </c>
      <c r="T88" s="435" t="s">
        <v>488</v>
      </c>
      <c r="U88" s="161">
        <v>1</v>
      </c>
      <c r="V88" s="434">
        <v>1</v>
      </c>
      <c r="W88" s="459">
        <f t="shared" si="374"/>
        <v>2273.8000000000002</v>
      </c>
      <c r="X88" s="459"/>
      <c r="Y88" s="460">
        <v>2273.8000000000002</v>
      </c>
      <c r="Z88" s="459"/>
      <c r="AA88" s="461"/>
      <c r="AB88" s="459">
        <f t="shared" si="375"/>
        <v>2403.5</v>
      </c>
      <c r="AC88" s="459"/>
      <c r="AD88" s="460">
        <v>2403.5</v>
      </c>
      <c r="AE88" s="459"/>
      <c r="AF88" s="461"/>
      <c r="AG88" s="459">
        <f t="shared" si="376"/>
        <v>2403.5</v>
      </c>
      <c r="AH88" s="459"/>
      <c r="AI88" s="460">
        <v>2403.5</v>
      </c>
      <c r="AJ88" s="459"/>
      <c r="AK88" s="461"/>
      <c r="AL88" s="459">
        <f t="shared" si="377"/>
        <v>1045</v>
      </c>
      <c r="AM88" s="459"/>
      <c r="AN88" s="460">
        <v>1045</v>
      </c>
      <c r="AO88" s="459"/>
      <c r="AP88" s="461"/>
      <c r="AQ88" s="383" t="s">
        <v>442</v>
      </c>
      <c r="AR88" s="459">
        <f t="shared" si="420"/>
        <v>2273.8000000000002</v>
      </c>
      <c r="AS88" s="459"/>
      <c r="AT88" s="460">
        <v>2273.8000000000002</v>
      </c>
      <c r="AU88" s="459"/>
      <c r="AV88" s="461"/>
      <c r="AW88" s="459" t="e">
        <f t="shared" si="378"/>
        <v>#REF!</v>
      </c>
      <c r="AX88" s="459" t="e">
        <f>#REF!-AS88</f>
        <v>#REF!</v>
      </c>
      <c r="AY88" s="459" t="e">
        <f>#REF!-AT88</f>
        <v>#REF!</v>
      </c>
      <c r="AZ88" s="459" t="e">
        <f>#REF!-AU88</f>
        <v>#REF!</v>
      </c>
      <c r="BA88" s="459" t="e">
        <f>#REF!-AV88</f>
        <v>#REF!</v>
      </c>
      <c r="BB88" s="459">
        <f t="shared" si="379"/>
        <v>2403.5</v>
      </c>
      <c r="BC88" s="459"/>
      <c r="BD88" s="460">
        <f>1045+1358.5</f>
        <v>2403.5</v>
      </c>
      <c r="BE88" s="459"/>
      <c r="BF88" s="461"/>
      <c r="BG88" s="459">
        <f t="shared" si="380"/>
        <v>0</v>
      </c>
      <c r="BH88" s="459"/>
      <c r="BI88" s="460"/>
      <c r="BJ88" s="459"/>
      <c r="BK88" s="461"/>
      <c r="BL88" s="459">
        <f t="shared" si="381"/>
        <v>2273.8000000000002</v>
      </c>
      <c r="BM88" s="459"/>
      <c r="BN88" s="460">
        <v>2273.8000000000002</v>
      </c>
      <c r="BO88" s="459"/>
      <c r="BP88" s="470"/>
      <c r="BQ88" s="459">
        <f t="shared" si="382"/>
        <v>2273.8000000000002</v>
      </c>
      <c r="BR88" s="459"/>
      <c r="BS88" s="460">
        <v>2273.8000000000002</v>
      </c>
      <c r="BT88" s="459"/>
      <c r="BU88" s="461"/>
      <c r="BV88" s="459">
        <f t="shared" si="383"/>
        <v>744.76813000000004</v>
      </c>
      <c r="BW88" s="459"/>
      <c r="BX88" s="459">
        <v>744.76813000000004</v>
      </c>
      <c r="BY88" s="459"/>
      <c r="BZ88" s="459"/>
      <c r="CA88" s="464">
        <f t="shared" si="384"/>
        <v>3018.5681300000001</v>
      </c>
      <c r="CB88" s="459">
        <f t="shared" si="385"/>
        <v>3018.5681300000001</v>
      </c>
      <c r="CC88" s="459">
        <f t="shared" si="386"/>
        <v>0</v>
      </c>
      <c r="CD88" s="459">
        <f t="shared" si="386"/>
        <v>3018.5681300000001</v>
      </c>
      <c r="CE88" s="459">
        <f t="shared" si="386"/>
        <v>0</v>
      </c>
      <c r="CF88" s="459">
        <f t="shared" si="386"/>
        <v>0</v>
      </c>
      <c r="CG88" s="459">
        <f t="shared" si="387"/>
        <v>0</v>
      </c>
      <c r="CH88" s="459">
        <f t="shared" si="388"/>
        <v>0</v>
      </c>
      <c r="CI88" s="459">
        <f t="shared" si="388"/>
        <v>0</v>
      </c>
      <c r="CJ88" s="459">
        <f t="shared" si="388"/>
        <v>0</v>
      </c>
      <c r="CK88" s="459">
        <f t="shared" si="388"/>
        <v>0</v>
      </c>
      <c r="CL88" s="465"/>
      <c r="CM88" s="466"/>
      <c r="CN88" s="466"/>
      <c r="CO88" s="459">
        <f t="shared" si="389"/>
        <v>0</v>
      </c>
      <c r="CP88" s="459"/>
      <c r="CQ88" s="460"/>
      <c r="CR88" s="459"/>
      <c r="CS88" s="461"/>
      <c r="CT88" s="459">
        <f t="shared" si="390"/>
        <v>0</v>
      </c>
      <c r="CU88" s="459"/>
      <c r="CV88" s="460"/>
      <c r="CW88" s="459"/>
      <c r="CX88" s="461"/>
      <c r="CY88" s="459">
        <f t="shared" si="391"/>
        <v>0</v>
      </c>
      <c r="CZ88" s="459">
        <f t="shared" si="392"/>
        <v>0</v>
      </c>
      <c r="DA88" s="459">
        <f t="shared" si="392"/>
        <v>0</v>
      </c>
      <c r="DB88" s="459">
        <f t="shared" si="392"/>
        <v>0</v>
      </c>
      <c r="DC88" s="459">
        <f t="shared" si="392"/>
        <v>0</v>
      </c>
      <c r="DD88" s="459"/>
      <c r="DE88" s="459"/>
      <c r="DF88" s="459"/>
      <c r="DG88" s="459">
        <f t="shared" si="393"/>
        <v>0</v>
      </c>
      <c r="DH88" s="467"/>
      <c r="DI88" s="459">
        <f t="shared" si="394"/>
        <v>2273.8000000000002</v>
      </c>
      <c r="DJ88" s="459">
        <f t="shared" si="395"/>
        <v>2273.8000000000002</v>
      </c>
      <c r="DK88" s="467"/>
      <c r="DL88" s="459"/>
      <c r="DM88" s="459"/>
      <c r="DN88" s="467"/>
      <c r="DO88" s="459"/>
      <c r="DP88" s="467"/>
      <c r="DQ88" s="467"/>
      <c r="DR88" s="459">
        <f t="shared" si="322"/>
        <v>2273.8000000000002</v>
      </c>
      <c r="DS88" s="459"/>
      <c r="DT88" s="460">
        <v>2273.8000000000002</v>
      </c>
      <c r="DU88" s="459"/>
      <c r="DV88" s="461"/>
      <c r="DW88" s="459">
        <f t="shared" si="323"/>
        <v>744.76813000000004</v>
      </c>
      <c r="DX88" s="459"/>
      <c r="DY88" s="459">
        <v>744.76813000000004</v>
      </c>
      <c r="DZ88" s="459"/>
      <c r="EA88" s="146"/>
      <c r="EB88" s="279"/>
      <c r="EC88" s="279"/>
      <c r="ED88" s="279"/>
      <c r="EE88" s="366"/>
      <c r="EF88" s="366"/>
      <c r="EG88" s="279"/>
      <c r="EH88" s="279"/>
      <c r="EI88" s="279"/>
      <c r="EJ88" s="366"/>
      <c r="EK88" s="366"/>
      <c r="EL88" s="366">
        <v>2.6499999999999999E-2</v>
      </c>
      <c r="EM88" s="280"/>
      <c r="EN88" s="279"/>
      <c r="EO88" s="265" t="e">
        <f t="shared" si="398"/>
        <v>#DIV/0!</v>
      </c>
      <c r="EP88" s="323">
        <f t="shared" si="335"/>
        <v>3018.5681300000001</v>
      </c>
      <c r="EQ88" s="323">
        <f t="shared" si="349"/>
        <v>2273.8000000000002</v>
      </c>
      <c r="ER88" s="323">
        <v>744.76813000000004</v>
      </c>
      <c r="ES88" s="358">
        <f t="shared" si="406"/>
        <v>0.75327105504158365</v>
      </c>
      <c r="ET88" s="358">
        <f t="shared" si="407"/>
        <v>0.24672894495841644</v>
      </c>
      <c r="EU88" s="323">
        <f t="shared" si="336"/>
        <v>3018.5681300000001</v>
      </c>
      <c r="EV88" s="323">
        <f t="shared" si="408"/>
        <v>2273.8000000000002</v>
      </c>
      <c r="EW88" s="323">
        <f t="shared" si="409"/>
        <v>744.76813000000004</v>
      </c>
      <c r="EX88" s="358">
        <f t="shared" si="410"/>
        <v>0.75327105504158365</v>
      </c>
      <c r="EY88" s="358">
        <f t="shared" si="411"/>
        <v>0.24672894495841644</v>
      </c>
      <c r="EZ88" s="358">
        <v>8.8400000000000006E-2</v>
      </c>
      <c r="FA88" s="323">
        <f t="shared" si="412"/>
        <v>2273.8000000000002</v>
      </c>
      <c r="FB88" s="323">
        <f t="shared" si="337"/>
        <v>0</v>
      </c>
      <c r="FC88" s="279"/>
      <c r="FD88" s="279"/>
      <c r="FE88" s="279"/>
      <c r="FF88" s="366"/>
      <c r="FG88" s="366"/>
      <c r="FH88" s="279"/>
      <c r="FI88" s="279"/>
      <c r="FJ88" s="279"/>
      <c r="FK88" s="366"/>
      <c r="FL88" s="366"/>
      <c r="FM88" s="366">
        <v>8.8400000000000006E-2</v>
      </c>
      <c r="FN88" s="280"/>
      <c r="FO88" s="279"/>
    </row>
    <row r="89" spans="2:171" s="40" customFormat="1" ht="15.6" customHeight="1" x14ac:dyDescent="0.2">
      <c r="B89" s="32"/>
      <c r="C89" s="33">
        <v>1</v>
      </c>
      <c r="D89" s="33"/>
      <c r="E89" s="434">
        <v>73</v>
      </c>
      <c r="F89" s="32"/>
      <c r="G89" s="33">
        <v>1</v>
      </c>
      <c r="H89" s="33"/>
      <c r="M89" s="434">
        <v>70</v>
      </c>
      <c r="N89" s="435" t="s">
        <v>44</v>
      </c>
      <c r="O89" s="435" t="s">
        <v>346</v>
      </c>
      <c r="P89" s="24">
        <f t="shared" si="334"/>
        <v>0</v>
      </c>
      <c r="Q89" s="435" t="s">
        <v>491</v>
      </c>
      <c r="R89" s="435"/>
      <c r="S89" s="435" t="s">
        <v>491</v>
      </c>
      <c r="T89" s="435" t="s">
        <v>488</v>
      </c>
      <c r="U89" s="161">
        <v>1</v>
      </c>
      <c r="V89" s="434">
        <v>2</v>
      </c>
      <c r="W89" s="459">
        <f t="shared" si="374"/>
        <v>9552.7000000000007</v>
      </c>
      <c r="X89" s="459"/>
      <c r="Y89" s="459">
        <v>2267.6999999999998</v>
      </c>
      <c r="Z89" s="459">
        <v>7285</v>
      </c>
      <c r="AA89" s="472"/>
      <c r="AB89" s="459">
        <f t="shared" si="375"/>
        <v>8124.8</v>
      </c>
      <c r="AC89" s="459"/>
      <c r="AD89" s="459">
        <v>2288.5</v>
      </c>
      <c r="AE89" s="459">
        <v>5836.3</v>
      </c>
      <c r="AF89" s="472"/>
      <c r="AG89" s="459">
        <f t="shared" si="376"/>
        <v>4488.5</v>
      </c>
      <c r="AH89" s="459"/>
      <c r="AI89" s="459">
        <v>2288.5</v>
      </c>
      <c r="AJ89" s="459">
        <v>2200</v>
      </c>
      <c r="AK89" s="472"/>
      <c r="AL89" s="459">
        <f t="shared" si="377"/>
        <v>3195</v>
      </c>
      <c r="AM89" s="459"/>
      <c r="AN89" s="459">
        <v>995</v>
      </c>
      <c r="AO89" s="459">
        <v>2200</v>
      </c>
      <c r="AP89" s="467"/>
      <c r="AQ89" s="384" t="s">
        <v>532</v>
      </c>
      <c r="AR89" s="459">
        <f t="shared" si="420"/>
        <v>9552.7000000000007</v>
      </c>
      <c r="AS89" s="459"/>
      <c r="AT89" s="459">
        <v>2267.6999999999998</v>
      </c>
      <c r="AU89" s="459">
        <v>7285</v>
      </c>
      <c r="AV89" s="459"/>
      <c r="AW89" s="459" t="e">
        <f t="shared" si="378"/>
        <v>#REF!</v>
      </c>
      <c r="AX89" s="459" t="e">
        <f>#REF!-AS89</f>
        <v>#REF!</v>
      </c>
      <c r="AY89" s="459" t="e">
        <f>#REF!-AT89</f>
        <v>#REF!</v>
      </c>
      <c r="AZ89" s="459" t="e">
        <f>#REF!-AU89</f>
        <v>#REF!</v>
      </c>
      <c r="BA89" s="459" t="e">
        <f>#REF!-AV89</f>
        <v>#REF!</v>
      </c>
      <c r="BB89" s="459">
        <f t="shared" si="379"/>
        <v>8124.8</v>
      </c>
      <c r="BC89" s="459"/>
      <c r="BD89" s="459">
        <v>2288.5</v>
      </c>
      <c r="BE89" s="459">
        <v>5836.3</v>
      </c>
      <c r="BF89" s="459"/>
      <c r="BG89" s="459">
        <f t="shared" si="380"/>
        <v>0</v>
      </c>
      <c r="BH89" s="459"/>
      <c r="BI89" s="459"/>
      <c r="BJ89" s="459"/>
      <c r="BK89" s="459"/>
      <c r="BL89" s="459">
        <f t="shared" si="381"/>
        <v>9552.7000000000007</v>
      </c>
      <c r="BM89" s="459"/>
      <c r="BN89" s="459">
        <v>2267.6999999999998</v>
      </c>
      <c r="BO89" s="459">
        <f>4732.383+2552.617</f>
        <v>7285</v>
      </c>
      <c r="BP89" s="459"/>
      <c r="BQ89" s="459">
        <f t="shared" si="382"/>
        <v>9552.7000000000007</v>
      </c>
      <c r="BR89" s="459"/>
      <c r="BS89" s="459">
        <v>2267.6999999999998</v>
      </c>
      <c r="BT89" s="459">
        <f>4732.383+2552.617</f>
        <v>7285</v>
      </c>
      <c r="BU89" s="459"/>
      <c r="BV89" s="459">
        <f t="shared" si="383"/>
        <v>4602.5874599999997</v>
      </c>
      <c r="BW89" s="459"/>
      <c r="BX89" s="459">
        <v>1964.98081</v>
      </c>
      <c r="BY89" s="459">
        <f>1713.3862+924.22045</f>
        <v>2637.6066499999997</v>
      </c>
      <c r="BZ89" s="459"/>
      <c r="CA89" s="464">
        <f t="shared" si="384"/>
        <v>14155.28746</v>
      </c>
      <c r="CB89" s="459">
        <f t="shared" si="385"/>
        <v>14155.28746</v>
      </c>
      <c r="CC89" s="459">
        <f t="shared" si="386"/>
        <v>0</v>
      </c>
      <c r="CD89" s="459">
        <f t="shared" si="386"/>
        <v>4232.6808099999998</v>
      </c>
      <c r="CE89" s="459">
        <f t="shared" si="386"/>
        <v>9922.6066499999997</v>
      </c>
      <c r="CF89" s="459">
        <f t="shared" si="386"/>
        <v>0</v>
      </c>
      <c r="CG89" s="459">
        <f t="shared" si="387"/>
        <v>0</v>
      </c>
      <c r="CH89" s="459">
        <f t="shared" si="388"/>
        <v>0</v>
      </c>
      <c r="CI89" s="459">
        <f t="shared" si="388"/>
        <v>0</v>
      </c>
      <c r="CJ89" s="459">
        <f t="shared" si="388"/>
        <v>0</v>
      </c>
      <c r="CK89" s="459">
        <f t="shared" si="388"/>
        <v>0</v>
      </c>
      <c r="CL89" s="465"/>
      <c r="CM89" s="466"/>
      <c r="CN89" s="466"/>
      <c r="CO89" s="459">
        <f t="shared" si="389"/>
        <v>0</v>
      </c>
      <c r="CP89" s="459"/>
      <c r="CQ89" s="459"/>
      <c r="CR89" s="459"/>
      <c r="CS89" s="459"/>
      <c r="CT89" s="459">
        <f t="shared" si="390"/>
        <v>0</v>
      </c>
      <c r="CU89" s="459"/>
      <c r="CV89" s="459"/>
      <c r="CW89" s="459"/>
      <c r="CX89" s="459"/>
      <c r="CY89" s="459">
        <f t="shared" si="391"/>
        <v>0</v>
      </c>
      <c r="CZ89" s="459">
        <f t="shared" si="392"/>
        <v>0</v>
      </c>
      <c r="DA89" s="459">
        <f t="shared" si="392"/>
        <v>0</v>
      </c>
      <c r="DB89" s="459">
        <f t="shared" si="392"/>
        <v>0</v>
      </c>
      <c r="DC89" s="459">
        <f t="shared" si="392"/>
        <v>0</v>
      </c>
      <c r="DD89" s="459"/>
      <c r="DE89" s="459"/>
      <c r="DF89" s="459"/>
      <c r="DG89" s="459">
        <f t="shared" si="393"/>
        <v>0</v>
      </c>
      <c r="DH89" s="467"/>
      <c r="DI89" s="459">
        <f t="shared" si="394"/>
        <v>9552.7000000000007</v>
      </c>
      <c r="DJ89" s="459">
        <f t="shared" si="395"/>
        <v>9552.7000000000007</v>
      </c>
      <c r="DK89" s="467"/>
      <c r="DL89" s="459"/>
      <c r="DM89" s="459"/>
      <c r="DN89" s="467"/>
      <c r="DO89" s="459"/>
      <c r="DP89" s="467"/>
      <c r="DQ89" s="467"/>
      <c r="DR89" s="459">
        <f t="shared" si="322"/>
        <v>9552.7000000000007</v>
      </c>
      <c r="DS89" s="459"/>
      <c r="DT89" s="459">
        <v>2267.6999999999998</v>
      </c>
      <c r="DU89" s="459">
        <v>7285</v>
      </c>
      <c r="DV89" s="459"/>
      <c r="DW89" s="459">
        <f t="shared" si="323"/>
        <v>4602.5874600000006</v>
      </c>
      <c r="DX89" s="459"/>
      <c r="DY89" s="459">
        <v>1964.98081</v>
      </c>
      <c r="DZ89" s="459">
        <v>2637.6066500000002</v>
      </c>
      <c r="EA89" s="146"/>
      <c r="EB89" s="279"/>
      <c r="EC89" s="279"/>
      <c r="ED89" s="279"/>
      <c r="EE89" s="366"/>
      <c r="EF89" s="366"/>
      <c r="EG89" s="279"/>
      <c r="EH89" s="279"/>
      <c r="EI89" s="279"/>
      <c r="EJ89" s="366"/>
      <c r="EK89" s="366"/>
      <c r="EL89" s="366">
        <v>3.2199999999999999E-2</v>
      </c>
      <c r="EM89" s="280"/>
      <c r="EN89" s="279"/>
      <c r="EO89" s="265" t="e">
        <f t="shared" si="398"/>
        <v>#DIV/0!</v>
      </c>
      <c r="EP89" s="323">
        <f t="shared" si="335"/>
        <v>4232.6808099999998</v>
      </c>
      <c r="EQ89" s="323">
        <f t="shared" si="349"/>
        <v>2267.6999999999998</v>
      </c>
      <c r="ER89" s="323">
        <v>1964.98081</v>
      </c>
      <c r="ES89" s="358">
        <f t="shared" si="406"/>
        <v>0.53575974702425055</v>
      </c>
      <c r="ET89" s="358">
        <f t="shared" si="407"/>
        <v>0.46424025297574945</v>
      </c>
      <c r="EU89" s="323">
        <f t="shared" si="336"/>
        <v>4232.6808099999998</v>
      </c>
      <c r="EV89" s="323">
        <f t="shared" si="408"/>
        <v>2267.6999999999998</v>
      </c>
      <c r="EW89" s="323">
        <f t="shared" si="409"/>
        <v>1964.98081</v>
      </c>
      <c r="EX89" s="358">
        <f t="shared" si="410"/>
        <v>0.53575974702425055</v>
      </c>
      <c r="EY89" s="358">
        <f t="shared" si="411"/>
        <v>0.46424025297574945</v>
      </c>
      <c r="EZ89" s="358">
        <v>0.1074</v>
      </c>
      <c r="FA89" s="323">
        <f t="shared" si="412"/>
        <v>2267.6999999999998</v>
      </c>
      <c r="FB89" s="323">
        <f t="shared" si="337"/>
        <v>0</v>
      </c>
      <c r="FC89" s="279">
        <f t="shared" ref="FC89" si="428">FD89+FE89</f>
        <v>9922.6066499999997</v>
      </c>
      <c r="FD89" s="279">
        <f t="shared" ref="FD89" si="429">AU89</f>
        <v>7285</v>
      </c>
      <c r="FE89" s="279">
        <v>2637.6066500000002</v>
      </c>
      <c r="FF89" s="366">
        <f t="shared" ref="FF89" si="430">FD89/FC89</f>
        <v>0.73418208107644778</v>
      </c>
      <c r="FG89" s="366">
        <f t="shared" ref="FG89" si="431">FE89/FC89</f>
        <v>0.26581791892355222</v>
      </c>
      <c r="FH89" s="279">
        <f t="shared" ref="FH89" si="432">FI89+FJ89</f>
        <v>9922.6066499999997</v>
      </c>
      <c r="FI89" s="279">
        <f>DU89</f>
        <v>7285</v>
      </c>
      <c r="FJ89" s="279">
        <f>DZ89</f>
        <v>2637.6066500000002</v>
      </c>
      <c r="FK89" s="366">
        <f t="shared" ref="FK89" si="433">FI89/FH89</f>
        <v>0.73418208107644778</v>
      </c>
      <c r="FL89" s="366">
        <f t="shared" ref="FL89" si="434">FJ89/FH89</f>
        <v>0.26581791892355222</v>
      </c>
      <c r="FM89" s="366">
        <v>0.1074</v>
      </c>
      <c r="FN89" s="280">
        <f t="shared" ref="FN89" si="435">FH89*FF89</f>
        <v>7285</v>
      </c>
      <c r="FO89" s="279">
        <f t="shared" ref="FO89" si="436">FI89-FN89</f>
        <v>0</v>
      </c>
    </row>
    <row r="90" spans="2:171" s="40" customFormat="1" ht="15.75" customHeight="1" x14ac:dyDescent="0.25">
      <c r="B90" s="32"/>
      <c r="C90" s="33">
        <v>1</v>
      </c>
      <c r="D90" s="33"/>
      <c r="E90" s="434">
        <v>74</v>
      </c>
      <c r="F90" s="32"/>
      <c r="G90" s="33">
        <v>1</v>
      </c>
      <c r="H90" s="33">
        <v>1</v>
      </c>
      <c r="M90" s="434">
        <v>71</v>
      </c>
      <c r="N90" s="435" t="s">
        <v>45</v>
      </c>
      <c r="O90" s="435"/>
      <c r="P90" s="24">
        <f t="shared" si="334"/>
        <v>0</v>
      </c>
      <c r="Q90" s="435" t="s">
        <v>490</v>
      </c>
      <c r="R90" s="435" t="s">
        <v>488</v>
      </c>
      <c r="S90" s="435" t="s">
        <v>490</v>
      </c>
      <c r="T90" s="435" t="s">
        <v>488</v>
      </c>
      <c r="U90" s="161">
        <v>1</v>
      </c>
      <c r="V90" s="434">
        <v>1</v>
      </c>
      <c r="W90" s="459">
        <f t="shared" si="374"/>
        <v>5600.4</v>
      </c>
      <c r="X90" s="459"/>
      <c r="Y90" s="460">
        <f>3808.8-318.4</f>
        <v>3490.4</v>
      </c>
      <c r="Z90" s="459">
        <v>2110</v>
      </c>
      <c r="AA90" s="461"/>
      <c r="AB90" s="459">
        <f t="shared" si="375"/>
        <v>33388.400000000001</v>
      </c>
      <c r="AC90" s="459"/>
      <c r="AD90" s="460">
        <v>3698.4</v>
      </c>
      <c r="AE90" s="459">
        <v>29690</v>
      </c>
      <c r="AF90" s="461"/>
      <c r="AG90" s="459">
        <f t="shared" si="376"/>
        <v>23698.400000000001</v>
      </c>
      <c r="AH90" s="459"/>
      <c r="AI90" s="460">
        <v>3698.4</v>
      </c>
      <c r="AJ90" s="459">
        <v>20000</v>
      </c>
      <c r="AK90" s="461"/>
      <c r="AL90" s="459">
        <f t="shared" si="377"/>
        <v>21608</v>
      </c>
      <c r="AM90" s="459"/>
      <c r="AN90" s="460">
        <v>1608</v>
      </c>
      <c r="AO90" s="459">
        <v>20000</v>
      </c>
      <c r="AP90" s="461"/>
      <c r="AQ90" s="383" t="s">
        <v>431</v>
      </c>
      <c r="AR90" s="459">
        <f t="shared" si="420"/>
        <v>5600.4</v>
      </c>
      <c r="AS90" s="459"/>
      <c r="AT90" s="460">
        <v>3490.4</v>
      </c>
      <c r="AU90" s="459">
        <v>2110</v>
      </c>
      <c r="AV90" s="461"/>
      <c r="AW90" s="459" t="e">
        <f t="shared" si="378"/>
        <v>#REF!</v>
      </c>
      <c r="AX90" s="459" t="e">
        <f>#REF!-AS90</f>
        <v>#REF!</v>
      </c>
      <c r="AY90" s="459" t="e">
        <f>#REF!-AT90</f>
        <v>#REF!</v>
      </c>
      <c r="AZ90" s="459" t="e">
        <f>#REF!-AU90</f>
        <v>#REF!</v>
      </c>
      <c r="BA90" s="459" t="e">
        <f>#REF!-AV90</f>
        <v>#REF!</v>
      </c>
      <c r="BB90" s="459">
        <f t="shared" si="379"/>
        <v>31960</v>
      </c>
      <c r="BC90" s="459"/>
      <c r="BD90" s="460">
        <f>1320+2190</f>
        <v>3510</v>
      </c>
      <c r="BE90" s="459">
        <f>14560+14630-740</f>
        <v>28450</v>
      </c>
      <c r="BF90" s="461"/>
      <c r="BG90" s="459">
        <f t="shared" si="380"/>
        <v>0</v>
      </c>
      <c r="BH90" s="459"/>
      <c r="BI90" s="459"/>
      <c r="BJ90" s="459"/>
      <c r="BK90" s="461"/>
      <c r="BL90" s="459">
        <f t="shared" si="381"/>
        <v>5600.4</v>
      </c>
      <c r="BM90" s="459"/>
      <c r="BN90" s="460">
        <v>3490.4</v>
      </c>
      <c r="BO90" s="459">
        <v>2110</v>
      </c>
      <c r="BP90" s="470"/>
      <c r="BQ90" s="459">
        <f t="shared" si="382"/>
        <v>5600.4</v>
      </c>
      <c r="BR90" s="459"/>
      <c r="BS90" s="460">
        <v>3490.4</v>
      </c>
      <c r="BT90" s="459">
        <v>2110</v>
      </c>
      <c r="BU90" s="461"/>
      <c r="BV90" s="459">
        <f t="shared" si="383"/>
        <v>1319.7239999999999</v>
      </c>
      <c r="BW90" s="459"/>
      <c r="BX90" s="459">
        <f>145.881+157.658</f>
        <v>303.53899999999999</v>
      </c>
      <c r="BY90" s="459">
        <v>1016.1849999999999</v>
      </c>
      <c r="BZ90" s="459"/>
      <c r="CA90" s="464">
        <f t="shared" si="384"/>
        <v>6920.1239999999998</v>
      </c>
      <c r="CB90" s="459">
        <f t="shared" si="385"/>
        <v>6920.1239999999998</v>
      </c>
      <c r="CC90" s="459">
        <f t="shared" si="386"/>
        <v>0</v>
      </c>
      <c r="CD90" s="459">
        <f t="shared" si="386"/>
        <v>3793.9390000000003</v>
      </c>
      <c r="CE90" s="459">
        <f t="shared" si="386"/>
        <v>3126.1849999999999</v>
      </c>
      <c r="CF90" s="459">
        <f t="shared" si="386"/>
        <v>0</v>
      </c>
      <c r="CG90" s="459">
        <f t="shared" si="387"/>
        <v>0</v>
      </c>
      <c r="CH90" s="459">
        <f t="shared" si="388"/>
        <v>0</v>
      </c>
      <c r="CI90" s="459">
        <f t="shared" si="388"/>
        <v>0</v>
      </c>
      <c r="CJ90" s="459">
        <f t="shared" si="388"/>
        <v>0</v>
      </c>
      <c r="CK90" s="459">
        <f t="shared" si="388"/>
        <v>0</v>
      </c>
      <c r="CL90" s="465"/>
      <c r="CM90" s="466"/>
      <c r="CN90" s="466"/>
      <c r="CO90" s="459">
        <f t="shared" si="389"/>
        <v>0</v>
      </c>
      <c r="CP90" s="459"/>
      <c r="CQ90" s="459"/>
      <c r="CR90" s="459"/>
      <c r="CS90" s="461"/>
      <c r="CT90" s="459">
        <f t="shared" si="390"/>
        <v>0</v>
      </c>
      <c r="CU90" s="459"/>
      <c r="CV90" s="459"/>
      <c r="CW90" s="459"/>
      <c r="CX90" s="461"/>
      <c r="CY90" s="459">
        <f t="shared" si="391"/>
        <v>0</v>
      </c>
      <c r="CZ90" s="459">
        <f t="shared" si="392"/>
        <v>0</v>
      </c>
      <c r="DA90" s="459">
        <f t="shared" si="392"/>
        <v>0</v>
      </c>
      <c r="DB90" s="459">
        <f t="shared" si="392"/>
        <v>0</v>
      </c>
      <c r="DC90" s="459">
        <f t="shared" si="392"/>
        <v>0</v>
      </c>
      <c r="DD90" s="459"/>
      <c r="DE90" s="459"/>
      <c r="DF90" s="459"/>
      <c r="DG90" s="459">
        <f t="shared" si="393"/>
        <v>0</v>
      </c>
      <c r="DH90" s="467"/>
      <c r="DI90" s="459">
        <f t="shared" si="394"/>
        <v>5600.4</v>
      </c>
      <c r="DJ90" s="459">
        <f t="shared" si="395"/>
        <v>5600.4</v>
      </c>
      <c r="DK90" s="467"/>
      <c r="DL90" s="459"/>
      <c r="DM90" s="459"/>
      <c r="DN90" s="467"/>
      <c r="DO90" s="459"/>
      <c r="DP90" s="467"/>
      <c r="DQ90" s="467"/>
      <c r="DR90" s="459">
        <f t="shared" si="322"/>
        <v>5600.4</v>
      </c>
      <c r="DS90" s="459"/>
      <c r="DT90" s="460">
        <v>3490.4</v>
      </c>
      <c r="DU90" s="459">
        <v>2110</v>
      </c>
      <c r="DV90" s="461"/>
      <c r="DW90" s="459">
        <f t="shared" si="323"/>
        <v>1319.7239999999999</v>
      </c>
      <c r="DX90" s="459"/>
      <c r="DY90" s="459">
        <v>303.53899999999999</v>
      </c>
      <c r="DZ90" s="459">
        <f>1008.05+8.135</f>
        <v>1016.1849999999999</v>
      </c>
      <c r="EA90" s="146"/>
      <c r="EB90" s="279"/>
      <c r="EC90" s="279"/>
      <c r="ED90" s="279"/>
      <c r="EE90" s="366"/>
      <c r="EF90" s="366"/>
      <c r="EG90" s="279"/>
      <c r="EH90" s="279"/>
      <c r="EI90" s="279"/>
      <c r="EJ90" s="366"/>
      <c r="EK90" s="366"/>
      <c r="EL90" s="366">
        <v>2.3800000000000002E-2</v>
      </c>
      <c r="EM90" s="280"/>
      <c r="EN90" s="279"/>
      <c r="EO90" s="265" t="e">
        <f t="shared" si="398"/>
        <v>#DIV/0!</v>
      </c>
      <c r="EP90" s="323">
        <f t="shared" si="335"/>
        <v>3793.9390000000003</v>
      </c>
      <c r="EQ90" s="323">
        <f t="shared" si="349"/>
        <v>3490.4</v>
      </c>
      <c r="ER90" s="323">
        <v>303.53899999999999</v>
      </c>
      <c r="ES90" s="358">
        <f t="shared" si="406"/>
        <v>0.91999370575014516</v>
      </c>
      <c r="ET90" s="358">
        <f t="shared" si="407"/>
        <v>8.0006294249854823E-2</v>
      </c>
      <c r="EU90" s="323">
        <f t="shared" si="336"/>
        <v>3793.9390000000003</v>
      </c>
      <c r="EV90" s="323">
        <f t="shared" si="408"/>
        <v>3490.4</v>
      </c>
      <c r="EW90" s="323">
        <f t="shared" si="409"/>
        <v>303.53899999999999</v>
      </c>
      <c r="EX90" s="358">
        <f t="shared" si="410"/>
        <v>0.91999370575014516</v>
      </c>
      <c r="EY90" s="358">
        <f t="shared" si="411"/>
        <v>8.0006294249854823E-2</v>
      </c>
      <c r="EZ90" s="358">
        <v>7.9200000000000007E-2</v>
      </c>
      <c r="FA90" s="323">
        <f t="shared" si="412"/>
        <v>3490.4</v>
      </c>
      <c r="FB90" s="323">
        <f t="shared" si="337"/>
        <v>0</v>
      </c>
      <c r="FC90" s="279">
        <f t="shared" ref="FC90" si="437">FD90+FE90</f>
        <v>3126.1849999999999</v>
      </c>
      <c r="FD90" s="279">
        <f t="shared" ref="FD90" si="438">AU90</f>
        <v>2110</v>
      </c>
      <c r="FE90" s="279">
        <v>1016.1849999999999</v>
      </c>
      <c r="FF90" s="366">
        <f t="shared" ref="FF90" si="439">FD90/FC90</f>
        <v>0.67494406121198847</v>
      </c>
      <c r="FG90" s="366">
        <f t="shared" ref="FG90" si="440">FE90/FC90</f>
        <v>0.32505593878801159</v>
      </c>
      <c r="FH90" s="279">
        <f t="shared" ref="FH90" si="441">FI90+FJ90</f>
        <v>3126.1849999999999</v>
      </c>
      <c r="FI90" s="279">
        <f>DU90</f>
        <v>2110</v>
      </c>
      <c r="FJ90" s="279">
        <f>DZ90</f>
        <v>1016.1849999999999</v>
      </c>
      <c r="FK90" s="366">
        <f t="shared" ref="FK90" si="442">FI90/FH90</f>
        <v>0.67494406121198847</v>
      </c>
      <c r="FL90" s="366">
        <f t="shared" ref="FL90" si="443">FJ90/FH90</f>
        <v>0.32505593878801159</v>
      </c>
      <c r="FM90" s="366">
        <v>7.9200000000000007E-2</v>
      </c>
      <c r="FN90" s="280">
        <f t="shared" ref="FN90" si="444">FH90*FF90</f>
        <v>2110</v>
      </c>
      <c r="FO90" s="279">
        <f t="shared" ref="FO90" si="445">FI90-FN90</f>
        <v>0</v>
      </c>
    </row>
    <row r="91" spans="2:171" s="40" customFormat="1" ht="15.75" customHeight="1" x14ac:dyDescent="0.25">
      <c r="B91" s="32"/>
      <c r="C91" s="33">
        <v>1</v>
      </c>
      <c r="D91" s="33"/>
      <c r="E91" s="434">
        <v>75</v>
      </c>
      <c r="F91" s="32"/>
      <c r="G91" s="33">
        <v>1</v>
      </c>
      <c r="H91" s="33">
        <v>1</v>
      </c>
      <c r="M91" s="434">
        <v>72</v>
      </c>
      <c r="N91" s="435" t="s">
        <v>46</v>
      </c>
      <c r="O91" s="435"/>
      <c r="P91" s="24">
        <f t="shared" si="334"/>
        <v>0</v>
      </c>
      <c r="Q91" s="435"/>
      <c r="R91" s="435"/>
      <c r="S91" s="435" t="s">
        <v>491</v>
      </c>
      <c r="T91" s="435" t="s">
        <v>488</v>
      </c>
      <c r="U91" s="161">
        <v>1</v>
      </c>
      <c r="V91" s="434">
        <v>2</v>
      </c>
      <c r="W91" s="459">
        <f t="shared" si="374"/>
        <v>11495.558999999999</v>
      </c>
      <c r="X91" s="459"/>
      <c r="Y91" s="460">
        <v>1318.1</v>
      </c>
      <c r="Z91" s="470">
        <f>15877.42-4530.09-1169.871</f>
        <v>10177.458999999999</v>
      </c>
      <c r="AA91" s="461"/>
      <c r="AB91" s="459">
        <f t="shared" si="375"/>
        <v>1329.4</v>
      </c>
      <c r="AC91" s="459"/>
      <c r="AD91" s="460">
        <v>1329.4</v>
      </c>
      <c r="AE91" s="461"/>
      <c r="AF91" s="461"/>
      <c r="AG91" s="459">
        <f t="shared" si="376"/>
        <v>1329.4</v>
      </c>
      <c r="AH91" s="459"/>
      <c r="AI91" s="460">
        <v>1329.4</v>
      </c>
      <c r="AJ91" s="461"/>
      <c r="AK91" s="461"/>
      <c r="AL91" s="459">
        <f t="shared" si="377"/>
        <v>578</v>
      </c>
      <c r="AM91" s="459"/>
      <c r="AN91" s="460">
        <v>578</v>
      </c>
      <c r="AO91" s="461"/>
      <c r="AP91" s="461"/>
      <c r="AQ91" s="383" t="s">
        <v>474</v>
      </c>
      <c r="AR91" s="459">
        <f t="shared" si="420"/>
        <v>11495.55804</v>
      </c>
      <c r="AS91" s="459"/>
      <c r="AT91" s="460">
        <v>1318.1</v>
      </c>
      <c r="AU91" s="470">
        <f>9699.344+1647.986-1169.87196</f>
        <v>10177.45804</v>
      </c>
      <c r="AV91" s="461"/>
      <c r="AW91" s="459" t="e">
        <f t="shared" si="378"/>
        <v>#REF!</v>
      </c>
      <c r="AX91" s="459" t="e">
        <f>#REF!-AS91</f>
        <v>#REF!</v>
      </c>
      <c r="AY91" s="459" t="e">
        <f>#REF!-AT91</f>
        <v>#REF!</v>
      </c>
      <c r="AZ91" s="459" t="e">
        <f>#REF!-AU91</f>
        <v>#REF!</v>
      </c>
      <c r="BA91" s="459" t="e">
        <f>#REF!-AV91</f>
        <v>#REF!</v>
      </c>
      <c r="BB91" s="459">
        <f t="shared" si="379"/>
        <v>1329.4</v>
      </c>
      <c r="BC91" s="459"/>
      <c r="BD91" s="460">
        <f>578+751.4</f>
        <v>1329.4</v>
      </c>
      <c r="BE91" s="461"/>
      <c r="BF91" s="461"/>
      <c r="BG91" s="459">
        <f t="shared" si="380"/>
        <v>0</v>
      </c>
      <c r="BH91" s="459"/>
      <c r="BI91" s="461"/>
      <c r="BJ91" s="461"/>
      <c r="BK91" s="461"/>
      <c r="BL91" s="459">
        <f t="shared" si="381"/>
        <v>11495.558040000002</v>
      </c>
      <c r="BM91" s="459"/>
      <c r="BN91" s="460">
        <v>1318.1</v>
      </c>
      <c r="BO91" s="470">
        <f>1362.425+3160.70175+5654.33129</f>
        <v>10177.458040000001</v>
      </c>
      <c r="BP91" s="470"/>
      <c r="BQ91" s="459">
        <f t="shared" si="382"/>
        <v>11495.558040000002</v>
      </c>
      <c r="BR91" s="459"/>
      <c r="BS91" s="460">
        <v>1318.1</v>
      </c>
      <c r="BT91" s="470">
        <f>1362.425+3160.70175+5654.33129</f>
        <v>10177.458040000001</v>
      </c>
      <c r="BU91" s="461"/>
      <c r="BV91" s="459">
        <f t="shared" si="383"/>
        <v>1032.9820199999999</v>
      </c>
      <c r="BW91" s="459"/>
      <c r="BX91" s="459">
        <v>223.22300000000001</v>
      </c>
      <c r="BY91" s="459">
        <f>449.8804+108.401+251.47762</f>
        <v>809.75901999999996</v>
      </c>
      <c r="BZ91" s="459"/>
      <c r="CA91" s="464">
        <f t="shared" si="384"/>
        <v>12528.540060000001</v>
      </c>
      <c r="CB91" s="459">
        <f t="shared" si="385"/>
        <v>12528.540060000001</v>
      </c>
      <c r="CC91" s="459">
        <f t="shared" si="386"/>
        <v>0</v>
      </c>
      <c r="CD91" s="459">
        <f t="shared" si="386"/>
        <v>1541.3229999999999</v>
      </c>
      <c r="CE91" s="459">
        <f t="shared" si="386"/>
        <v>10987.217060000001</v>
      </c>
      <c r="CF91" s="459">
        <f t="shared" si="386"/>
        <v>0</v>
      </c>
      <c r="CG91" s="459">
        <f t="shared" si="387"/>
        <v>0</v>
      </c>
      <c r="CH91" s="459">
        <f t="shared" si="388"/>
        <v>0</v>
      </c>
      <c r="CI91" s="459">
        <f t="shared" si="388"/>
        <v>0</v>
      </c>
      <c r="CJ91" s="459">
        <f t="shared" si="388"/>
        <v>0</v>
      </c>
      <c r="CK91" s="459">
        <f t="shared" si="388"/>
        <v>0</v>
      </c>
      <c r="CL91" s="465"/>
      <c r="CM91" s="466"/>
      <c r="CN91" s="466"/>
      <c r="CO91" s="459">
        <f t="shared" si="389"/>
        <v>0</v>
      </c>
      <c r="CP91" s="459"/>
      <c r="CQ91" s="461"/>
      <c r="CR91" s="461"/>
      <c r="CS91" s="461"/>
      <c r="CT91" s="459">
        <f t="shared" si="390"/>
        <v>0</v>
      </c>
      <c r="CU91" s="459"/>
      <c r="CV91" s="461"/>
      <c r="CW91" s="461"/>
      <c r="CX91" s="461"/>
      <c r="CY91" s="459">
        <f t="shared" si="391"/>
        <v>0</v>
      </c>
      <c r="CZ91" s="459">
        <f t="shared" si="392"/>
        <v>0</v>
      </c>
      <c r="DA91" s="459">
        <f t="shared" si="392"/>
        <v>0</v>
      </c>
      <c r="DB91" s="459">
        <f t="shared" si="392"/>
        <v>0</v>
      </c>
      <c r="DC91" s="459">
        <f t="shared" si="392"/>
        <v>0</v>
      </c>
      <c r="DD91" s="459"/>
      <c r="DE91" s="459"/>
      <c r="DF91" s="459"/>
      <c r="DG91" s="459">
        <f t="shared" si="393"/>
        <v>0</v>
      </c>
      <c r="DH91" s="467"/>
      <c r="DI91" s="459">
        <f t="shared" si="394"/>
        <v>11495.558040000002</v>
      </c>
      <c r="DJ91" s="459">
        <f t="shared" si="395"/>
        <v>11495.558040000002</v>
      </c>
      <c r="DK91" s="467"/>
      <c r="DL91" s="459"/>
      <c r="DM91" s="459"/>
      <c r="DN91" s="467"/>
      <c r="DO91" s="459"/>
      <c r="DP91" s="467"/>
      <c r="DQ91" s="467"/>
      <c r="DR91" s="459">
        <f t="shared" si="322"/>
        <v>11495.558040000002</v>
      </c>
      <c r="DS91" s="459"/>
      <c r="DT91" s="460">
        <v>1318.1</v>
      </c>
      <c r="DU91" s="470">
        <f>1362.425+3160.70175+5654.33129</f>
        <v>10177.458040000001</v>
      </c>
      <c r="DV91" s="461"/>
      <c r="DW91" s="459">
        <f t="shared" si="323"/>
        <v>1032.9820199999999</v>
      </c>
      <c r="DX91" s="459"/>
      <c r="DY91" s="459">
        <v>223.22300000000001</v>
      </c>
      <c r="DZ91" s="459">
        <f>108.401+251.47762+449.8804</f>
        <v>809.75901999999996</v>
      </c>
      <c r="EA91" s="146"/>
      <c r="EB91" s="279"/>
      <c r="EC91" s="279"/>
      <c r="ED91" s="279"/>
      <c r="EE91" s="366"/>
      <c r="EF91" s="366"/>
      <c r="EG91" s="279"/>
      <c r="EH91" s="279"/>
      <c r="EI91" s="279"/>
      <c r="EJ91" s="366"/>
      <c r="EK91" s="366"/>
      <c r="EL91" s="366">
        <v>2.2100000000000002E-2</v>
      </c>
      <c r="EM91" s="280"/>
      <c r="EN91" s="279"/>
      <c r="EO91" s="265" t="e">
        <f t="shared" si="398"/>
        <v>#DIV/0!</v>
      </c>
      <c r="EP91" s="323">
        <f t="shared" si="335"/>
        <v>1541.3229999999999</v>
      </c>
      <c r="EQ91" s="323">
        <f t="shared" si="349"/>
        <v>1318.1</v>
      </c>
      <c r="ER91" s="323">
        <v>223.22300000000001</v>
      </c>
      <c r="ES91" s="358">
        <f t="shared" si="406"/>
        <v>0.85517441834060737</v>
      </c>
      <c r="ET91" s="358">
        <f t="shared" si="407"/>
        <v>0.14482558165939263</v>
      </c>
      <c r="EU91" s="323">
        <f t="shared" si="336"/>
        <v>1541.3229999999999</v>
      </c>
      <c r="EV91" s="323">
        <f t="shared" si="408"/>
        <v>1318.1</v>
      </c>
      <c r="EW91" s="323">
        <f t="shared" si="409"/>
        <v>223.22300000000001</v>
      </c>
      <c r="EX91" s="358">
        <f t="shared" si="410"/>
        <v>0.85517441834060737</v>
      </c>
      <c r="EY91" s="358">
        <f t="shared" si="411"/>
        <v>0.14482558165939263</v>
      </c>
      <c r="EZ91" s="358">
        <v>7.3700000000000002E-2</v>
      </c>
      <c r="FA91" s="323">
        <f t="shared" si="412"/>
        <v>1318.1</v>
      </c>
      <c r="FB91" s="323">
        <f t="shared" si="337"/>
        <v>0</v>
      </c>
      <c r="FC91" s="279">
        <f t="shared" si="413"/>
        <v>10987.217059999999</v>
      </c>
      <c r="FD91" s="279">
        <f t="shared" si="350"/>
        <v>10177.45804</v>
      </c>
      <c r="FE91" s="279">
        <v>809.75901999999996</v>
      </c>
      <c r="FF91" s="366">
        <f t="shared" si="414"/>
        <v>0.9262998978196213</v>
      </c>
      <c r="FG91" s="366">
        <f t="shared" si="415"/>
        <v>7.3700102180378702E-2</v>
      </c>
      <c r="FH91" s="279">
        <f t="shared" si="351"/>
        <v>10987.217060000001</v>
      </c>
      <c r="FI91" s="279">
        <f t="shared" ref="FI91:FI146" si="446">DU91</f>
        <v>10177.458040000001</v>
      </c>
      <c r="FJ91" s="279">
        <f t="shared" ref="FJ91:FJ146" si="447">DZ91</f>
        <v>809.75901999999996</v>
      </c>
      <c r="FK91" s="366">
        <f t="shared" si="416"/>
        <v>0.92629989781962141</v>
      </c>
      <c r="FL91" s="366">
        <f t="shared" si="417"/>
        <v>7.3700102180378688E-2</v>
      </c>
      <c r="FM91" s="366">
        <v>7.3700000000000002E-2</v>
      </c>
      <c r="FN91" s="280">
        <f t="shared" si="230"/>
        <v>10177.458040000001</v>
      </c>
      <c r="FO91" s="279">
        <f t="shared" si="352"/>
        <v>0</v>
      </c>
    </row>
    <row r="92" spans="2:171" s="40" customFormat="1" ht="15.75" customHeight="1" x14ac:dyDescent="0.25">
      <c r="B92" s="32"/>
      <c r="C92" s="33"/>
      <c r="D92" s="33">
        <v>1</v>
      </c>
      <c r="E92" s="434">
        <v>76</v>
      </c>
      <c r="F92" s="32"/>
      <c r="G92" s="33"/>
      <c r="H92" s="33">
        <v>1</v>
      </c>
      <c r="M92" s="434">
        <v>73</v>
      </c>
      <c r="N92" s="435" t="s">
        <v>101</v>
      </c>
      <c r="O92" s="435"/>
      <c r="P92" s="24">
        <f t="shared" si="334"/>
        <v>0</v>
      </c>
      <c r="Q92" s="435" t="s">
        <v>491</v>
      </c>
      <c r="R92" s="435"/>
      <c r="S92" s="435" t="s">
        <v>491</v>
      </c>
      <c r="T92" s="435" t="s">
        <v>488</v>
      </c>
      <c r="U92" s="161">
        <v>1</v>
      </c>
      <c r="V92" s="434"/>
      <c r="W92" s="459">
        <f t="shared" si="374"/>
        <v>1172.7</v>
      </c>
      <c r="X92" s="459"/>
      <c r="Y92" s="460">
        <v>1172.7</v>
      </c>
      <c r="Z92" s="459"/>
      <c r="AA92" s="461"/>
      <c r="AB92" s="459">
        <f t="shared" si="375"/>
        <v>1184.5</v>
      </c>
      <c r="AC92" s="459"/>
      <c r="AD92" s="460">
        <v>1184.5</v>
      </c>
      <c r="AE92" s="459"/>
      <c r="AF92" s="461"/>
      <c r="AG92" s="459">
        <f t="shared" si="376"/>
        <v>1184.5</v>
      </c>
      <c r="AH92" s="459"/>
      <c r="AI92" s="460">
        <v>1184.5</v>
      </c>
      <c r="AJ92" s="459"/>
      <c r="AK92" s="461"/>
      <c r="AL92" s="459">
        <f t="shared" si="377"/>
        <v>515</v>
      </c>
      <c r="AM92" s="459"/>
      <c r="AN92" s="460">
        <v>515</v>
      </c>
      <c r="AO92" s="459"/>
      <c r="AP92" s="461"/>
      <c r="AQ92" s="383" t="s">
        <v>418</v>
      </c>
      <c r="AR92" s="459">
        <f t="shared" si="420"/>
        <v>1172.7</v>
      </c>
      <c r="AS92" s="459"/>
      <c r="AT92" s="460">
        <v>1172.7</v>
      </c>
      <c r="AU92" s="459"/>
      <c r="AV92" s="461"/>
      <c r="AW92" s="459" t="e">
        <f t="shared" si="378"/>
        <v>#REF!</v>
      </c>
      <c r="AX92" s="459" t="e">
        <f>#REF!-AS92</f>
        <v>#REF!</v>
      </c>
      <c r="AY92" s="459" t="e">
        <f>#REF!-AT92</f>
        <v>#REF!</v>
      </c>
      <c r="AZ92" s="459" t="e">
        <f>#REF!-AU92</f>
        <v>#REF!</v>
      </c>
      <c r="BA92" s="459" t="e">
        <f>#REF!-AV92</f>
        <v>#REF!</v>
      </c>
      <c r="BB92" s="459">
        <f t="shared" si="379"/>
        <v>1184.5</v>
      </c>
      <c r="BC92" s="459"/>
      <c r="BD92" s="460">
        <f>515+669.5</f>
        <v>1184.5</v>
      </c>
      <c r="BE92" s="459"/>
      <c r="BF92" s="461"/>
      <c r="BG92" s="459">
        <f t="shared" si="380"/>
        <v>0</v>
      </c>
      <c r="BH92" s="459"/>
      <c r="BI92" s="459"/>
      <c r="BJ92" s="459"/>
      <c r="BK92" s="461"/>
      <c r="BL92" s="459">
        <f t="shared" si="381"/>
        <v>1172.7</v>
      </c>
      <c r="BM92" s="459"/>
      <c r="BN92" s="460">
        <v>1172.7</v>
      </c>
      <c r="BO92" s="459"/>
      <c r="BP92" s="470"/>
      <c r="BQ92" s="459">
        <f t="shared" si="382"/>
        <v>1172.7</v>
      </c>
      <c r="BR92" s="459"/>
      <c r="BS92" s="460">
        <v>1172.7</v>
      </c>
      <c r="BT92" s="459"/>
      <c r="BU92" s="461"/>
      <c r="BV92" s="459">
        <f t="shared" si="383"/>
        <v>677.90639999999996</v>
      </c>
      <c r="BW92" s="459"/>
      <c r="BX92" s="460">
        <v>677.90639999999996</v>
      </c>
      <c r="BY92" s="459"/>
      <c r="BZ92" s="459"/>
      <c r="CA92" s="464">
        <f t="shared" si="384"/>
        <v>1850.6064000000001</v>
      </c>
      <c r="CB92" s="459">
        <f t="shared" si="385"/>
        <v>1850.6064000000001</v>
      </c>
      <c r="CC92" s="459">
        <f t="shared" si="386"/>
        <v>0</v>
      </c>
      <c r="CD92" s="459">
        <f t="shared" si="386"/>
        <v>1850.6064000000001</v>
      </c>
      <c r="CE92" s="459">
        <f t="shared" si="386"/>
        <v>0</v>
      </c>
      <c r="CF92" s="459">
        <f t="shared" si="386"/>
        <v>0</v>
      </c>
      <c r="CG92" s="459">
        <f t="shared" si="387"/>
        <v>0</v>
      </c>
      <c r="CH92" s="459">
        <f t="shared" si="388"/>
        <v>0</v>
      </c>
      <c r="CI92" s="459">
        <f t="shared" si="388"/>
        <v>0</v>
      </c>
      <c r="CJ92" s="459">
        <f t="shared" si="388"/>
        <v>0</v>
      </c>
      <c r="CK92" s="459">
        <f t="shared" si="388"/>
        <v>0</v>
      </c>
      <c r="CL92" s="465"/>
      <c r="CM92" s="466"/>
      <c r="CN92" s="466"/>
      <c r="CO92" s="459">
        <f t="shared" si="389"/>
        <v>0</v>
      </c>
      <c r="CP92" s="459"/>
      <c r="CQ92" s="459"/>
      <c r="CR92" s="459"/>
      <c r="CS92" s="461"/>
      <c r="CT92" s="459">
        <f t="shared" si="390"/>
        <v>0</v>
      </c>
      <c r="CU92" s="459"/>
      <c r="CV92" s="459"/>
      <c r="CW92" s="459"/>
      <c r="CX92" s="461"/>
      <c r="CY92" s="459">
        <f t="shared" si="391"/>
        <v>0</v>
      </c>
      <c r="CZ92" s="459">
        <f t="shared" si="392"/>
        <v>0</v>
      </c>
      <c r="DA92" s="459">
        <f t="shared" si="392"/>
        <v>0</v>
      </c>
      <c r="DB92" s="459">
        <f t="shared" si="392"/>
        <v>0</v>
      </c>
      <c r="DC92" s="459">
        <f t="shared" si="392"/>
        <v>0</v>
      </c>
      <c r="DD92" s="459"/>
      <c r="DE92" s="459"/>
      <c r="DF92" s="459"/>
      <c r="DG92" s="459">
        <f t="shared" si="393"/>
        <v>0</v>
      </c>
      <c r="DH92" s="467"/>
      <c r="DI92" s="459">
        <f t="shared" si="394"/>
        <v>1172.7</v>
      </c>
      <c r="DJ92" s="459">
        <f t="shared" si="395"/>
        <v>1172.7</v>
      </c>
      <c r="DK92" s="467"/>
      <c r="DL92" s="459"/>
      <c r="DM92" s="459"/>
      <c r="DN92" s="467"/>
      <c r="DO92" s="459"/>
      <c r="DP92" s="467"/>
      <c r="DQ92" s="467"/>
      <c r="DR92" s="459">
        <f t="shared" si="322"/>
        <v>1172.7</v>
      </c>
      <c r="DS92" s="459"/>
      <c r="DT92" s="460">
        <v>1172.7</v>
      </c>
      <c r="DU92" s="459"/>
      <c r="DV92" s="461"/>
      <c r="DW92" s="459">
        <f t="shared" si="323"/>
        <v>677.90639999999996</v>
      </c>
      <c r="DX92" s="459"/>
      <c r="DY92" s="460">
        <v>677.90639999999996</v>
      </c>
      <c r="DZ92" s="459"/>
      <c r="EA92" s="146"/>
      <c r="EB92" s="279"/>
      <c r="EC92" s="279"/>
      <c r="ED92" s="279"/>
      <c r="EE92" s="366"/>
      <c r="EF92" s="366"/>
      <c r="EG92" s="279"/>
      <c r="EH92" s="279"/>
      <c r="EI92" s="279"/>
      <c r="EJ92" s="366"/>
      <c r="EK92" s="366"/>
      <c r="EL92" s="366">
        <v>3.09E-2</v>
      </c>
      <c r="EM92" s="280"/>
      <c r="EN92" s="279"/>
      <c r="EO92" s="265" t="e">
        <f t="shared" si="398"/>
        <v>#DIV/0!</v>
      </c>
      <c r="EP92" s="323">
        <f t="shared" si="335"/>
        <v>1850.6064000000001</v>
      </c>
      <c r="EQ92" s="323">
        <f t="shared" si="349"/>
        <v>1172.7</v>
      </c>
      <c r="ER92" s="323">
        <v>677.90639999999996</v>
      </c>
      <c r="ES92" s="358">
        <f t="shared" si="406"/>
        <v>0.63368418049348585</v>
      </c>
      <c r="ET92" s="358">
        <f t="shared" si="407"/>
        <v>0.36631581950651415</v>
      </c>
      <c r="EU92" s="323">
        <f t="shared" si="336"/>
        <v>1850.6064000000001</v>
      </c>
      <c r="EV92" s="323">
        <f t="shared" si="408"/>
        <v>1172.7</v>
      </c>
      <c r="EW92" s="323">
        <f t="shared" si="409"/>
        <v>677.90639999999996</v>
      </c>
      <c r="EX92" s="358">
        <f t="shared" si="410"/>
        <v>0.63368418049348585</v>
      </c>
      <c r="EY92" s="358">
        <f t="shared" si="411"/>
        <v>0.36631581950651415</v>
      </c>
      <c r="EZ92" s="358">
        <v>0.10299999999999999</v>
      </c>
      <c r="FA92" s="323">
        <f t="shared" si="412"/>
        <v>1172.7</v>
      </c>
      <c r="FB92" s="323">
        <f t="shared" si="337"/>
        <v>0</v>
      </c>
      <c r="FC92" s="279"/>
      <c r="FD92" s="279"/>
      <c r="FE92" s="279"/>
      <c r="FF92" s="366"/>
      <c r="FG92" s="366"/>
      <c r="FH92" s="279"/>
      <c r="FI92" s="279"/>
      <c r="FJ92" s="279"/>
      <c r="FK92" s="366"/>
      <c r="FL92" s="366"/>
      <c r="FM92" s="366">
        <v>0.10299999999999999</v>
      </c>
      <c r="FN92" s="280"/>
      <c r="FO92" s="279"/>
    </row>
    <row r="93" spans="2:171" s="40" customFormat="1" ht="15.75" customHeight="1" x14ac:dyDescent="0.25">
      <c r="B93" s="32"/>
      <c r="C93" s="33">
        <v>1</v>
      </c>
      <c r="D93" s="33"/>
      <c r="E93" s="434">
        <v>77</v>
      </c>
      <c r="F93" s="32"/>
      <c r="G93" s="33">
        <v>1</v>
      </c>
      <c r="H93" s="33">
        <v>1</v>
      </c>
      <c r="M93" s="434">
        <v>74</v>
      </c>
      <c r="N93" s="435" t="s">
        <v>47</v>
      </c>
      <c r="O93" s="435"/>
      <c r="P93" s="24">
        <f t="shared" si="334"/>
        <v>0</v>
      </c>
      <c r="Q93" s="435" t="s">
        <v>490</v>
      </c>
      <c r="R93" s="435" t="s">
        <v>488</v>
      </c>
      <c r="S93" s="435"/>
      <c r="T93" s="435"/>
      <c r="U93" s="161">
        <v>1</v>
      </c>
      <c r="V93" s="434">
        <v>2</v>
      </c>
      <c r="W93" s="459">
        <f t="shared" si="374"/>
        <v>19425.860999999997</v>
      </c>
      <c r="X93" s="461"/>
      <c r="Y93" s="460">
        <v>1737.6</v>
      </c>
      <c r="Z93" s="459">
        <f>4839.13+18492.19-5643.059</f>
        <v>17688.260999999999</v>
      </c>
      <c r="AA93" s="461"/>
      <c r="AB93" s="459">
        <f t="shared" si="375"/>
        <v>1754.9</v>
      </c>
      <c r="AC93" s="461"/>
      <c r="AD93" s="460">
        <v>1754.9</v>
      </c>
      <c r="AE93" s="459"/>
      <c r="AF93" s="461"/>
      <c r="AG93" s="459">
        <f t="shared" si="376"/>
        <v>1754.9</v>
      </c>
      <c r="AH93" s="461"/>
      <c r="AI93" s="460">
        <v>1754.9</v>
      </c>
      <c r="AJ93" s="459"/>
      <c r="AK93" s="461"/>
      <c r="AL93" s="459">
        <f t="shared" si="377"/>
        <v>763</v>
      </c>
      <c r="AM93" s="461"/>
      <c r="AN93" s="460">
        <v>763</v>
      </c>
      <c r="AO93" s="459"/>
      <c r="AP93" s="461"/>
      <c r="AQ93" s="383" t="s">
        <v>473</v>
      </c>
      <c r="AR93" s="459">
        <f t="shared" si="420"/>
        <v>19267.795570000002</v>
      </c>
      <c r="AS93" s="461"/>
      <c r="AT93" s="460">
        <f>1737.6-158.06471</f>
        <v>1579.5352899999998</v>
      </c>
      <c r="AU93" s="459">
        <f>4839.13+17599.177-4750.04672</f>
        <v>17688.260280000002</v>
      </c>
      <c r="AV93" s="461"/>
      <c r="AW93" s="459" t="e">
        <f t="shared" si="378"/>
        <v>#REF!</v>
      </c>
      <c r="AX93" s="459" t="e">
        <f>#REF!-AS93</f>
        <v>#REF!</v>
      </c>
      <c r="AY93" s="459" t="e">
        <f>#REF!-AT93</f>
        <v>#REF!</v>
      </c>
      <c r="AZ93" s="459" t="e">
        <f>#REF!-AU93</f>
        <v>#REF!</v>
      </c>
      <c r="BA93" s="459" t="e">
        <f>#REF!-AV93</f>
        <v>#REF!</v>
      </c>
      <c r="BB93" s="459">
        <f t="shared" si="379"/>
        <v>1754.9</v>
      </c>
      <c r="BC93" s="461"/>
      <c r="BD93" s="460">
        <f>763+991.9</f>
        <v>1754.9</v>
      </c>
      <c r="BE93" s="459"/>
      <c r="BF93" s="461"/>
      <c r="BG93" s="459">
        <f t="shared" si="380"/>
        <v>0</v>
      </c>
      <c r="BH93" s="461"/>
      <c r="BI93" s="460"/>
      <c r="BJ93" s="459"/>
      <c r="BK93" s="461"/>
      <c r="BL93" s="459">
        <f t="shared" si="381"/>
        <v>19267.795570000002</v>
      </c>
      <c r="BM93" s="461"/>
      <c r="BN93" s="460">
        <f>1737.6-158.06471</f>
        <v>1579.5352899999998</v>
      </c>
      <c r="BO93" s="459">
        <f>3911.74975+11350.44+2426.07053</f>
        <v>17688.260280000002</v>
      </c>
      <c r="BP93" s="470"/>
      <c r="BQ93" s="459">
        <f t="shared" si="382"/>
        <v>19267.795570000002</v>
      </c>
      <c r="BR93" s="470"/>
      <c r="BS93" s="460">
        <f>1737.6-158.06471</f>
        <v>1579.5352899999998</v>
      </c>
      <c r="BT93" s="459">
        <f>3911.74975+11350.44+2426.07053</f>
        <v>17688.260280000002</v>
      </c>
      <c r="BU93" s="461"/>
      <c r="BV93" s="459">
        <f t="shared" si="383"/>
        <v>1611.91354</v>
      </c>
      <c r="BW93" s="459"/>
      <c r="BX93" s="459">
        <f>132.14144</f>
        <v>132.14143999999999</v>
      </c>
      <c r="BY93" s="459">
        <f>327.25085+949.56+202.96125</f>
        <v>1479.7720999999999</v>
      </c>
      <c r="BZ93" s="459"/>
      <c r="CA93" s="464">
        <f t="shared" si="384"/>
        <v>20879.70911</v>
      </c>
      <c r="CB93" s="459">
        <f t="shared" si="385"/>
        <v>20879.70911</v>
      </c>
      <c r="CC93" s="459">
        <f t="shared" si="386"/>
        <v>0</v>
      </c>
      <c r="CD93" s="459">
        <f t="shared" si="386"/>
        <v>1711.6767299999997</v>
      </c>
      <c r="CE93" s="459">
        <f t="shared" si="386"/>
        <v>19168.032380000001</v>
      </c>
      <c r="CF93" s="459">
        <f t="shared" si="386"/>
        <v>0</v>
      </c>
      <c r="CG93" s="459">
        <f t="shared" si="387"/>
        <v>0</v>
      </c>
      <c r="CH93" s="459">
        <f t="shared" si="388"/>
        <v>0</v>
      </c>
      <c r="CI93" s="459">
        <f t="shared" si="388"/>
        <v>0</v>
      </c>
      <c r="CJ93" s="459">
        <f t="shared" si="388"/>
        <v>0</v>
      </c>
      <c r="CK93" s="459">
        <f t="shared" si="388"/>
        <v>0</v>
      </c>
      <c r="CL93" s="465"/>
      <c r="CM93" s="466"/>
      <c r="CN93" s="466"/>
      <c r="CO93" s="459">
        <f t="shared" si="389"/>
        <v>0</v>
      </c>
      <c r="CP93" s="461"/>
      <c r="CQ93" s="460"/>
      <c r="CR93" s="459"/>
      <c r="CS93" s="461"/>
      <c r="CT93" s="459">
        <f t="shared" si="390"/>
        <v>0</v>
      </c>
      <c r="CU93" s="461"/>
      <c r="CV93" s="460"/>
      <c r="CW93" s="459"/>
      <c r="CX93" s="461"/>
      <c r="CY93" s="459">
        <f t="shared" si="391"/>
        <v>0</v>
      </c>
      <c r="CZ93" s="459">
        <f t="shared" si="392"/>
        <v>0</v>
      </c>
      <c r="DA93" s="459">
        <f t="shared" si="392"/>
        <v>0</v>
      </c>
      <c r="DB93" s="459">
        <f t="shared" si="392"/>
        <v>0</v>
      </c>
      <c r="DC93" s="459">
        <f t="shared" si="392"/>
        <v>0</v>
      </c>
      <c r="DD93" s="459"/>
      <c r="DE93" s="459"/>
      <c r="DF93" s="459"/>
      <c r="DG93" s="459">
        <f t="shared" si="393"/>
        <v>0</v>
      </c>
      <c r="DH93" s="467"/>
      <c r="DI93" s="459">
        <f t="shared" si="394"/>
        <v>19267.795570000002</v>
      </c>
      <c r="DJ93" s="459">
        <f t="shared" si="395"/>
        <v>19267.795570000002</v>
      </c>
      <c r="DK93" s="467"/>
      <c r="DL93" s="459"/>
      <c r="DM93" s="459"/>
      <c r="DN93" s="467"/>
      <c r="DO93" s="459"/>
      <c r="DP93" s="467"/>
      <c r="DQ93" s="467"/>
      <c r="DR93" s="459">
        <f t="shared" si="322"/>
        <v>19267.795570000002</v>
      </c>
      <c r="DS93" s="470"/>
      <c r="DT93" s="460">
        <v>1579.53529</v>
      </c>
      <c r="DU93" s="459">
        <f>3911.74975+11350.44+2426.07053</f>
        <v>17688.260280000002</v>
      </c>
      <c r="DV93" s="461"/>
      <c r="DW93" s="459">
        <f t="shared" si="323"/>
        <v>1611.91354</v>
      </c>
      <c r="DX93" s="459"/>
      <c r="DY93" s="459">
        <v>132.14143999999999</v>
      </c>
      <c r="DZ93" s="459">
        <f>1276.81085+202.96125</f>
        <v>1479.7721000000001</v>
      </c>
      <c r="EA93" s="146"/>
      <c r="EB93" s="279"/>
      <c r="EC93" s="279"/>
      <c r="ED93" s="279"/>
      <c r="EE93" s="366"/>
      <c r="EF93" s="366"/>
      <c r="EG93" s="279"/>
      <c r="EH93" s="279"/>
      <c r="EI93" s="279"/>
      <c r="EJ93" s="366"/>
      <c r="EK93" s="366"/>
      <c r="EL93" s="366">
        <v>2.3199999999999998E-2</v>
      </c>
      <c r="EM93" s="280"/>
      <c r="EN93" s="279"/>
      <c r="EO93" s="265" t="e">
        <f t="shared" si="398"/>
        <v>#DIV/0!</v>
      </c>
      <c r="EP93" s="323">
        <f t="shared" si="335"/>
        <v>1711.6767299999997</v>
      </c>
      <c r="EQ93" s="323">
        <f t="shared" si="349"/>
        <v>1579.5352899999998</v>
      </c>
      <c r="ER93" s="323">
        <v>132.14143999999999</v>
      </c>
      <c r="ES93" s="358">
        <f t="shared" si="406"/>
        <v>0.92280000207749513</v>
      </c>
      <c r="ET93" s="358">
        <f t="shared" si="407"/>
        <v>7.7199997922504926E-2</v>
      </c>
      <c r="EU93" s="323">
        <f t="shared" si="336"/>
        <v>1711.6767300000001</v>
      </c>
      <c r="EV93" s="323">
        <f t="shared" si="408"/>
        <v>1579.53529</v>
      </c>
      <c r="EW93" s="323">
        <f t="shared" si="409"/>
        <v>132.14143999999999</v>
      </c>
      <c r="EX93" s="358">
        <f t="shared" si="410"/>
        <v>0.92280000207749502</v>
      </c>
      <c r="EY93" s="358">
        <f t="shared" si="411"/>
        <v>7.7199997922504898E-2</v>
      </c>
      <c r="EZ93" s="358">
        <v>7.7200000000000005E-2</v>
      </c>
      <c r="FA93" s="323">
        <f t="shared" si="412"/>
        <v>1579.5352900000003</v>
      </c>
      <c r="FB93" s="323">
        <f t="shared" si="337"/>
        <v>0</v>
      </c>
      <c r="FC93" s="279">
        <f t="shared" ref="FC93" si="448">FD93+FE93</f>
        <v>19168.032380000001</v>
      </c>
      <c r="FD93" s="279">
        <f t="shared" ref="FD93" si="449">AU93</f>
        <v>17688.260280000002</v>
      </c>
      <c r="FE93" s="279">
        <v>1479.7720999999999</v>
      </c>
      <c r="FF93" s="366">
        <f t="shared" ref="FF93" si="450">FD93/FC93</f>
        <v>0.92279999998622719</v>
      </c>
      <c r="FG93" s="366">
        <f t="shared" ref="FG93" si="451">FE93/FC93</f>
        <v>7.7200000013772918E-2</v>
      </c>
      <c r="FH93" s="279">
        <f t="shared" ref="FH93" si="452">FI93+FJ93</f>
        <v>19168.032380000004</v>
      </c>
      <c r="FI93" s="279">
        <f t="shared" ref="FI93" si="453">DU93</f>
        <v>17688.260280000002</v>
      </c>
      <c r="FJ93" s="279">
        <f t="shared" ref="FJ93" si="454">DZ93</f>
        <v>1479.7721000000001</v>
      </c>
      <c r="FK93" s="366">
        <f t="shared" ref="FK93" si="455">FI93/FH93</f>
        <v>0.92279999998622697</v>
      </c>
      <c r="FL93" s="366">
        <f t="shared" ref="FL93" si="456">FJ93/FH93</f>
        <v>7.7200000013772918E-2</v>
      </c>
      <c r="FM93" s="366">
        <v>7.7200000000000005E-2</v>
      </c>
      <c r="FN93" s="280">
        <f t="shared" ref="FN93" si="457">FH93*FF93</f>
        <v>17688.260280000006</v>
      </c>
      <c r="FO93" s="279">
        <f t="shared" ref="FO93" si="458">FI93-FN93</f>
        <v>0</v>
      </c>
    </row>
    <row r="94" spans="2:171" s="119" customFormat="1" ht="15.75" customHeight="1" x14ac:dyDescent="0.2">
      <c r="B94" s="113"/>
      <c r="C94" s="114"/>
      <c r="D94" s="114"/>
      <c r="E94" s="115"/>
      <c r="F94" s="113"/>
      <c r="G94" s="114"/>
      <c r="H94" s="114"/>
      <c r="M94" s="115"/>
      <c r="N94" s="118" t="s">
        <v>17</v>
      </c>
      <c r="O94" s="118"/>
      <c r="P94" s="68">
        <f t="shared" si="334"/>
        <v>12918.522010000015</v>
      </c>
      <c r="Q94" s="118"/>
      <c r="R94" s="118"/>
      <c r="S94" s="118"/>
      <c r="T94" s="118"/>
      <c r="U94" s="163">
        <f>U95+U96+U97+U98+U99+U100+U101+U102+U103+U104+U105+U106+U107+U108+U109+U110+U111+U112+U113</f>
        <v>13</v>
      </c>
      <c r="V94" s="163">
        <f>V95+V96+V97+V98+V99+V100+V101+V102+V103+V104+V105+V106+V107+V108+V109+V110+V111+V112+V113</f>
        <v>16</v>
      </c>
      <c r="W94" s="452">
        <f t="shared" ref="W94:AA94" si="459">SUM(W95:W113)-W96</f>
        <v>136356.02900000001</v>
      </c>
      <c r="X94" s="452">
        <f t="shared" si="459"/>
        <v>59188.740000000005</v>
      </c>
      <c r="Y94" s="452">
        <f t="shared" si="459"/>
        <v>27429.500000000004</v>
      </c>
      <c r="Z94" s="452">
        <f t="shared" si="459"/>
        <v>49737.788999999997</v>
      </c>
      <c r="AA94" s="452">
        <f t="shared" si="459"/>
        <v>0</v>
      </c>
      <c r="AB94" s="452">
        <f t="shared" ref="AB94:AF94" si="460">SUM(AB95:AB113)-AB96</f>
        <v>179496.90199999997</v>
      </c>
      <c r="AC94" s="452">
        <f t="shared" si="460"/>
        <v>83271.239999999991</v>
      </c>
      <c r="AD94" s="452">
        <f t="shared" si="460"/>
        <v>27181.399999999994</v>
      </c>
      <c r="AE94" s="452">
        <f t="shared" si="460"/>
        <v>69044.262000000002</v>
      </c>
      <c r="AF94" s="452">
        <f t="shared" si="460"/>
        <v>0</v>
      </c>
      <c r="AG94" s="452">
        <f t="shared" ref="AG94:AK94" si="461">SUM(AG95:AG113)-AG96</f>
        <v>162229.52599999995</v>
      </c>
      <c r="AH94" s="452">
        <f t="shared" si="461"/>
        <v>83271.239999999991</v>
      </c>
      <c r="AI94" s="452">
        <f t="shared" si="461"/>
        <v>27181.399999999994</v>
      </c>
      <c r="AJ94" s="452">
        <f t="shared" si="461"/>
        <v>51776.885999999999</v>
      </c>
      <c r="AK94" s="452">
        <f t="shared" si="461"/>
        <v>0</v>
      </c>
      <c r="AL94" s="454">
        <f t="shared" ref="AL94:AP94" si="462">SUM(AL95:AL113)-AL96</f>
        <v>146866.12599999999</v>
      </c>
      <c r="AM94" s="452">
        <f t="shared" si="462"/>
        <v>83271.239999999991</v>
      </c>
      <c r="AN94" s="452">
        <f t="shared" si="462"/>
        <v>11818</v>
      </c>
      <c r="AO94" s="452">
        <f t="shared" si="462"/>
        <v>51776.885999999999</v>
      </c>
      <c r="AP94" s="452">
        <f t="shared" si="462"/>
        <v>0</v>
      </c>
      <c r="AQ94" s="453"/>
      <c r="AR94" s="452">
        <f t="shared" ref="AR94:AU94" si="463">SUM(AR95:AR113)-AR96</f>
        <v>133832.23861</v>
      </c>
      <c r="AS94" s="452">
        <f t="shared" si="463"/>
        <v>59188.740000000005</v>
      </c>
      <c r="AT94" s="452">
        <f t="shared" si="463"/>
        <v>26288.109949999998</v>
      </c>
      <c r="AU94" s="452">
        <f t="shared" si="463"/>
        <v>48355.388659999997</v>
      </c>
      <c r="AV94" s="452">
        <f>SUM(AV95:AV113)-AV96</f>
        <v>0</v>
      </c>
      <c r="AW94" s="452" t="e">
        <f t="shared" ref="AW94:BF94" si="464">SUM(AW95:AW113)-AW96</f>
        <v>#REF!</v>
      </c>
      <c r="AX94" s="452" t="e">
        <f t="shared" si="464"/>
        <v>#REF!</v>
      </c>
      <c r="AY94" s="452" t="e">
        <f t="shared" si="464"/>
        <v>#REF!</v>
      </c>
      <c r="AZ94" s="452" t="e">
        <f t="shared" si="464"/>
        <v>#REF!</v>
      </c>
      <c r="BA94" s="452" t="e">
        <f t="shared" si="464"/>
        <v>#REF!</v>
      </c>
      <c r="BB94" s="452">
        <f t="shared" si="464"/>
        <v>159273.92241</v>
      </c>
      <c r="BC94" s="452">
        <f t="shared" si="464"/>
        <v>66248.596409999998</v>
      </c>
      <c r="BD94" s="452">
        <f t="shared" si="464"/>
        <v>23981.063999999998</v>
      </c>
      <c r="BE94" s="452">
        <f t="shared" si="464"/>
        <v>69044.262000000002</v>
      </c>
      <c r="BF94" s="452">
        <f t="shared" si="464"/>
        <v>0</v>
      </c>
      <c r="BG94" s="452">
        <f t="shared" ref="BG94:CK94" si="465">SUM(BG95:BG113)-BG96</f>
        <v>0</v>
      </c>
      <c r="BH94" s="452">
        <f t="shared" si="465"/>
        <v>0</v>
      </c>
      <c r="BI94" s="452">
        <f t="shared" si="465"/>
        <v>0</v>
      </c>
      <c r="BJ94" s="452">
        <f t="shared" si="465"/>
        <v>0</v>
      </c>
      <c r="BK94" s="452">
        <f t="shared" si="465"/>
        <v>0</v>
      </c>
      <c r="BL94" s="452">
        <f t="shared" si="465"/>
        <v>128832.23861</v>
      </c>
      <c r="BM94" s="452">
        <f t="shared" si="465"/>
        <v>59188.740000000005</v>
      </c>
      <c r="BN94" s="452">
        <f>BN95+BN96+BN97+BN98+BN99+BN100+BN101+BN102+BN103+BN104+BN105+BN106+BN107+BN108+BN109+BN110+BN111+BN112+BN113</f>
        <v>26288.109949999998</v>
      </c>
      <c r="BO94" s="452">
        <f t="shared" si="465"/>
        <v>43355.388659999997</v>
      </c>
      <c r="BP94" s="452">
        <f t="shared" si="465"/>
        <v>0</v>
      </c>
      <c r="BQ94" s="452">
        <f t="shared" si="465"/>
        <v>115913.71659999999</v>
      </c>
      <c r="BR94" s="452">
        <f>SUM(BR95:BR113)-BR96</f>
        <v>46270.217990000005</v>
      </c>
      <c r="BS94" s="452">
        <f t="shared" ref="BS94:BT94" si="466">SUM(BS95:BS113)-BS96</f>
        <v>26288.109949999998</v>
      </c>
      <c r="BT94" s="452">
        <f t="shared" si="466"/>
        <v>43355.388659999997</v>
      </c>
      <c r="BU94" s="452">
        <f t="shared" si="465"/>
        <v>0</v>
      </c>
      <c r="BV94" s="454">
        <f t="shared" si="465"/>
        <v>21092.386870000002</v>
      </c>
      <c r="BW94" s="452">
        <f t="shared" si="465"/>
        <v>1196.15598</v>
      </c>
      <c r="BX94" s="452">
        <f t="shared" si="465"/>
        <v>14332.772350000001</v>
      </c>
      <c r="BY94" s="452">
        <f t="shared" si="465"/>
        <v>5563.4585399999996</v>
      </c>
      <c r="BZ94" s="452">
        <f t="shared" si="465"/>
        <v>0</v>
      </c>
      <c r="CA94" s="452">
        <f t="shared" si="465"/>
        <v>137006.10347000003</v>
      </c>
      <c r="CB94" s="452">
        <f t="shared" si="465"/>
        <v>137006.10347000003</v>
      </c>
      <c r="CC94" s="452">
        <f t="shared" si="465"/>
        <v>47466.373970000008</v>
      </c>
      <c r="CD94" s="452">
        <f t="shared" si="465"/>
        <v>40620.882299999997</v>
      </c>
      <c r="CE94" s="452">
        <f t="shared" si="465"/>
        <v>48918.847199999997</v>
      </c>
      <c r="CF94" s="452">
        <f t="shared" si="465"/>
        <v>0</v>
      </c>
      <c r="CG94" s="452">
        <f t="shared" si="465"/>
        <v>12918.522010000001</v>
      </c>
      <c r="CH94" s="452">
        <f t="shared" si="465"/>
        <v>12918.522010000001</v>
      </c>
      <c r="CI94" s="452">
        <f t="shared" si="465"/>
        <v>0</v>
      </c>
      <c r="CJ94" s="452">
        <f t="shared" si="465"/>
        <v>0</v>
      </c>
      <c r="CK94" s="452">
        <f t="shared" si="465"/>
        <v>0</v>
      </c>
      <c r="CL94" s="455">
        <f>CM94+CO94-BG94</f>
        <v>159273.92241</v>
      </c>
      <c r="CM94" s="456">
        <f t="shared" ref="CM94:DG94" si="467">SUM(CM95:CM113)-CM96</f>
        <v>159273.92241</v>
      </c>
      <c r="CN94" s="456">
        <f t="shared" si="467"/>
        <v>159273.92241</v>
      </c>
      <c r="CO94" s="452">
        <f t="shared" si="467"/>
        <v>0</v>
      </c>
      <c r="CP94" s="452">
        <f t="shared" si="467"/>
        <v>0</v>
      </c>
      <c r="CQ94" s="452">
        <f t="shared" si="467"/>
        <v>0</v>
      </c>
      <c r="CR94" s="452">
        <f t="shared" si="467"/>
        <v>0</v>
      </c>
      <c r="CS94" s="452">
        <f t="shared" si="467"/>
        <v>0</v>
      </c>
      <c r="CT94" s="452">
        <f t="shared" si="467"/>
        <v>0</v>
      </c>
      <c r="CU94" s="452">
        <f t="shared" si="467"/>
        <v>0</v>
      </c>
      <c r="CV94" s="452">
        <f t="shared" si="467"/>
        <v>0</v>
      </c>
      <c r="CW94" s="452">
        <f t="shared" si="467"/>
        <v>0</v>
      </c>
      <c r="CX94" s="452">
        <f t="shared" si="467"/>
        <v>0</v>
      </c>
      <c r="CY94" s="452">
        <f t="shared" si="467"/>
        <v>0</v>
      </c>
      <c r="CZ94" s="452">
        <f t="shared" si="467"/>
        <v>0</v>
      </c>
      <c r="DA94" s="452">
        <f t="shared" si="467"/>
        <v>0</v>
      </c>
      <c r="DB94" s="452">
        <f t="shared" si="467"/>
        <v>0</v>
      </c>
      <c r="DC94" s="452">
        <f t="shared" si="467"/>
        <v>0</v>
      </c>
      <c r="DD94" s="452">
        <f t="shared" si="467"/>
        <v>0</v>
      </c>
      <c r="DE94" s="452">
        <f t="shared" si="467"/>
        <v>0</v>
      </c>
      <c r="DF94" s="452">
        <f t="shared" si="467"/>
        <v>0</v>
      </c>
      <c r="DG94" s="452">
        <f t="shared" si="467"/>
        <v>12918.522010000001</v>
      </c>
      <c r="DH94" s="457"/>
      <c r="DI94" s="452">
        <f>SUM(DI95:DI113)-DI96</f>
        <v>128832.23861</v>
      </c>
      <c r="DJ94" s="452">
        <f>SUM(DJ95:DJ113)-DJ96</f>
        <v>115913.71659999999</v>
      </c>
      <c r="DK94" s="457"/>
      <c r="DL94" s="452">
        <f>SUM(DL95:DL113)-DL96</f>
        <v>115913.7166</v>
      </c>
      <c r="DM94" s="452">
        <f>SUM(DM95:DM113)-DM96</f>
        <v>12918.522010000001</v>
      </c>
      <c r="DN94" s="457"/>
      <c r="DO94" s="452">
        <f>SUM(DO95:DO113)-DO96</f>
        <v>43360.205809999999</v>
      </c>
      <c r="DP94" s="457">
        <f>DG94-DO94</f>
        <v>-30441.683799999999</v>
      </c>
      <c r="DQ94" s="457"/>
      <c r="DR94" s="452">
        <f t="shared" si="322"/>
        <v>115913.7166</v>
      </c>
      <c r="DS94" s="452">
        <f t="shared" ref="DS94:DU94" si="468">SUM(DS95:DS113)-DS96</f>
        <v>46270.217990000005</v>
      </c>
      <c r="DT94" s="452">
        <f t="shared" si="468"/>
        <v>26288.109949999998</v>
      </c>
      <c r="DU94" s="452">
        <f t="shared" si="468"/>
        <v>43355.388659999997</v>
      </c>
      <c r="DV94" s="452">
        <f t="shared" ref="DV94" si="469">SUM(DV95:DV113)-DV96</f>
        <v>0</v>
      </c>
      <c r="DW94" s="452">
        <f t="shared" si="323"/>
        <v>21092.386869999998</v>
      </c>
      <c r="DX94" s="452">
        <f t="shared" ref="DX94:DZ94" si="470">SUM(DX95:DX113)-DX96</f>
        <v>1196.15598</v>
      </c>
      <c r="DY94" s="452">
        <f t="shared" si="470"/>
        <v>14332.772349999999</v>
      </c>
      <c r="DZ94" s="452">
        <f t="shared" si="470"/>
        <v>5563.4585399999996</v>
      </c>
      <c r="EA94" s="145">
        <f t="shared" ref="EA94" si="471">SUM(EA95:EA113)-EA96</f>
        <v>0</v>
      </c>
      <c r="EB94" s="57">
        <f t="shared" si="365"/>
        <v>60718.859790000002</v>
      </c>
      <c r="EC94" s="57">
        <f>EC101+EC109</f>
        <v>59188.740000000005</v>
      </c>
      <c r="ED94" s="57">
        <f>ED101+ED109</f>
        <v>1530.11979</v>
      </c>
      <c r="EE94" s="360"/>
      <c r="EF94" s="360"/>
      <c r="EG94" s="57">
        <f t="shared" si="368"/>
        <v>47466.373970000008</v>
      </c>
      <c r="EH94" s="57">
        <f>EH101+EH109</f>
        <v>46270.217990000005</v>
      </c>
      <c r="EI94" s="57">
        <f>EI101+EI109</f>
        <v>1196.15598</v>
      </c>
      <c r="EJ94" s="360"/>
      <c r="EK94" s="360"/>
      <c r="EL94" s="360"/>
      <c r="EM94" s="273"/>
      <c r="EN94" s="57"/>
      <c r="EO94" s="264"/>
      <c r="EP94" s="57">
        <f t="shared" si="335"/>
        <v>40620.882299999997</v>
      </c>
      <c r="EQ94" s="57">
        <f t="shared" si="349"/>
        <v>26288.109949999998</v>
      </c>
      <c r="ER94" s="57">
        <f t="shared" ref="ER94" si="472">SUM(ER95:ER113)-ER96</f>
        <v>14332.772349999999</v>
      </c>
      <c r="ES94" s="360"/>
      <c r="ET94" s="360"/>
      <c r="EU94" s="57">
        <f t="shared" si="336"/>
        <v>40620.882299999997</v>
      </c>
      <c r="EV94" s="57">
        <f>SUM(EV95:EV113)</f>
        <v>26288.109949999998</v>
      </c>
      <c r="EW94" s="57">
        <f>SUM(EW95:EW113)</f>
        <v>14332.772349999999</v>
      </c>
      <c r="EX94" s="360"/>
      <c r="EY94" s="360"/>
      <c r="EZ94" s="360"/>
      <c r="FA94" s="57">
        <f t="shared" si="412"/>
        <v>0</v>
      </c>
      <c r="FB94" s="57">
        <f t="shared" si="337"/>
        <v>26288.109949999998</v>
      </c>
      <c r="FC94" s="57">
        <f t="shared" ref="FC94" si="473">FD94+FE94+FF94</f>
        <v>54887.466199999995</v>
      </c>
      <c r="FD94" s="57">
        <f t="shared" si="350"/>
        <v>48355.388659999997</v>
      </c>
      <c r="FE94" s="57">
        <f t="shared" ref="FE94" si="474">SUM(FE95:FE113)-FE96</f>
        <v>6532.0775400000002</v>
      </c>
      <c r="FF94" s="360"/>
      <c r="FG94" s="360"/>
      <c r="FH94" s="57">
        <f t="shared" si="351"/>
        <v>48918.847199999997</v>
      </c>
      <c r="FI94" s="57">
        <f t="shared" si="446"/>
        <v>43355.388659999997</v>
      </c>
      <c r="FJ94" s="57">
        <f t="shared" si="447"/>
        <v>5563.4585399999996</v>
      </c>
      <c r="FK94" s="360"/>
      <c r="FL94" s="360"/>
      <c r="FM94" s="360"/>
      <c r="FN94" s="273">
        <f t="shared" si="230"/>
        <v>0</v>
      </c>
      <c r="FO94" s="57">
        <f t="shared" si="352"/>
        <v>43355.388659999997</v>
      </c>
    </row>
    <row r="95" spans="2:171" s="41" customFormat="1" ht="15.75" customHeight="1" x14ac:dyDescent="0.25">
      <c r="B95" s="34">
        <v>1</v>
      </c>
      <c r="C95" s="33"/>
      <c r="D95" s="33"/>
      <c r="E95" s="434">
        <v>78</v>
      </c>
      <c r="F95" s="34">
        <v>1</v>
      </c>
      <c r="G95" s="33"/>
      <c r="H95" s="33">
        <v>1</v>
      </c>
      <c r="M95" s="434">
        <v>75</v>
      </c>
      <c r="N95" s="435" t="s">
        <v>214</v>
      </c>
      <c r="O95" s="133"/>
      <c r="P95" s="2">
        <f t="shared" si="334"/>
        <v>0</v>
      </c>
      <c r="Q95" s="132" t="s">
        <v>571</v>
      </c>
      <c r="R95" s="133" t="s">
        <v>488</v>
      </c>
      <c r="S95" s="132" t="s">
        <v>490</v>
      </c>
      <c r="T95" s="132" t="s">
        <v>488</v>
      </c>
      <c r="U95" s="447">
        <v>1</v>
      </c>
      <c r="V95" s="447"/>
      <c r="W95" s="459">
        <f t="shared" ref="W95:W113" si="475">X95+Y95+Z95+AA95</f>
        <v>2699.5</v>
      </c>
      <c r="X95" s="459"/>
      <c r="Y95" s="460">
        <v>2699.5</v>
      </c>
      <c r="Z95" s="489"/>
      <c r="AA95" s="490"/>
      <c r="AB95" s="459">
        <f t="shared" ref="AB95:AB113" si="476">AC95+AD95+AE95+AF95</f>
        <v>42564.74</v>
      </c>
      <c r="AC95" s="459">
        <v>42564.74</v>
      </c>
      <c r="AD95" s="460">
        <v>0</v>
      </c>
      <c r="AE95" s="489"/>
      <c r="AF95" s="490"/>
      <c r="AG95" s="459">
        <f t="shared" ref="AG95:AG113" si="477">AH95+AI95+AJ95+AK95</f>
        <v>42564.74</v>
      </c>
      <c r="AH95" s="459">
        <v>42564.74</v>
      </c>
      <c r="AI95" s="460">
        <v>0</v>
      </c>
      <c r="AJ95" s="489"/>
      <c r="AK95" s="490"/>
      <c r="AL95" s="459">
        <f t="shared" ref="AL95:AL113" si="478">AM95+AN95+AO95+AP95</f>
        <v>43747.74</v>
      </c>
      <c r="AM95" s="459">
        <v>42564.74</v>
      </c>
      <c r="AN95" s="460">
        <v>1183</v>
      </c>
      <c r="AO95" s="489"/>
      <c r="AP95" s="489"/>
      <c r="AQ95" s="383" t="s">
        <v>377</v>
      </c>
      <c r="AR95" s="459">
        <f t="shared" ref="AR95:AR113" si="479">AS95+AT95+AU95+AV95</f>
        <v>2699.5</v>
      </c>
      <c r="AS95" s="459"/>
      <c r="AT95" s="460">
        <v>2699.5</v>
      </c>
      <c r="AU95" s="489"/>
      <c r="AV95" s="489"/>
      <c r="AW95" s="459" t="e">
        <f t="shared" ref="AW95:AW113" si="480">AX95+AY95+AZ95+BA95</f>
        <v>#REF!</v>
      </c>
      <c r="AX95" s="459" t="e">
        <f>#REF!-AS95</f>
        <v>#REF!</v>
      </c>
      <c r="AY95" s="459" t="e">
        <f>#REF!-AT95</f>
        <v>#REF!</v>
      </c>
      <c r="AZ95" s="459" t="e">
        <f>#REF!-AU95</f>
        <v>#REF!</v>
      </c>
      <c r="BA95" s="459" t="e">
        <f>#REF!-AV95</f>
        <v>#REF!</v>
      </c>
      <c r="BB95" s="459">
        <f t="shared" ref="BB95:BB113" si="481">BC95+BD95+BE95+BF95</f>
        <v>42564.740000000005</v>
      </c>
      <c r="BC95" s="459">
        <f>4470.69038+12326.72774+5484.42853+19769.46707+513.42628</f>
        <v>42564.740000000005</v>
      </c>
      <c r="BD95" s="460"/>
      <c r="BE95" s="489"/>
      <c r="BF95" s="489"/>
      <c r="BG95" s="459">
        <f t="shared" ref="BG95:BG113" si="482">BH95+BI95+BJ95+BK95</f>
        <v>0</v>
      </c>
      <c r="BH95" s="459"/>
      <c r="BI95" s="460"/>
      <c r="BJ95" s="489"/>
      <c r="BK95" s="489"/>
      <c r="BL95" s="459">
        <f t="shared" ref="BL95:BL113" si="483">BM95+BN95+BO95+BP95</f>
        <v>2699.5</v>
      </c>
      <c r="BM95" s="459"/>
      <c r="BN95" s="460">
        <v>2699.5</v>
      </c>
      <c r="BO95" s="489"/>
      <c r="BP95" s="489"/>
      <c r="BQ95" s="459">
        <f>BR95+BS95+BT95+BU95</f>
        <v>2699.5</v>
      </c>
      <c r="BR95" s="459"/>
      <c r="BS95" s="460">
        <v>2699.5</v>
      </c>
      <c r="BT95" s="459"/>
      <c r="BU95" s="459">
        <v>0</v>
      </c>
      <c r="BV95" s="459">
        <f t="shared" ref="BV95:BV113" si="484">BW95+BX95+BY95+BZ95</f>
        <v>7512.2</v>
      </c>
      <c r="BW95" s="459"/>
      <c r="BX95" s="459">
        <v>7512.2</v>
      </c>
      <c r="BY95" s="489"/>
      <c r="BZ95" s="489"/>
      <c r="CA95" s="464">
        <f t="shared" ref="CA95:CA113" si="485">CB95</f>
        <v>10211.700000000001</v>
      </c>
      <c r="CB95" s="459">
        <f t="shared" ref="CB95:CB113" si="486">CC95+CD95+CE95+CF95</f>
        <v>10211.700000000001</v>
      </c>
      <c r="CC95" s="459">
        <f>BR95+BW95</f>
        <v>0</v>
      </c>
      <c r="CD95" s="459">
        <f>BS95+BX95</f>
        <v>10211.700000000001</v>
      </c>
      <c r="CE95" s="459">
        <f t="shared" ref="CC95:CF113" si="487">BT95+BY95</f>
        <v>0</v>
      </c>
      <c r="CF95" s="459">
        <f t="shared" si="487"/>
        <v>0</v>
      </c>
      <c r="CG95" s="459">
        <f t="shared" ref="CG95:CG113" si="488">CH95+CI95+CJ95+CK95</f>
        <v>0</v>
      </c>
      <c r="CH95" s="459">
        <f>BM95-BR95</f>
        <v>0</v>
      </c>
      <c r="CI95" s="459">
        <f>BN95-BS95</f>
        <v>0</v>
      </c>
      <c r="CJ95" s="459">
        <f t="shared" ref="CH95:CK113" si="489">BO95-BT95</f>
        <v>0</v>
      </c>
      <c r="CK95" s="459">
        <f t="shared" si="489"/>
        <v>0</v>
      </c>
      <c r="CL95" s="485"/>
      <c r="CM95" s="491">
        <f>BB95</f>
        <v>42564.740000000005</v>
      </c>
      <c r="CN95" s="491">
        <f>CM95+CO95</f>
        <v>42564.740000000005</v>
      </c>
      <c r="CO95" s="459">
        <f t="shared" ref="CO95:CO113" si="490">CP95+CQ95+CR95+CS95</f>
        <v>0</v>
      </c>
      <c r="CP95" s="459"/>
      <c r="CQ95" s="460"/>
      <c r="CR95" s="489"/>
      <c r="CS95" s="489"/>
      <c r="CT95" s="459">
        <f t="shared" ref="CT95:CT113" si="491">CU95+CV95+CW95+CX95</f>
        <v>0</v>
      </c>
      <c r="CU95" s="459"/>
      <c r="CV95" s="460"/>
      <c r="CW95" s="489"/>
      <c r="CX95" s="489"/>
      <c r="CY95" s="459">
        <f t="shared" ref="CY95:CY113" si="492">CZ95+DA95+DB95+DC95</f>
        <v>0</v>
      </c>
      <c r="CZ95" s="459">
        <f t="shared" ref="CZ95:DC113" si="493">CP95-CU95</f>
        <v>0</v>
      </c>
      <c r="DA95" s="459">
        <f t="shared" si="493"/>
        <v>0</v>
      </c>
      <c r="DB95" s="459">
        <f t="shared" si="493"/>
        <v>0</v>
      </c>
      <c r="DC95" s="459">
        <f t="shared" si="493"/>
        <v>0</v>
      </c>
      <c r="DD95" s="489"/>
      <c r="DE95" s="489"/>
      <c r="DF95" s="489"/>
      <c r="DG95" s="459">
        <f t="shared" ref="DG95:DG113" si="494">CG95+CY95+DF95</f>
        <v>0</v>
      </c>
      <c r="DH95" s="467"/>
      <c r="DI95" s="459">
        <f t="shared" ref="DI95:DI113" si="495">BL95+CO95+DD95</f>
        <v>2699.5</v>
      </c>
      <c r="DJ95" s="459">
        <f t="shared" ref="DJ95:DJ113" si="496">BQ95+CT95+DE95</f>
        <v>2699.5</v>
      </c>
      <c r="DK95" s="487"/>
      <c r="DL95" s="459">
        <f>DJ95</f>
        <v>2699.5</v>
      </c>
      <c r="DM95" s="459">
        <f>DG95</f>
        <v>0</v>
      </c>
      <c r="DN95" s="487"/>
      <c r="DO95" s="459">
        <f>CN95-DL95</f>
        <v>39865.240000000005</v>
      </c>
      <c r="DP95" s="487"/>
      <c r="DQ95" s="487"/>
      <c r="DR95" s="459">
        <f t="shared" si="322"/>
        <v>2699.5</v>
      </c>
      <c r="DS95" s="459"/>
      <c r="DT95" s="460">
        <v>2699.5</v>
      </c>
      <c r="DU95" s="459"/>
      <c r="DV95" s="489"/>
      <c r="DW95" s="459">
        <f t="shared" si="323"/>
        <v>7512.2</v>
      </c>
      <c r="DX95" s="459"/>
      <c r="DY95" s="459">
        <v>7512.2</v>
      </c>
      <c r="DZ95" s="489"/>
      <c r="EA95" s="153"/>
      <c r="EB95" s="279"/>
      <c r="EC95" s="279"/>
      <c r="ED95" s="279"/>
      <c r="EE95" s="369"/>
      <c r="EF95" s="369"/>
      <c r="EG95" s="279"/>
      <c r="EH95" s="279"/>
      <c r="EI95" s="279"/>
      <c r="EJ95" s="369"/>
      <c r="EK95" s="369"/>
      <c r="EL95" s="366">
        <v>2.9700000000000001E-2</v>
      </c>
      <c r="EM95" s="287"/>
      <c r="EN95" s="288"/>
      <c r="EO95" s="269" t="e">
        <f t="shared" ref="EO95:EO113" si="497">EM95/EJ95</f>
        <v>#DIV/0!</v>
      </c>
      <c r="EP95" s="323">
        <f t="shared" si="335"/>
        <v>10211.700000000001</v>
      </c>
      <c r="EQ95" s="323">
        <f t="shared" si="349"/>
        <v>2699.5</v>
      </c>
      <c r="ER95" s="323">
        <v>7512.2</v>
      </c>
      <c r="ES95" s="358">
        <f t="shared" ref="ES95:ES113" si="498">EQ95/EP95</f>
        <v>0.26435363357717129</v>
      </c>
      <c r="ET95" s="358">
        <f t="shared" ref="ET95:ET113" si="499">ER95/EP95</f>
        <v>0.73564636642282866</v>
      </c>
      <c r="EU95" s="323">
        <f t="shared" si="336"/>
        <v>10211.700000000001</v>
      </c>
      <c r="EV95" s="323">
        <f t="shared" ref="EV95:EV113" si="500">DT95</f>
        <v>2699.5</v>
      </c>
      <c r="EW95" s="323">
        <f t="shared" ref="EW95:EW113" si="501">DY95</f>
        <v>7512.2</v>
      </c>
      <c r="EX95" s="358">
        <f t="shared" ref="EX95:EX113" si="502">EV95/EU95</f>
        <v>0.26435363357717129</v>
      </c>
      <c r="EY95" s="358">
        <f t="shared" ref="EY95:EY113" si="503">EW95/EU95</f>
        <v>0.73564636642282866</v>
      </c>
      <c r="EZ95" s="358">
        <v>0.1</v>
      </c>
      <c r="FA95" s="323">
        <f t="shared" ref="FA95:FA113" si="504">EU95*ES95</f>
        <v>2699.5000000000005</v>
      </c>
      <c r="FB95" s="323">
        <f t="shared" si="337"/>
        <v>0</v>
      </c>
      <c r="FC95" s="279"/>
      <c r="FD95" s="279"/>
      <c r="FE95" s="279"/>
      <c r="FF95" s="369"/>
      <c r="FG95" s="369"/>
      <c r="FH95" s="279"/>
      <c r="FI95" s="279"/>
      <c r="FJ95" s="279"/>
      <c r="FK95" s="369"/>
      <c r="FL95" s="369"/>
      <c r="FM95" s="366">
        <v>0.1</v>
      </c>
      <c r="FN95" s="287"/>
      <c r="FO95" s="288"/>
    </row>
    <row r="96" spans="2:171" s="41" customFormat="1" ht="15.75" customHeight="1" x14ac:dyDescent="0.25">
      <c r="B96" s="34"/>
      <c r="C96" s="33"/>
      <c r="D96" s="33"/>
      <c r="E96" s="434"/>
      <c r="F96" s="34"/>
      <c r="G96" s="33"/>
      <c r="H96" s="33"/>
      <c r="M96" s="434"/>
      <c r="N96" s="19" t="s">
        <v>251</v>
      </c>
      <c r="O96" s="133"/>
      <c r="P96" s="2">
        <f t="shared" si="334"/>
        <v>0</v>
      </c>
      <c r="Q96" s="133"/>
      <c r="R96" s="133"/>
      <c r="S96" s="133"/>
      <c r="T96" s="133"/>
      <c r="U96" s="133"/>
      <c r="V96" s="133"/>
      <c r="W96" s="459">
        <f t="shared" si="475"/>
        <v>0</v>
      </c>
      <c r="X96" s="459"/>
      <c r="Y96" s="468"/>
      <c r="Z96" s="489"/>
      <c r="AA96" s="490"/>
      <c r="AB96" s="459">
        <f t="shared" si="476"/>
        <v>0</v>
      </c>
      <c r="AC96" s="459"/>
      <c r="AD96" s="468"/>
      <c r="AE96" s="489"/>
      <c r="AF96" s="490"/>
      <c r="AG96" s="459">
        <f t="shared" si="477"/>
        <v>0</v>
      </c>
      <c r="AH96" s="459"/>
      <c r="AI96" s="468"/>
      <c r="AJ96" s="489"/>
      <c r="AK96" s="490"/>
      <c r="AL96" s="459">
        <f t="shared" si="478"/>
        <v>0</v>
      </c>
      <c r="AM96" s="459"/>
      <c r="AN96" s="468"/>
      <c r="AO96" s="489"/>
      <c r="AP96" s="489"/>
      <c r="AQ96" s="492"/>
      <c r="AR96" s="459">
        <f t="shared" si="479"/>
        <v>0</v>
      </c>
      <c r="AS96" s="468"/>
      <c r="AT96" s="493"/>
      <c r="AU96" s="489"/>
      <c r="AV96" s="489"/>
      <c r="AW96" s="459" t="e">
        <f t="shared" si="480"/>
        <v>#REF!</v>
      </c>
      <c r="AX96" s="459" t="e">
        <f>#REF!-AS96</f>
        <v>#REF!</v>
      </c>
      <c r="AY96" s="459" t="e">
        <f>#REF!-AT96</f>
        <v>#REF!</v>
      </c>
      <c r="AZ96" s="459" t="e">
        <f>#REF!-AU96</f>
        <v>#REF!</v>
      </c>
      <c r="BA96" s="459" t="e">
        <f>#REF!-AV96</f>
        <v>#REF!</v>
      </c>
      <c r="BB96" s="459">
        <f t="shared" si="481"/>
        <v>0</v>
      </c>
      <c r="BC96" s="468"/>
      <c r="BD96" s="468"/>
      <c r="BE96" s="489"/>
      <c r="BF96" s="489"/>
      <c r="BG96" s="459">
        <f t="shared" si="482"/>
        <v>0</v>
      </c>
      <c r="BH96" s="468"/>
      <c r="BI96" s="468"/>
      <c r="BJ96" s="489"/>
      <c r="BK96" s="489"/>
      <c r="BL96" s="459">
        <f t="shared" si="483"/>
        <v>0</v>
      </c>
      <c r="BM96" s="468"/>
      <c r="BN96" s="494"/>
      <c r="BO96" s="489"/>
      <c r="BP96" s="489"/>
      <c r="BQ96" s="459">
        <f t="shared" ref="BQ96:BQ113" si="505">BR96+BS96+BT96+BU96</f>
        <v>0</v>
      </c>
      <c r="BR96" s="494"/>
      <c r="BS96" s="494"/>
      <c r="BT96" s="489"/>
      <c r="BU96" s="489"/>
      <c r="BV96" s="459">
        <f t="shared" si="484"/>
        <v>0</v>
      </c>
      <c r="BW96" s="489"/>
      <c r="BX96" s="489"/>
      <c r="BY96" s="489"/>
      <c r="BZ96" s="489"/>
      <c r="CA96" s="464">
        <f t="shared" si="485"/>
        <v>0</v>
      </c>
      <c r="CB96" s="459">
        <f t="shared" si="486"/>
        <v>0</v>
      </c>
      <c r="CC96" s="459">
        <f t="shared" si="487"/>
        <v>0</v>
      </c>
      <c r="CD96" s="459">
        <f t="shared" si="487"/>
        <v>0</v>
      </c>
      <c r="CE96" s="459">
        <f t="shared" si="487"/>
        <v>0</v>
      </c>
      <c r="CF96" s="459">
        <f t="shared" si="487"/>
        <v>0</v>
      </c>
      <c r="CG96" s="459">
        <f t="shared" si="488"/>
        <v>0</v>
      </c>
      <c r="CH96" s="459">
        <f t="shared" si="489"/>
        <v>0</v>
      </c>
      <c r="CI96" s="459">
        <f t="shared" si="489"/>
        <v>0</v>
      </c>
      <c r="CJ96" s="459">
        <f t="shared" si="489"/>
        <v>0</v>
      </c>
      <c r="CK96" s="459">
        <f t="shared" si="489"/>
        <v>0</v>
      </c>
      <c r="CL96" s="485"/>
      <c r="CM96" s="491"/>
      <c r="CN96" s="491"/>
      <c r="CO96" s="459">
        <f t="shared" si="490"/>
        <v>0</v>
      </c>
      <c r="CP96" s="468"/>
      <c r="CQ96" s="468"/>
      <c r="CR96" s="489"/>
      <c r="CS96" s="489"/>
      <c r="CT96" s="459">
        <f t="shared" si="491"/>
        <v>0</v>
      </c>
      <c r="CU96" s="468"/>
      <c r="CV96" s="468"/>
      <c r="CW96" s="489"/>
      <c r="CX96" s="489"/>
      <c r="CY96" s="459">
        <f t="shared" si="492"/>
        <v>0</v>
      </c>
      <c r="CZ96" s="459">
        <f t="shared" si="493"/>
        <v>0</v>
      </c>
      <c r="DA96" s="459">
        <f t="shared" si="493"/>
        <v>0</v>
      </c>
      <c r="DB96" s="459">
        <f t="shared" si="493"/>
        <v>0</v>
      </c>
      <c r="DC96" s="459">
        <f t="shared" si="493"/>
        <v>0</v>
      </c>
      <c r="DD96" s="489"/>
      <c r="DE96" s="489"/>
      <c r="DF96" s="489"/>
      <c r="DG96" s="459">
        <f t="shared" si="494"/>
        <v>0</v>
      </c>
      <c r="DH96" s="467"/>
      <c r="DI96" s="459">
        <f t="shared" si="495"/>
        <v>0</v>
      </c>
      <c r="DJ96" s="459">
        <f t="shared" si="496"/>
        <v>0</v>
      </c>
      <c r="DK96" s="487"/>
      <c r="DL96" s="489"/>
      <c r="DM96" s="489"/>
      <c r="DN96" s="487"/>
      <c r="DO96" s="489"/>
      <c r="DP96" s="487"/>
      <c r="DQ96" s="487"/>
      <c r="DR96" s="459">
        <f t="shared" si="322"/>
        <v>0</v>
      </c>
      <c r="DS96" s="494"/>
      <c r="DT96" s="494"/>
      <c r="DU96" s="489"/>
      <c r="DV96" s="489"/>
      <c r="DW96" s="459">
        <f t="shared" si="323"/>
        <v>0</v>
      </c>
      <c r="DX96" s="489"/>
      <c r="DY96" s="489"/>
      <c r="DZ96" s="489"/>
      <c r="EA96" s="153"/>
      <c r="EB96" s="279"/>
      <c r="EC96" s="288"/>
      <c r="ED96" s="288"/>
      <c r="EE96" s="369"/>
      <c r="EF96" s="369"/>
      <c r="EG96" s="279"/>
      <c r="EH96" s="288"/>
      <c r="EI96" s="288"/>
      <c r="EJ96" s="369"/>
      <c r="EK96" s="369"/>
      <c r="EL96" s="369"/>
      <c r="EM96" s="287"/>
      <c r="EN96" s="288"/>
      <c r="EO96" s="269" t="e">
        <f t="shared" si="497"/>
        <v>#DIV/0!</v>
      </c>
      <c r="EP96" s="323"/>
      <c r="EQ96" s="329"/>
      <c r="ER96" s="329"/>
      <c r="ES96" s="363"/>
      <c r="ET96" s="363"/>
      <c r="EU96" s="323"/>
      <c r="EV96" s="329"/>
      <c r="EW96" s="329"/>
      <c r="EX96" s="363"/>
      <c r="EY96" s="363"/>
      <c r="EZ96" s="363"/>
      <c r="FA96" s="329"/>
      <c r="FB96" s="329"/>
      <c r="FC96" s="279"/>
      <c r="FD96" s="288"/>
      <c r="FE96" s="288"/>
      <c r="FF96" s="369"/>
      <c r="FG96" s="369"/>
      <c r="FH96" s="279"/>
      <c r="FI96" s="288"/>
      <c r="FJ96" s="288"/>
      <c r="FK96" s="369"/>
      <c r="FL96" s="369"/>
      <c r="FM96" s="369"/>
      <c r="FN96" s="287"/>
      <c r="FO96" s="288"/>
    </row>
    <row r="97" spans="2:171" s="40" customFormat="1" ht="15.6" customHeight="1" x14ac:dyDescent="0.25">
      <c r="B97" s="32"/>
      <c r="C97" s="33"/>
      <c r="D97" s="33">
        <v>1</v>
      </c>
      <c r="E97" s="434">
        <v>79</v>
      </c>
      <c r="F97" s="32"/>
      <c r="G97" s="33"/>
      <c r="H97" s="33">
        <v>1</v>
      </c>
      <c r="M97" s="434">
        <v>76</v>
      </c>
      <c r="N97" s="435" t="s">
        <v>102</v>
      </c>
      <c r="O97" s="435"/>
      <c r="P97" s="24">
        <f t="shared" si="334"/>
        <v>0</v>
      </c>
      <c r="Q97" s="435" t="s">
        <v>544</v>
      </c>
      <c r="R97" s="435" t="s">
        <v>488</v>
      </c>
      <c r="S97" s="435" t="s">
        <v>490</v>
      </c>
      <c r="T97" s="435" t="s">
        <v>488</v>
      </c>
      <c r="U97" s="161">
        <v>1</v>
      </c>
      <c r="V97" s="434">
        <v>1</v>
      </c>
      <c r="W97" s="459">
        <f t="shared" si="475"/>
        <v>1749.9</v>
      </c>
      <c r="X97" s="459"/>
      <c r="Y97" s="460">
        <v>1749.9</v>
      </c>
      <c r="Z97" s="459"/>
      <c r="AA97" s="461"/>
      <c r="AB97" s="459">
        <f t="shared" si="476"/>
        <v>556.6</v>
      </c>
      <c r="AC97" s="459"/>
      <c r="AD97" s="460">
        <v>556.6</v>
      </c>
      <c r="AE97" s="459"/>
      <c r="AF97" s="461"/>
      <c r="AG97" s="459">
        <f t="shared" si="477"/>
        <v>556.6</v>
      </c>
      <c r="AH97" s="459"/>
      <c r="AI97" s="460">
        <v>556.6</v>
      </c>
      <c r="AJ97" s="459"/>
      <c r="AK97" s="461"/>
      <c r="AL97" s="459">
        <f t="shared" si="478"/>
        <v>242</v>
      </c>
      <c r="AM97" s="459"/>
      <c r="AN97" s="460">
        <v>242</v>
      </c>
      <c r="AO97" s="459"/>
      <c r="AP97" s="461"/>
      <c r="AQ97" s="398" t="s">
        <v>425</v>
      </c>
      <c r="AR97" s="459">
        <f t="shared" si="479"/>
        <v>1640.769</v>
      </c>
      <c r="AS97" s="459"/>
      <c r="AT97" s="462">
        <f>1749.9-109.131</f>
        <v>1640.769</v>
      </c>
      <c r="AU97" s="459"/>
      <c r="AV97" s="461"/>
      <c r="AW97" s="459" t="e">
        <f t="shared" si="480"/>
        <v>#REF!</v>
      </c>
      <c r="AX97" s="459" t="e">
        <f>#REF!-AS97</f>
        <v>#REF!</v>
      </c>
      <c r="AY97" s="459" t="e">
        <f>#REF!-AT97</f>
        <v>#REF!</v>
      </c>
      <c r="AZ97" s="459" t="e">
        <f>#REF!-AU97</f>
        <v>#REF!</v>
      </c>
      <c r="BA97" s="459" t="e">
        <f>#REF!-AV97</f>
        <v>#REF!</v>
      </c>
      <c r="BB97" s="459">
        <f t="shared" si="481"/>
        <v>556.6</v>
      </c>
      <c r="BC97" s="459"/>
      <c r="BD97" s="460">
        <f>242+314.6</f>
        <v>556.6</v>
      </c>
      <c r="BE97" s="459"/>
      <c r="BF97" s="461"/>
      <c r="BG97" s="459">
        <f t="shared" si="482"/>
        <v>0</v>
      </c>
      <c r="BH97" s="459"/>
      <c r="BI97" s="460"/>
      <c r="BJ97" s="459"/>
      <c r="BK97" s="461"/>
      <c r="BL97" s="459">
        <f t="shared" si="483"/>
        <v>1640.7689999999998</v>
      </c>
      <c r="BM97" s="459"/>
      <c r="BN97" s="460">
        <f>470.9+1169.869</f>
        <v>1640.7689999999998</v>
      </c>
      <c r="BO97" s="459"/>
      <c r="BP97" s="470"/>
      <c r="BQ97" s="459">
        <f t="shared" si="505"/>
        <v>1640.7689999999998</v>
      </c>
      <c r="BR97" s="459"/>
      <c r="BS97" s="460">
        <f>470.9+1169.869</f>
        <v>1640.7689999999998</v>
      </c>
      <c r="BT97" s="459"/>
      <c r="BU97" s="470"/>
      <c r="BV97" s="459">
        <f t="shared" si="484"/>
        <v>183.75063999999998</v>
      </c>
      <c r="BW97" s="459"/>
      <c r="BX97" s="459">
        <f>52.7368+131.01384</f>
        <v>183.75063999999998</v>
      </c>
      <c r="BY97" s="459"/>
      <c r="BZ97" s="459"/>
      <c r="CA97" s="464">
        <f t="shared" si="485"/>
        <v>1824.5196399999998</v>
      </c>
      <c r="CB97" s="459">
        <f t="shared" si="486"/>
        <v>1824.5196399999998</v>
      </c>
      <c r="CC97" s="459">
        <f t="shared" si="487"/>
        <v>0</v>
      </c>
      <c r="CD97" s="459">
        <f t="shared" si="487"/>
        <v>1824.5196399999998</v>
      </c>
      <c r="CE97" s="459">
        <f t="shared" si="487"/>
        <v>0</v>
      </c>
      <c r="CF97" s="459">
        <f t="shared" si="487"/>
        <v>0</v>
      </c>
      <c r="CG97" s="459">
        <f t="shared" si="488"/>
        <v>0</v>
      </c>
      <c r="CH97" s="459">
        <f t="shared" si="489"/>
        <v>0</v>
      </c>
      <c r="CI97" s="459">
        <f t="shared" si="489"/>
        <v>0</v>
      </c>
      <c r="CJ97" s="459">
        <f t="shared" si="489"/>
        <v>0</v>
      </c>
      <c r="CK97" s="459">
        <f t="shared" si="489"/>
        <v>0</v>
      </c>
      <c r="CL97" s="465"/>
      <c r="CM97" s="466"/>
      <c r="CN97" s="466"/>
      <c r="CO97" s="459">
        <f t="shared" si="490"/>
        <v>0</v>
      </c>
      <c r="CP97" s="459"/>
      <c r="CQ97" s="460"/>
      <c r="CR97" s="459"/>
      <c r="CS97" s="461"/>
      <c r="CT97" s="459">
        <f t="shared" si="491"/>
        <v>0</v>
      </c>
      <c r="CU97" s="459"/>
      <c r="CV97" s="460"/>
      <c r="CW97" s="459"/>
      <c r="CX97" s="461"/>
      <c r="CY97" s="459">
        <f t="shared" si="492"/>
        <v>0</v>
      </c>
      <c r="CZ97" s="459">
        <f t="shared" si="493"/>
        <v>0</v>
      </c>
      <c r="DA97" s="459">
        <f t="shared" si="493"/>
        <v>0</v>
      </c>
      <c r="DB97" s="459">
        <f t="shared" si="493"/>
        <v>0</v>
      </c>
      <c r="DC97" s="459">
        <f t="shared" si="493"/>
        <v>0</v>
      </c>
      <c r="DD97" s="459"/>
      <c r="DE97" s="459"/>
      <c r="DF97" s="459"/>
      <c r="DG97" s="459">
        <f t="shared" si="494"/>
        <v>0</v>
      </c>
      <c r="DH97" s="467"/>
      <c r="DI97" s="459">
        <f t="shared" si="495"/>
        <v>1640.7689999999998</v>
      </c>
      <c r="DJ97" s="459">
        <f t="shared" si="496"/>
        <v>1640.7689999999998</v>
      </c>
      <c r="DK97" s="467"/>
      <c r="DL97" s="459"/>
      <c r="DM97" s="459"/>
      <c r="DN97" s="467"/>
      <c r="DO97" s="459"/>
      <c r="DP97" s="467"/>
      <c r="DQ97" s="467"/>
      <c r="DR97" s="459">
        <f t="shared" si="322"/>
        <v>1640.7689999999998</v>
      </c>
      <c r="DS97" s="459"/>
      <c r="DT97" s="460">
        <f>470.9+1169.869</f>
        <v>1640.7689999999998</v>
      </c>
      <c r="DU97" s="459"/>
      <c r="DV97" s="470"/>
      <c r="DW97" s="459">
        <f t="shared" si="323"/>
        <v>183.75063999999998</v>
      </c>
      <c r="DX97" s="459"/>
      <c r="DY97" s="459">
        <f>52.7368+131.01384</f>
        <v>183.75063999999998</v>
      </c>
      <c r="DZ97" s="459"/>
      <c r="EA97" s="146"/>
      <c r="EB97" s="279"/>
      <c r="EC97" s="279"/>
      <c r="ED97" s="279"/>
      <c r="EE97" s="366"/>
      <c r="EF97" s="366"/>
      <c r="EG97" s="279"/>
      <c r="EH97" s="279"/>
      <c r="EI97" s="279"/>
      <c r="EJ97" s="366"/>
      <c r="EK97" s="366"/>
      <c r="EL97" s="366">
        <v>3.0200000000000001E-2</v>
      </c>
      <c r="EM97" s="280"/>
      <c r="EN97" s="279"/>
      <c r="EO97" s="265" t="e">
        <f t="shared" si="497"/>
        <v>#DIV/0!</v>
      </c>
      <c r="EP97" s="323">
        <f t="shared" si="335"/>
        <v>1824.51964</v>
      </c>
      <c r="EQ97" s="323">
        <f t="shared" si="349"/>
        <v>1640.769</v>
      </c>
      <c r="ER97" s="323">
        <v>183.75064</v>
      </c>
      <c r="ES97" s="358">
        <f t="shared" si="498"/>
        <v>0.89928820936123222</v>
      </c>
      <c r="ET97" s="358">
        <f t="shared" si="499"/>
        <v>0.10071179063876781</v>
      </c>
      <c r="EU97" s="323">
        <f t="shared" si="336"/>
        <v>1824.5196399999998</v>
      </c>
      <c r="EV97" s="323">
        <f t="shared" si="500"/>
        <v>1640.7689999999998</v>
      </c>
      <c r="EW97" s="323">
        <f t="shared" si="501"/>
        <v>183.75063999999998</v>
      </c>
      <c r="EX97" s="358">
        <f t="shared" si="502"/>
        <v>0.89928820936123222</v>
      </c>
      <c r="EY97" s="358">
        <f t="shared" si="503"/>
        <v>0.1007117906387678</v>
      </c>
      <c r="EZ97" s="358">
        <v>0.1007</v>
      </c>
      <c r="FA97" s="323">
        <f t="shared" si="504"/>
        <v>1640.7689999999998</v>
      </c>
      <c r="FB97" s="323">
        <f t="shared" si="337"/>
        <v>0</v>
      </c>
      <c r="FC97" s="279"/>
      <c r="FD97" s="279"/>
      <c r="FE97" s="279"/>
      <c r="FF97" s="366"/>
      <c r="FG97" s="366"/>
      <c r="FH97" s="279"/>
      <c r="FI97" s="279"/>
      <c r="FJ97" s="279"/>
      <c r="FK97" s="366"/>
      <c r="FL97" s="366"/>
      <c r="FM97" s="366">
        <v>0.1007</v>
      </c>
      <c r="FN97" s="280"/>
      <c r="FO97" s="279"/>
    </row>
    <row r="98" spans="2:171" s="40" customFormat="1" ht="15.75" customHeight="1" x14ac:dyDescent="0.25">
      <c r="B98" s="32"/>
      <c r="C98" s="33"/>
      <c r="D98" s="33">
        <v>1</v>
      </c>
      <c r="E98" s="434">
        <v>80</v>
      </c>
      <c r="F98" s="32"/>
      <c r="G98" s="33"/>
      <c r="H98" s="33">
        <v>1</v>
      </c>
      <c r="M98" s="434">
        <v>77</v>
      </c>
      <c r="N98" s="435" t="s">
        <v>103</v>
      </c>
      <c r="O98" s="435"/>
      <c r="P98" s="24">
        <f t="shared" si="334"/>
        <v>0</v>
      </c>
      <c r="Q98" s="435"/>
      <c r="R98" s="435"/>
      <c r="S98" s="435"/>
      <c r="T98" s="435"/>
      <c r="U98" s="161">
        <v>1</v>
      </c>
      <c r="V98" s="434">
        <v>1</v>
      </c>
      <c r="W98" s="459">
        <f t="shared" si="475"/>
        <v>5000</v>
      </c>
      <c r="X98" s="459"/>
      <c r="Y98" s="460">
        <v>0</v>
      </c>
      <c r="Z98" s="459">
        <v>5000</v>
      </c>
      <c r="AA98" s="461"/>
      <c r="AB98" s="459">
        <f t="shared" si="476"/>
        <v>1317.9</v>
      </c>
      <c r="AC98" s="459"/>
      <c r="AD98" s="460">
        <v>1317.9</v>
      </c>
      <c r="AE98" s="459"/>
      <c r="AF98" s="461"/>
      <c r="AG98" s="459">
        <f t="shared" si="477"/>
        <v>1317.9</v>
      </c>
      <c r="AH98" s="459"/>
      <c r="AI98" s="460">
        <v>1317.9</v>
      </c>
      <c r="AJ98" s="459"/>
      <c r="AK98" s="461"/>
      <c r="AL98" s="459">
        <f t="shared" si="478"/>
        <v>573</v>
      </c>
      <c r="AM98" s="459"/>
      <c r="AN98" s="460">
        <v>573</v>
      </c>
      <c r="AO98" s="459"/>
      <c r="AP98" s="461"/>
      <c r="AQ98" s="383" t="s">
        <v>522</v>
      </c>
      <c r="AR98" s="459">
        <f t="shared" si="479"/>
        <v>5000</v>
      </c>
      <c r="AS98" s="459"/>
      <c r="AT98" s="462"/>
      <c r="AU98" s="459">
        <v>5000</v>
      </c>
      <c r="AV98" s="459"/>
      <c r="AW98" s="459" t="e">
        <f t="shared" si="480"/>
        <v>#REF!</v>
      </c>
      <c r="AX98" s="459" t="e">
        <f>#REF!-AS98</f>
        <v>#REF!</v>
      </c>
      <c r="AY98" s="459" t="e">
        <f>#REF!-AT98</f>
        <v>#REF!</v>
      </c>
      <c r="AZ98" s="459" t="e">
        <f>#REF!-AU98</f>
        <v>#REF!</v>
      </c>
      <c r="BA98" s="459" t="e">
        <f>#REF!-AV98</f>
        <v>#REF!</v>
      </c>
      <c r="BB98" s="459">
        <f t="shared" si="481"/>
        <v>1317.9</v>
      </c>
      <c r="BC98" s="459"/>
      <c r="BD98" s="460">
        <v>1317.9</v>
      </c>
      <c r="BE98" s="459"/>
      <c r="BF98" s="459"/>
      <c r="BG98" s="459">
        <f t="shared" si="482"/>
        <v>0</v>
      </c>
      <c r="BH98" s="459"/>
      <c r="BI98" s="460"/>
      <c r="BJ98" s="459"/>
      <c r="BK98" s="459"/>
      <c r="BL98" s="459">
        <f t="shared" si="483"/>
        <v>0</v>
      </c>
      <c r="BM98" s="459"/>
      <c r="BN98" s="460"/>
      <c r="BO98" s="459"/>
      <c r="BP98" s="459"/>
      <c r="BQ98" s="459">
        <f t="shared" si="505"/>
        <v>0</v>
      </c>
      <c r="BR98" s="459"/>
      <c r="BS98" s="460"/>
      <c r="BT98" s="459"/>
      <c r="BU98" s="459"/>
      <c r="BV98" s="459">
        <f t="shared" si="484"/>
        <v>0</v>
      </c>
      <c r="BW98" s="459"/>
      <c r="BX98" s="459"/>
      <c r="BY98" s="459"/>
      <c r="BZ98" s="459"/>
      <c r="CA98" s="464">
        <f t="shared" si="485"/>
        <v>0</v>
      </c>
      <c r="CB98" s="459">
        <f t="shared" si="486"/>
        <v>0</v>
      </c>
      <c r="CC98" s="459">
        <f t="shared" si="487"/>
        <v>0</v>
      </c>
      <c r="CD98" s="459">
        <f t="shared" si="487"/>
        <v>0</v>
      </c>
      <c r="CE98" s="459">
        <f t="shared" si="487"/>
        <v>0</v>
      </c>
      <c r="CF98" s="459">
        <f t="shared" si="487"/>
        <v>0</v>
      </c>
      <c r="CG98" s="459">
        <f t="shared" si="488"/>
        <v>0</v>
      </c>
      <c r="CH98" s="459">
        <f t="shared" si="489"/>
        <v>0</v>
      </c>
      <c r="CI98" s="459">
        <f t="shared" si="489"/>
        <v>0</v>
      </c>
      <c r="CJ98" s="459">
        <f t="shared" si="489"/>
        <v>0</v>
      </c>
      <c r="CK98" s="459">
        <f t="shared" si="489"/>
        <v>0</v>
      </c>
      <c r="CL98" s="465"/>
      <c r="CM98" s="466"/>
      <c r="CN98" s="466"/>
      <c r="CO98" s="459">
        <f t="shared" si="490"/>
        <v>0</v>
      </c>
      <c r="CP98" s="459"/>
      <c r="CQ98" s="460"/>
      <c r="CR98" s="459"/>
      <c r="CS98" s="459"/>
      <c r="CT98" s="459">
        <f t="shared" si="491"/>
        <v>0</v>
      </c>
      <c r="CU98" s="459"/>
      <c r="CV98" s="460"/>
      <c r="CW98" s="459"/>
      <c r="CX98" s="459"/>
      <c r="CY98" s="459">
        <f t="shared" si="492"/>
        <v>0</v>
      </c>
      <c r="CZ98" s="459">
        <f t="shared" si="493"/>
        <v>0</v>
      </c>
      <c r="DA98" s="459">
        <f t="shared" si="493"/>
        <v>0</v>
      </c>
      <c r="DB98" s="459">
        <f t="shared" si="493"/>
        <v>0</v>
      </c>
      <c r="DC98" s="459">
        <f t="shared" si="493"/>
        <v>0</v>
      </c>
      <c r="DD98" s="459"/>
      <c r="DE98" s="459"/>
      <c r="DF98" s="459"/>
      <c r="DG98" s="459">
        <f t="shared" si="494"/>
        <v>0</v>
      </c>
      <c r="DH98" s="467"/>
      <c r="DI98" s="459">
        <f t="shared" si="495"/>
        <v>0</v>
      </c>
      <c r="DJ98" s="459">
        <f t="shared" si="496"/>
        <v>0</v>
      </c>
      <c r="DK98" s="467"/>
      <c r="DL98" s="459"/>
      <c r="DM98" s="459"/>
      <c r="DN98" s="467"/>
      <c r="DO98" s="459"/>
      <c r="DP98" s="467"/>
      <c r="DQ98" s="467"/>
      <c r="DR98" s="459">
        <f t="shared" si="322"/>
        <v>0</v>
      </c>
      <c r="DS98" s="459"/>
      <c r="DT98" s="460"/>
      <c r="DU98" s="459"/>
      <c r="DV98" s="459"/>
      <c r="DW98" s="459">
        <f t="shared" si="323"/>
        <v>0</v>
      </c>
      <c r="DX98" s="459"/>
      <c r="DY98" s="459"/>
      <c r="DZ98" s="459"/>
      <c r="EA98" s="146"/>
      <c r="EB98" s="279"/>
      <c r="EC98" s="279"/>
      <c r="ED98" s="279"/>
      <c r="EE98" s="366"/>
      <c r="EF98" s="366"/>
      <c r="EG98" s="279"/>
      <c r="EH98" s="279"/>
      <c r="EI98" s="279"/>
      <c r="EJ98" s="366"/>
      <c r="EK98" s="366"/>
      <c r="EL98" s="366">
        <v>2.5000000000000001E-2</v>
      </c>
      <c r="EM98" s="280"/>
      <c r="EN98" s="279"/>
      <c r="EO98" s="265" t="e">
        <f t="shared" si="497"/>
        <v>#DIV/0!</v>
      </c>
      <c r="EP98" s="323">
        <f t="shared" si="335"/>
        <v>0</v>
      </c>
      <c r="EQ98" s="323">
        <f t="shared" si="349"/>
        <v>0</v>
      </c>
      <c r="ER98" s="323"/>
      <c r="ES98" s="358"/>
      <c r="ET98" s="358"/>
      <c r="EU98" s="323">
        <f t="shared" si="336"/>
        <v>0</v>
      </c>
      <c r="EV98" s="323">
        <f t="shared" si="500"/>
        <v>0</v>
      </c>
      <c r="EW98" s="323">
        <f t="shared" si="501"/>
        <v>0</v>
      </c>
      <c r="EX98" s="358"/>
      <c r="EY98" s="358"/>
      <c r="EZ98" s="358">
        <v>8.3299999999999999E-2</v>
      </c>
      <c r="FA98" s="323">
        <f t="shared" si="504"/>
        <v>0</v>
      </c>
      <c r="FB98" s="323">
        <f t="shared" si="337"/>
        <v>0</v>
      </c>
      <c r="FC98" s="279">
        <f t="shared" ref="FC98" si="506">FD98+FE98</f>
        <v>5968.6189999999997</v>
      </c>
      <c r="FD98" s="279">
        <f t="shared" ref="FD98" si="507">AU98</f>
        <v>5000</v>
      </c>
      <c r="FE98" s="279">
        <v>968.61900000000003</v>
      </c>
      <c r="FF98" s="366">
        <f t="shared" ref="FF98" si="508">FD98/FC98</f>
        <v>0.83771472094298538</v>
      </c>
      <c r="FG98" s="366">
        <f t="shared" ref="FG98" si="509">FE98/FC98</f>
        <v>0.1622852790570147</v>
      </c>
      <c r="FH98" s="279">
        <f t="shared" ref="FH98" si="510">FI98+FJ98</f>
        <v>0</v>
      </c>
      <c r="FI98" s="279">
        <f t="shared" ref="FI98" si="511">DU98</f>
        <v>0</v>
      </c>
      <c r="FJ98" s="279">
        <f t="shared" ref="FJ98" si="512">DZ98</f>
        <v>0</v>
      </c>
      <c r="FK98" s="366" t="e">
        <f t="shared" ref="FK98" si="513">FI98/FH98</f>
        <v>#DIV/0!</v>
      </c>
      <c r="FL98" s="366" t="e">
        <f t="shared" ref="FL98" si="514">FJ98/FH98</f>
        <v>#DIV/0!</v>
      </c>
      <c r="FM98" s="366">
        <v>8.3299999999999999E-2</v>
      </c>
      <c r="FN98" s="280">
        <f t="shared" ref="FN98" si="515">FH98*FF98</f>
        <v>0</v>
      </c>
      <c r="FO98" s="279">
        <f t="shared" ref="FO98" si="516">FI98-FN98</f>
        <v>0</v>
      </c>
    </row>
    <row r="99" spans="2:171" s="40" customFormat="1" ht="15.6" customHeight="1" x14ac:dyDescent="0.25">
      <c r="B99" s="32"/>
      <c r="C99" s="33"/>
      <c r="D99" s="33">
        <v>1</v>
      </c>
      <c r="E99" s="434">
        <v>81</v>
      </c>
      <c r="F99" s="32"/>
      <c r="G99" s="33"/>
      <c r="H99" s="33">
        <v>1</v>
      </c>
      <c r="M99" s="434">
        <v>78</v>
      </c>
      <c r="N99" s="435" t="s">
        <v>104</v>
      </c>
      <c r="O99" s="435"/>
      <c r="P99" s="24">
        <f t="shared" si="334"/>
        <v>0</v>
      </c>
      <c r="Q99" s="435"/>
      <c r="R99" s="435"/>
      <c r="S99" s="435"/>
      <c r="T99" s="435"/>
      <c r="U99" s="161"/>
      <c r="V99" s="434"/>
      <c r="W99" s="459">
        <f t="shared" si="475"/>
        <v>0</v>
      </c>
      <c r="X99" s="459"/>
      <c r="Y99" s="460">
        <v>0</v>
      </c>
      <c r="Z99" s="459"/>
      <c r="AA99" s="461"/>
      <c r="AB99" s="459">
        <f t="shared" si="476"/>
        <v>485.3</v>
      </c>
      <c r="AC99" s="459"/>
      <c r="AD99" s="460">
        <v>485.3</v>
      </c>
      <c r="AE99" s="459"/>
      <c r="AF99" s="461"/>
      <c r="AG99" s="459">
        <f t="shared" si="477"/>
        <v>485.3</v>
      </c>
      <c r="AH99" s="459"/>
      <c r="AI99" s="460">
        <v>485.3</v>
      </c>
      <c r="AJ99" s="459"/>
      <c r="AK99" s="461"/>
      <c r="AL99" s="459">
        <f t="shared" si="478"/>
        <v>211</v>
      </c>
      <c r="AM99" s="459"/>
      <c r="AN99" s="460">
        <v>211</v>
      </c>
      <c r="AO99" s="459"/>
      <c r="AP99" s="461"/>
      <c r="AQ99" s="383"/>
      <c r="AR99" s="459">
        <f t="shared" si="479"/>
        <v>0</v>
      </c>
      <c r="AS99" s="459"/>
      <c r="AT99" s="462"/>
      <c r="AU99" s="459"/>
      <c r="AV99" s="459"/>
      <c r="AW99" s="459" t="e">
        <f t="shared" si="480"/>
        <v>#REF!</v>
      </c>
      <c r="AX99" s="459" t="e">
        <f>#REF!-AS99</f>
        <v>#REF!</v>
      </c>
      <c r="AY99" s="459" t="e">
        <f>#REF!-AT99</f>
        <v>#REF!</v>
      </c>
      <c r="AZ99" s="459" t="e">
        <f>#REF!-AU99</f>
        <v>#REF!</v>
      </c>
      <c r="BA99" s="459" t="e">
        <f>#REF!-AV99</f>
        <v>#REF!</v>
      </c>
      <c r="BB99" s="459">
        <f t="shared" si="481"/>
        <v>485.3</v>
      </c>
      <c r="BC99" s="459"/>
      <c r="BD99" s="460">
        <f>211+274.3</f>
        <v>485.3</v>
      </c>
      <c r="BE99" s="459"/>
      <c r="BF99" s="459"/>
      <c r="BG99" s="459">
        <f t="shared" si="482"/>
        <v>0</v>
      </c>
      <c r="BH99" s="459"/>
      <c r="BI99" s="460"/>
      <c r="BJ99" s="459"/>
      <c r="BK99" s="459"/>
      <c r="BL99" s="459">
        <f t="shared" si="483"/>
        <v>0</v>
      </c>
      <c r="BM99" s="459"/>
      <c r="BN99" s="460"/>
      <c r="BO99" s="459"/>
      <c r="BP99" s="459"/>
      <c r="BQ99" s="459">
        <f t="shared" si="505"/>
        <v>0</v>
      </c>
      <c r="BR99" s="459"/>
      <c r="BS99" s="460"/>
      <c r="BT99" s="459"/>
      <c r="BU99" s="459"/>
      <c r="BV99" s="459">
        <f t="shared" si="484"/>
        <v>0</v>
      </c>
      <c r="BW99" s="459"/>
      <c r="BX99" s="459"/>
      <c r="BY99" s="459"/>
      <c r="BZ99" s="459"/>
      <c r="CA99" s="464">
        <f t="shared" si="485"/>
        <v>0</v>
      </c>
      <c r="CB99" s="459">
        <f t="shared" si="486"/>
        <v>0</v>
      </c>
      <c r="CC99" s="459">
        <f t="shared" si="487"/>
        <v>0</v>
      </c>
      <c r="CD99" s="459">
        <f t="shared" si="487"/>
        <v>0</v>
      </c>
      <c r="CE99" s="459">
        <f t="shared" si="487"/>
        <v>0</v>
      </c>
      <c r="CF99" s="459">
        <f t="shared" si="487"/>
        <v>0</v>
      </c>
      <c r="CG99" s="459">
        <f t="shared" si="488"/>
        <v>0</v>
      </c>
      <c r="CH99" s="459">
        <f t="shared" si="489"/>
        <v>0</v>
      </c>
      <c r="CI99" s="459">
        <f t="shared" si="489"/>
        <v>0</v>
      </c>
      <c r="CJ99" s="459">
        <f t="shared" si="489"/>
        <v>0</v>
      </c>
      <c r="CK99" s="459">
        <f t="shared" si="489"/>
        <v>0</v>
      </c>
      <c r="CL99" s="465"/>
      <c r="CM99" s="466"/>
      <c r="CN99" s="466"/>
      <c r="CO99" s="459">
        <f t="shared" si="490"/>
        <v>0</v>
      </c>
      <c r="CP99" s="459"/>
      <c r="CQ99" s="460"/>
      <c r="CR99" s="459"/>
      <c r="CS99" s="459"/>
      <c r="CT99" s="459">
        <f t="shared" si="491"/>
        <v>0</v>
      </c>
      <c r="CU99" s="459"/>
      <c r="CV99" s="460"/>
      <c r="CW99" s="459"/>
      <c r="CX99" s="459"/>
      <c r="CY99" s="459">
        <f t="shared" si="492"/>
        <v>0</v>
      </c>
      <c r="CZ99" s="459">
        <f t="shared" si="493"/>
        <v>0</v>
      </c>
      <c r="DA99" s="459">
        <f t="shared" si="493"/>
        <v>0</v>
      </c>
      <c r="DB99" s="459">
        <f t="shared" si="493"/>
        <v>0</v>
      </c>
      <c r="DC99" s="459">
        <f t="shared" si="493"/>
        <v>0</v>
      </c>
      <c r="DD99" s="459"/>
      <c r="DE99" s="459"/>
      <c r="DF99" s="459"/>
      <c r="DG99" s="459">
        <f t="shared" si="494"/>
        <v>0</v>
      </c>
      <c r="DH99" s="467"/>
      <c r="DI99" s="459">
        <f t="shared" si="495"/>
        <v>0</v>
      </c>
      <c r="DJ99" s="459">
        <f t="shared" si="496"/>
        <v>0</v>
      </c>
      <c r="DK99" s="467"/>
      <c r="DL99" s="459"/>
      <c r="DM99" s="459"/>
      <c r="DN99" s="467"/>
      <c r="DO99" s="459"/>
      <c r="DP99" s="467"/>
      <c r="DQ99" s="467"/>
      <c r="DR99" s="459">
        <f t="shared" si="322"/>
        <v>0</v>
      </c>
      <c r="DS99" s="459"/>
      <c r="DT99" s="460"/>
      <c r="DU99" s="459"/>
      <c r="DV99" s="459"/>
      <c r="DW99" s="459">
        <f t="shared" si="323"/>
        <v>0</v>
      </c>
      <c r="DX99" s="459"/>
      <c r="DY99" s="459"/>
      <c r="DZ99" s="459"/>
      <c r="EA99" s="146"/>
      <c r="EB99" s="279"/>
      <c r="EC99" s="279"/>
      <c r="ED99" s="279"/>
      <c r="EE99" s="366"/>
      <c r="EF99" s="366"/>
      <c r="EG99" s="279"/>
      <c r="EH99" s="279"/>
      <c r="EI99" s="279"/>
      <c r="EJ99" s="366"/>
      <c r="EK99" s="366"/>
      <c r="EL99" s="366">
        <v>2.4500000000000001E-2</v>
      </c>
      <c r="EM99" s="280"/>
      <c r="EN99" s="279"/>
      <c r="EO99" s="265" t="e">
        <f t="shared" si="497"/>
        <v>#DIV/0!</v>
      </c>
      <c r="EP99" s="323">
        <f t="shared" si="335"/>
        <v>0</v>
      </c>
      <c r="EQ99" s="323">
        <f t="shared" si="349"/>
        <v>0</v>
      </c>
      <c r="ER99" s="323"/>
      <c r="ES99" s="358"/>
      <c r="ET99" s="358"/>
      <c r="EU99" s="323">
        <f t="shared" si="336"/>
        <v>0</v>
      </c>
      <c r="EV99" s="323">
        <f t="shared" si="500"/>
        <v>0</v>
      </c>
      <c r="EW99" s="323">
        <f t="shared" si="501"/>
        <v>0</v>
      </c>
      <c r="EX99" s="358"/>
      <c r="EY99" s="358"/>
      <c r="EZ99" s="358">
        <v>8.1799999999999998E-2</v>
      </c>
      <c r="FA99" s="323">
        <f t="shared" si="504"/>
        <v>0</v>
      </c>
      <c r="FB99" s="323">
        <f t="shared" si="337"/>
        <v>0</v>
      </c>
      <c r="FC99" s="279"/>
      <c r="FD99" s="279"/>
      <c r="FE99" s="279"/>
      <c r="FF99" s="366"/>
      <c r="FG99" s="366"/>
      <c r="FH99" s="279"/>
      <c r="FI99" s="279"/>
      <c r="FJ99" s="279"/>
      <c r="FK99" s="366"/>
      <c r="FL99" s="366"/>
      <c r="FM99" s="366">
        <v>8.1799999999999998E-2</v>
      </c>
      <c r="FN99" s="280"/>
      <c r="FO99" s="279"/>
    </row>
    <row r="100" spans="2:171" s="40" customFormat="1" ht="15.6" customHeight="1" x14ac:dyDescent="0.25">
      <c r="B100" s="32"/>
      <c r="C100" s="33">
        <v>1</v>
      </c>
      <c r="D100" s="33"/>
      <c r="E100" s="434">
        <v>82</v>
      </c>
      <c r="F100" s="32"/>
      <c r="G100" s="33"/>
      <c r="H100" s="33">
        <v>1</v>
      </c>
      <c r="M100" s="434">
        <v>79</v>
      </c>
      <c r="N100" s="435" t="s">
        <v>180</v>
      </c>
      <c r="O100" s="435"/>
      <c r="P100" s="24">
        <f t="shared" si="334"/>
        <v>0</v>
      </c>
      <c r="Q100" s="435" t="s">
        <v>491</v>
      </c>
      <c r="R100" s="435" t="s">
        <v>488</v>
      </c>
      <c r="S100" s="435" t="s">
        <v>491</v>
      </c>
      <c r="T100" s="435" t="s">
        <v>488</v>
      </c>
      <c r="U100" s="161">
        <v>1</v>
      </c>
      <c r="V100" s="434"/>
      <c r="W100" s="459">
        <f t="shared" si="475"/>
        <v>7632.3</v>
      </c>
      <c r="X100" s="459"/>
      <c r="Y100" s="460">
        <v>5632.3</v>
      </c>
      <c r="Z100" s="459">
        <v>2000</v>
      </c>
      <c r="AA100" s="461"/>
      <c r="AB100" s="459">
        <f t="shared" si="476"/>
        <v>5543</v>
      </c>
      <c r="AC100" s="459"/>
      <c r="AD100" s="460">
        <v>5543</v>
      </c>
      <c r="AE100" s="459"/>
      <c r="AF100" s="461"/>
      <c r="AG100" s="459">
        <f t="shared" si="477"/>
        <v>5543</v>
      </c>
      <c r="AH100" s="459"/>
      <c r="AI100" s="460">
        <v>5543</v>
      </c>
      <c r="AJ100" s="459"/>
      <c r="AK100" s="461"/>
      <c r="AL100" s="459">
        <f t="shared" si="478"/>
        <v>2410</v>
      </c>
      <c r="AM100" s="459"/>
      <c r="AN100" s="460">
        <v>2410</v>
      </c>
      <c r="AO100" s="459"/>
      <c r="AP100" s="461"/>
      <c r="AQ100" s="383" t="s">
        <v>382</v>
      </c>
      <c r="AR100" s="459">
        <f t="shared" si="479"/>
        <v>7632.3</v>
      </c>
      <c r="AS100" s="459"/>
      <c r="AT100" s="462">
        <v>5632.3</v>
      </c>
      <c r="AU100" s="459">
        <v>2000</v>
      </c>
      <c r="AV100" s="459"/>
      <c r="AW100" s="459" t="e">
        <f t="shared" si="480"/>
        <v>#REF!</v>
      </c>
      <c r="AX100" s="459" t="e">
        <f>#REF!-AS100</f>
        <v>#REF!</v>
      </c>
      <c r="AY100" s="459" t="e">
        <f>#REF!-AT100</f>
        <v>#REF!</v>
      </c>
      <c r="AZ100" s="459" t="e">
        <f>#REF!-AU100</f>
        <v>#REF!</v>
      </c>
      <c r="BA100" s="459" t="e">
        <f>#REF!-AV100</f>
        <v>#REF!</v>
      </c>
      <c r="BB100" s="459">
        <f t="shared" si="481"/>
        <v>5543</v>
      </c>
      <c r="BC100" s="459"/>
      <c r="BD100" s="460">
        <v>5543</v>
      </c>
      <c r="BE100" s="459"/>
      <c r="BF100" s="459"/>
      <c r="BG100" s="459">
        <f t="shared" si="482"/>
        <v>0</v>
      </c>
      <c r="BH100" s="459"/>
      <c r="BI100" s="459"/>
      <c r="BJ100" s="459"/>
      <c r="BK100" s="459"/>
      <c r="BL100" s="459">
        <f t="shared" si="483"/>
        <v>7632.3</v>
      </c>
      <c r="BM100" s="459"/>
      <c r="BN100" s="460">
        <f>3512.607+2119.693</f>
        <v>5632.3</v>
      </c>
      <c r="BO100" s="459">
        <f>993.605+1006.395</f>
        <v>2000</v>
      </c>
      <c r="BP100" s="459"/>
      <c r="BQ100" s="459">
        <f t="shared" si="505"/>
        <v>7632.3</v>
      </c>
      <c r="BR100" s="459"/>
      <c r="BS100" s="460">
        <f>3512.607+2119.693</f>
        <v>5632.3</v>
      </c>
      <c r="BT100" s="459">
        <f>993.605+1006.395</f>
        <v>2000</v>
      </c>
      <c r="BU100" s="459"/>
      <c r="BV100" s="459">
        <f t="shared" si="484"/>
        <v>1306.4380000000001</v>
      </c>
      <c r="BW100" s="459"/>
      <c r="BX100" s="459">
        <f>378.4+228.346</f>
        <v>606.74599999999998</v>
      </c>
      <c r="BY100" s="459">
        <f>352.085+347.607</f>
        <v>699.69200000000001</v>
      </c>
      <c r="BZ100" s="459"/>
      <c r="CA100" s="464">
        <f t="shared" si="485"/>
        <v>8938.7380000000012</v>
      </c>
      <c r="CB100" s="459">
        <f t="shared" si="486"/>
        <v>8938.7380000000012</v>
      </c>
      <c r="CC100" s="459">
        <f t="shared" si="487"/>
        <v>0</v>
      </c>
      <c r="CD100" s="459">
        <f t="shared" si="487"/>
        <v>6239.0460000000003</v>
      </c>
      <c r="CE100" s="459">
        <f t="shared" si="487"/>
        <v>2699.692</v>
      </c>
      <c r="CF100" s="459">
        <f t="shared" si="487"/>
        <v>0</v>
      </c>
      <c r="CG100" s="459">
        <f t="shared" si="488"/>
        <v>0</v>
      </c>
      <c r="CH100" s="459">
        <f t="shared" si="489"/>
        <v>0</v>
      </c>
      <c r="CI100" s="459">
        <f t="shared" si="489"/>
        <v>0</v>
      </c>
      <c r="CJ100" s="459">
        <f t="shared" si="489"/>
        <v>0</v>
      </c>
      <c r="CK100" s="459">
        <f t="shared" si="489"/>
        <v>0</v>
      </c>
      <c r="CL100" s="465"/>
      <c r="CM100" s="559">
        <f>BB100+BB101+BB102+BB105+BB110+BB113</f>
        <v>103961.78241000001</v>
      </c>
      <c r="CN100" s="559">
        <f>CM100-BG110</f>
        <v>103961.78241000001</v>
      </c>
      <c r="CO100" s="459">
        <f t="shared" si="490"/>
        <v>0</v>
      </c>
      <c r="CP100" s="459"/>
      <c r="CQ100" s="459"/>
      <c r="CR100" s="459"/>
      <c r="CS100" s="459"/>
      <c r="CT100" s="459">
        <f t="shared" si="491"/>
        <v>0</v>
      </c>
      <c r="CU100" s="459"/>
      <c r="CV100" s="459"/>
      <c r="CW100" s="459"/>
      <c r="CX100" s="459"/>
      <c r="CY100" s="459">
        <f t="shared" si="492"/>
        <v>0</v>
      </c>
      <c r="CZ100" s="459">
        <f t="shared" si="493"/>
        <v>0</v>
      </c>
      <c r="DA100" s="459">
        <f t="shared" si="493"/>
        <v>0</v>
      </c>
      <c r="DB100" s="459">
        <f t="shared" si="493"/>
        <v>0</v>
      </c>
      <c r="DC100" s="459">
        <f t="shared" si="493"/>
        <v>0</v>
      </c>
      <c r="DD100" s="459"/>
      <c r="DE100" s="459"/>
      <c r="DF100" s="459"/>
      <c r="DG100" s="459">
        <f t="shared" si="494"/>
        <v>0</v>
      </c>
      <c r="DH100" s="467"/>
      <c r="DI100" s="459">
        <f t="shared" si="495"/>
        <v>7632.3</v>
      </c>
      <c r="DJ100" s="459">
        <f t="shared" si="496"/>
        <v>7632.3</v>
      </c>
      <c r="DK100" s="467"/>
      <c r="DL100" s="560">
        <f>DJ100+DJ101+DJ102+DJ105+DJ110+DJ113</f>
        <v>101044.8976</v>
      </c>
      <c r="DM100" s="560">
        <f>DG100+DG101+DG102+DG105+DG110+DG113</f>
        <v>12918.522010000001</v>
      </c>
      <c r="DN100" s="467"/>
      <c r="DO100" s="459">
        <f>CN100-DL100</f>
        <v>2916.8848100000178</v>
      </c>
      <c r="DP100" s="467"/>
      <c r="DQ100" s="467"/>
      <c r="DR100" s="459">
        <f t="shared" si="322"/>
        <v>7632.3</v>
      </c>
      <c r="DS100" s="459"/>
      <c r="DT100" s="460">
        <f>3512.607+2119.693</f>
        <v>5632.3</v>
      </c>
      <c r="DU100" s="459">
        <f>993.605+1006.395</f>
        <v>2000</v>
      </c>
      <c r="DV100" s="459"/>
      <c r="DW100" s="459">
        <f t="shared" si="323"/>
        <v>1306.4380000000001</v>
      </c>
      <c r="DX100" s="459"/>
      <c r="DY100" s="459">
        <f>378.4+228.346</f>
        <v>606.74599999999998</v>
      </c>
      <c r="DZ100" s="459">
        <f>352.085+347.607</f>
        <v>699.69200000000001</v>
      </c>
      <c r="EA100" s="146"/>
      <c r="EB100" s="355"/>
      <c r="EC100" s="355"/>
      <c r="ED100" s="279"/>
      <c r="EE100" s="366"/>
      <c r="EF100" s="366"/>
      <c r="EG100" s="279"/>
      <c r="EH100" s="279"/>
      <c r="EI100" s="279"/>
      <c r="EJ100" s="366"/>
      <c r="EK100" s="366"/>
      <c r="EL100" s="366">
        <v>2.3599999999999999E-2</v>
      </c>
      <c r="EM100" s="280"/>
      <c r="EN100" s="279"/>
      <c r="EO100" s="265" t="e">
        <f t="shared" si="497"/>
        <v>#DIV/0!</v>
      </c>
      <c r="EP100" s="323">
        <f t="shared" si="335"/>
        <v>6239.0460000000003</v>
      </c>
      <c r="EQ100" s="323">
        <f t="shared" si="349"/>
        <v>5632.3</v>
      </c>
      <c r="ER100" s="323">
        <v>606.74599999999998</v>
      </c>
      <c r="ES100" s="358">
        <f t="shared" si="498"/>
        <v>0.90275019610369922</v>
      </c>
      <c r="ET100" s="358">
        <f t="shared" si="499"/>
        <v>9.7249803896300807E-2</v>
      </c>
      <c r="EU100" s="323">
        <f t="shared" si="336"/>
        <v>6239.0460000000003</v>
      </c>
      <c r="EV100" s="323">
        <f t="shared" si="500"/>
        <v>5632.3</v>
      </c>
      <c r="EW100" s="323">
        <f t="shared" si="501"/>
        <v>606.74599999999998</v>
      </c>
      <c r="EX100" s="358">
        <f t="shared" si="502"/>
        <v>0.90275019610369922</v>
      </c>
      <c r="EY100" s="358">
        <f t="shared" si="503"/>
        <v>9.7249803896300807E-2</v>
      </c>
      <c r="EZ100" s="358">
        <v>7.8700000000000006E-2</v>
      </c>
      <c r="FA100" s="323">
        <f t="shared" si="504"/>
        <v>5632.3</v>
      </c>
      <c r="FB100" s="323">
        <f t="shared" si="337"/>
        <v>0</v>
      </c>
      <c r="FC100" s="279">
        <f t="shared" ref="FC100" si="517">FD100+FE100</f>
        <v>2699.692</v>
      </c>
      <c r="FD100" s="279">
        <f t="shared" ref="FD100" si="518">AU100</f>
        <v>2000</v>
      </c>
      <c r="FE100" s="279">
        <v>699.69200000000001</v>
      </c>
      <c r="FF100" s="366">
        <f t="shared" ref="FF100" si="519">FD100/FC100</f>
        <v>0.7408252496951504</v>
      </c>
      <c r="FG100" s="366">
        <f t="shared" ref="FG100" si="520">FE100/FC100</f>
        <v>0.2591747503048496</v>
      </c>
      <c r="FH100" s="279">
        <f t="shared" ref="FH100" si="521">FI100+FJ100</f>
        <v>2699.692</v>
      </c>
      <c r="FI100" s="279">
        <f t="shared" ref="FI100" si="522">DU100</f>
        <v>2000</v>
      </c>
      <c r="FJ100" s="279">
        <f t="shared" ref="FJ100" si="523">DZ100</f>
        <v>699.69200000000001</v>
      </c>
      <c r="FK100" s="366">
        <f t="shared" ref="FK100" si="524">FI100/FH100</f>
        <v>0.7408252496951504</v>
      </c>
      <c r="FL100" s="366">
        <f t="shared" ref="FL100" si="525">FJ100/FH100</f>
        <v>0.2591747503048496</v>
      </c>
      <c r="FM100" s="366">
        <v>7.8700000000000006E-2</v>
      </c>
      <c r="FN100" s="280">
        <f t="shared" ref="FN100" si="526">FH100*FF100</f>
        <v>2000</v>
      </c>
      <c r="FO100" s="279">
        <f t="shared" ref="FO100" si="527">FI100-FN100</f>
        <v>0</v>
      </c>
    </row>
    <row r="101" spans="2:171" s="40" customFormat="1" ht="15.6" customHeight="1" x14ac:dyDescent="0.25">
      <c r="B101" s="32"/>
      <c r="C101" s="33">
        <v>1</v>
      </c>
      <c r="D101" s="33"/>
      <c r="E101" s="434">
        <v>83</v>
      </c>
      <c r="F101" s="32"/>
      <c r="G101" s="33">
        <v>1</v>
      </c>
      <c r="H101" s="33">
        <v>1</v>
      </c>
      <c r="M101" s="434">
        <v>80</v>
      </c>
      <c r="N101" s="435" t="s">
        <v>32</v>
      </c>
      <c r="O101" s="435" t="s">
        <v>348</v>
      </c>
      <c r="P101" s="68">
        <f t="shared" si="334"/>
        <v>12918.522010000001</v>
      </c>
      <c r="Q101" s="435" t="s">
        <v>490</v>
      </c>
      <c r="R101" s="435" t="s">
        <v>488</v>
      </c>
      <c r="S101" s="435" t="s">
        <v>490</v>
      </c>
      <c r="T101" s="435" t="s">
        <v>488</v>
      </c>
      <c r="U101" s="161">
        <v>2</v>
      </c>
      <c r="V101" s="434">
        <v>4</v>
      </c>
      <c r="W101" s="459">
        <f t="shared" si="475"/>
        <v>85377.69200000001</v>
      </c>
      <c r="X101" s="459">
        <f>71126.353-11937.613</f>
        <v>59188.740000000005</v>
      </c>
      <c r="Y101" s="460">
        <v>3184.6</v>
      </c>
      <c r="Z101" s="459">
        <f>18452.051+4570.595-18.294</f>
        <v>23004.351999999999</v>
      </c>
      <c r="AA101" s="461"/>
      <c r="AB101" s="459">
        <f t="shared" si="476"/>
        <v>110702.06200000001</v>
      </c>
      <c r="AC101" s="459">
        <v>38756</v>
      </c>
      <c r="AD101" s="460">
        <v>5901.8</v>
      </c>
      <c r="AE101" s="459">
        <v>66044.262000000002</v>
      </c>
      <c r="AF101" s="461"/>
      <c r="AG101" s="459">
        <f t="shared" si="477"/>
        <v>96434.686000000002</v>
      </c>
      <c r="AH101" s="459">
        <v>38756</v>
      </c>
      <c r="AI101" s="460">
        <v>5901.8</v>
      </c>
      <c r="AJ101" s="459">
        <v>51776.885999999999</v>
      </c>
      <c r="AK101" s="461"/>
      <c r="AL101" s="459">
        <f t="shared" si="478"/>
        <v>91915.885999999999</v>
      </c>
      <c r="AM101" s="459">
        <v>38756</v>
      </c>
      <c r="AN101" s="460">
        <v>1383</v>
      </c>
      <c r="AO101" s="459">
        <v>51776.885999999999</v>
      </c>
      <c r="AP101" s="461"/>
      <c r="AQ101" s="383" t="s">
        <v>566</v>
      </c>
      <c r="AR101" s="459">
        <f t="shared" si="479"/>
        <v>84742.708360000004</v>
      </c>
      <c r="AS101" s="459">
        <f>71126.323-11937.583</f>
        <v>59188.740000000005</v>
      </c>
      <c r="AT101" s="462">
        <f>3184.6-15.923</f>
        <v>3168.6770000000001</v>
      </c>
      <c r="AU101" s="459">
        <f>18452.051+4552.301-619.06064</f>
        <v>22385.291359999999</v>
      </c>
      <c r="AV101" s="461"/>
      <c r="AW101" s="459" t="e">
        <f t="shared" si="480"/>
        <v>#REF!</v>
      </c>
      <c r="AX101" s="459" t="e">
        <f>#REF!-AS101</f>
        <v>#REF!</v>
      </c>
      <c r="AY101" s="459" t="e">
        <f>#REF!-AT101</f>
        <v>#REF!</v>
      </c>
      <c r="AZ101" s="459" t="e">
        <f>#REF!-AU101</f>
        <v>#REF!</v>
      </c>
      <c r="BA101" s="459" t="e">
        <f>#REF!-AV101</f>
        <v>#REF!</v>
      </c>
      <c r="BB101" s="459">
        <f t="shared" si="481"/>
        <v>94860.682410000009</v>
      </c>
      <c r="BC101" s="459">
        <f>6694.64351+2772.73603+8547.91635+5668.56052</f>
        <v>23683.85641</v>
      </c>
      <c r="BD101" s="460">
        <f>1383+3749.564</f>
        <v>5132.5640000000003</v>
      </c>
      <c r="BE101" s="459">
        <f>51776.886+14267.376</f>
        <v>66044.262000000002</v>
      </c>
      <c r="BF101" s="461"/>
      <c r="BG101" s="459">
        <f t="shared" si="482"/>
        <v>0</v>
      </c>
      <c r="BH101" s="459"/>
      <c r="BI101" s="460"/>
      <c r="BJ101" s="459"/>
      <c r="BK101" s="461"/>
      <c r="BL101" s="459">
        <f t="shared" si="483"/>
        <v>84742.708360000004</v>
      </c>
      <c r="BM101" s="459">
        <f>8554.31451+10231.03817+4674.51981+2866.27632+2298.90838+5268.09932+1056.08563+8178.69868+3142.27717+12918.52201</f>
        <v>59188.740000000005</v>
      </c>
      <c r="BN101" s="460">
        <v>3168.6770000000001</v>
      </c>
      <c r="BO101" s="459">
        <f>7794.354+2979.553+7678.144+3933.24036</f>
        <v>22385.291359999999</v>
      </c>
      <c r="BP101" s="470"/>
      <c r="BQ101" s="459">
        <f t="shared" si="505"/>
        <v>71824.186350000004</v>
      </c>
      <c r="BR101" s="459">
        <f>8554.31451+10231.03817+4674.51981+2866.27632+2298.90838+6324.18495+8178.69868+3142.27717</f>
        <v>46270.217990000005</v>
      </c>
      <c r="BS101" s="460">
        <v>3168.6770000000001</v>
      </c>
      <c r="BT101" s="459">
        <f>7794.354+7678.144+2979.553+3933.24036</f>
        <v>22385.291359999999</v>
      </c>
      <c r="BU101" s="470"/>
      <c r="BV101" s="459">
        <f t="shared" si="484"/>
        <v>6848.0866000000005</v>
      </c>
      <c r="BW101" s="459">
        <f>221.14149+264.48724+120.84315+74.09742+59.43003+163.48914+211.43117+81.23634</f>
        <v>1196.15598</v>
      </c>
      <c r="BX101" s="459">
        <f>3011.47661+153.20049</f>
        <v>3164.6771000000003</v>
      </c>
      <c r="BY101" s="459">
        <f>2050.227+437.02652</f>
        <v>2487.2535199999998</v>
      </c>
      <c r="BZ101" s="459"/>
      <c r="CA101" s="464">
        <f t="shared" si="485"/>
        <v>78672.272950000013</v>
      </c>
      <c r="CB101" s="459">
        <f t="shared" si="486"/>
        <v>78672.272950000013</v>
      </c>
      <c r="CC101" s="459">
        <f t="shared" si="487"/>
        <v>47466.373970000008</v>
      </c>
      <c r="CD101" s="459">
        <f t="shared" si="487"/>
        <v>6333.3541000000005</v>
      </c>
      <c r="CE101" s="459">
        <f t="shared" si="487"/>
        <v>24872.544879999998</v>
      </c>
      <c r="CF101" s="459">
        <f t="shared" si="487"/>
        <v>0</v>
      </c>
      <c r="CG101" s="459">
        <f t="shared" si="488"/>
        <v>12918.522010000001</v>
      </c>
      <c r="CH101" s="459">
        <f t="shared" si="489"/>
        <v>12918.522010000001</v>
      </c>
      <c r="CI101" s="459">
        <f t="shared" si="489"/>
        <v>0</v>
      </c>
      <c r="CJ101" s="459">
        <f t="shared" si="489"/>
        <v>0</v>
      </c>
      <c r="CK101" s="459">
        <f t="shared" si="489"/>
        <v>0</v>
      </c>
      <c r="CL101" s="465"/>
      <c r="CM101" s="466"/>
      <c r="CN101" s="466"/>
      <c r="CO101" s="459">
        <f t="shared" si="490"/>
        <v>0</v>
      </c>
      <c r="CP101" s="459"/>
      <c r="CQ101" s="460"/>
      <c r="CR101" s="459"/>
      <c r="CS101" s="461"/>
      <c r="CT101" s="459">
        <f t="shared" si="491"/>
        <v>0</v>
      </c>
      <c r="CU101" s="459"/>
      <c r="CV101" s="460"/>
      <c r="CW101" s="459"/>
      <c r="CX101" s="461"/>
      <c r="CY101" s="459">
        <f t="shared" si="492"/>
        <v>0</v>
      </c>
      <c r="CZ101" s="459">
        <f t="shared" si="493"/>
        <v>0</v>
      </c>
      <c r="DA101" s="459">
        <f t="shared" si="493"/>
        <v>0</v>
      </c>
      <c r="DB101" s="459">
        <f t="shared" si="493"/>
        <v>0</v>
      </c>
      <c r="DC101" s="459">
        <f t="shared" si="493"/>
        <v>0</v>
      </c>
      <c r="DD101" s="459"/>
      <c r="DE101" s="459"/>
      <c r="DF101" s="459"/>
      <c r="DG101" s="459">
        <f t="shared" si="494"/>
        <v>12918.522010000001</v>
      </c>
      <c r="DH101" s="467"/>
      <c r="DI101" s="459">
        <f t="shared" si="495"/>
        <v>84742.708360000004</v>
      </c>
      <c r="DJ101" s="459">
        <f t="shared" si="496"/>
        <v>71824.186350000004</v>
      </c>
      <c r="DK101" s="467"/>
      <c r="DL101" s="459"/>
      <c r="DM101" s="459"/>
      <c r="DN101" s="467"/>
      <c r="DO101" s="459"/>
      <c r="DP101" s="467"/>
      <c r="DQ101" s="467"/>
      <c r="DR101" s="459">
        <f t="shared" si="322"/>
        <v>71824.186350000004</v>
      </c>
      <c r="DS101" s="459">
        <f>8554.31451+10231.03817+4674.51981+2866.27632+2298.90838+5268.09932+1056.08563+8178.69868+3142.27717</f>
        <v>46270.217990000005</v>
      </c>
      <c r="DT101" s="460">
        <v>3168.6770000000001</v>
      </c>
      <c r="DU101" s="459">
        <f>18452.051+3933.24036</f>
        <v>22385.291359999999</v>
      </c>
      <c r="DV101" s="470"/>
      <c r="DW101" s="459">
        <f t="shared" si="323"/>
        <v>6848.0866000000005</v>
      </c>
      <c r="DX101" s="459">
        <f>221.14149+264.48724+120.84315+74.09742+59.43003+163.48914+211.43117+81.23634</f>
        <v>1196.15598</v>
      </c>
      <c r="DY101" s="459">
        <v>3164.6770999999999</v>
      </c>
      <c r="DZ101" s="459">
        <f>2050.227+437.02652</f>
        <v>2487.2535199999998</v>
      </c>
      <c r="EA101" s="146"/>
      <c r="EB101" s="279">
        <f t="shared" ref="EB101:EB109" si="528">EC101+ED101</f>
        <v>60718.859790000002</v>
      </c>
      <c r="EC101" s="279">
        <f t="shared" si="366"/>
        <v>59188.740000000005</v>
      </c>
      <c r="ED101" s="279">
        <v>1530.11979</v>
      </c>
      <c r="EE101" s="366">
        <f t="shared" ref="EE101:EE109" si="529">EC101/EB101</f>
        <v>0.97479992550433237</v>
      </c>
      <c r="EF101" s="366">
        <f t="shared" ref="EF101:EF109" si="530">ED101/EB101</f>
        <v>2.5200074495667666E-2</v>
      </c>
      <c r="EG101" s="279">
        <f t="shared" si="368"/>
        <v>47466.373970000008</v>
      </c>
      <c r="EH101" s="279">
        <f t="shared" si="402"/>
        <v>46270.217990000005</v>
      </c>
      <c r="EI101" s="279">
        <f t="shared" si="403"/>
        <v>1196.15598</v>
      </c>
      <c r="EJ101" s="366">
        <f t="shared" ref="EJ101" si="531">EH101/EG101</f>
        <v>0.97479992929824377</v>
      </c>
      <c r="EK101" s="366">
        <f t="shared" ref="EK101" si="532">EI101/EG101</f>
        <v>2.5200070701756193E-2</v>
      </c>
      <c r="EL101" s="366">
        <v>2.4799999999999999E-2</v>
      </c>
      <c r="EM101" s="279">
        <f>EG101*EE101</f>
        <v>46270.217809916787</v>
      </c>
      <c r="EN101" s="430">
        <f>EH101-EM101</f>
        <v>1.8008321785600856E-4</v>
      </c>
      <c r="EO101" s="265">
        <f t="shared" si="497"/>
        <v>47466.373785261363</v>
      </c>
      <c r="EP101" s="323">
        <f t="shared" si="335"/>
        <v>6333.3541000000005</v>
      </c>
      <c r="EQ101" s="323">
        <f t="shared" si="349"/>
        <v>3168.6770000000001</v>
      </c>
      <c r="ER101" s="323">
        <v>3164.6770999999999</v>
      </c>
      <c r="ES101" s="358">
        <f t="shared" si="498"/>
        <v>0.50031578054351955</v>
      </c>
      <c r="ET101" s="358">
        <f t="shared" si="499"/>
        <v>0.49968421945648034</v>
      </c>
      <c r="EU101" s="323">
        <f t="shared" si="336"/>
        <v>6333.3541000000005</v>
      </c>
      <c r="EV101" s="323">
        <f t="shared" si="500"/>
        <v>3168.6770000000001</v>
      </c>
      <c r="EW101" s="323">
        <f t="shared" si="501"/>
        <v>3164.6770999999999</v>
      </c>
      <c r="EX101" s="358">
        <f t="shared" si="502"/>
        <v>0.50031578054351955</v>
      </c>
      <c r="EY101" s="358">
        <f t="shared" si="503"/>
        <v>0.49968421945648034</v>
      </c>
      <c r="EZ101" s="358">
        <v>8.2799999999999999E-2</v>
      </c>
      <c r="FA101" s="323">
        <f t="shared" si="504"/>
        <v>3168.6770000000001</v>
      </c>
      <c r="FB101" s="323">
        <f t="shared" si="337"/>
        <v>0</v>
      </c>
      <c r="FC101" s="279">
        <f t="shared" ref="FC101" si="533">FD101+FE101</f>
        <v>24872.544880000001</v>
      </c>
      <c r="FD101" s="279">
        <f t="shared" ref="FD101" si="534">AU101</f>
        <v>22385.291359999999</v>
      </c>
      <c r="FE101" s="279">
        <v>2487.2535200000002</v>
      </c>
      <c r="FF101" s="366">
        <f t="shared" ref="FF101" si="535">FD101/FC101</f>
        <v>0.90000003891841396</v>
      </c>
      <c r="FG101" s="366">
        <f t="shared" ref="FG101" si="536">FE101/FC101</f>
        <v>9.9999961081585959E-2</v>
      </c>
      <c r="FH101" s="279">
        <f t="shared" ref="FH101" si="537">FI101+FJ101</f>
        <v>24872.544879999998</v>
      </c>
      <c r="FI101" s="279">
        <f t="shared" ref="FI101" si="538">DU101</f>
        <v>22385.291359999999</v>
      </c>
      <c r="FJ101" s="279">
        <f t="shared" ref="FJ101" si="539">DZ101</f>
        <v>2487.2535199999998</v>
      </c>
      <c r="FK101" s="366">
        <f t="shared" ref="FK101" si="540">FI101/FH101</f>
        <v>0.90000003891841407</v>
      </c>
      <c r="FL101" s="366">
        <f t="shared" ref="FL101" si="541">FJ101/FH101</f>
        <v>9.9999961081585959E-2</v>
      </c>
      <c r="FM101" s="366">
        <v>8.2799999999999999E-2</v>
      </c>
      <c r="FN101" s="280">
        <f t="shared" ref="FN101" si="542">FH101*FF101</f>
        <v>22385.291359999996</v>
      </c>
      <c r="FO101" s="430">
        <f t="shared" ref="FO101" si="543">FI101-FN101</f>
        <v>0</v>
      </c>
    </row>
    <row r="102" spans="2:171" s="40" customFormat="1" ht="15.6" customHeight="1" x14ac:dyDescent="0.25">
      <c r="B102" s="32"/>
      <c r="C102" s="33">
        <v>1</v>
      </c>
      <c r="D102" s="33"/>
      <c r="E102" s="434">
        <v>84</v>
      </c>
      <c r="F102" s="32"/>
      <c r="G102" s="33">
        <v>1</v>
      </c>
      <c r="H102" s="33">
        <v>1</v>
      </c>
      <c r="I102" s="434"/>
      <c r="J102" s="435"/>
      <c r="K102" s="435"/>
      <c r="L102" s="53"/>
      <c r="M102" s="434">
        <v>81</v>
      </c>
      <c r="N102" s="435" t="s">
        <v>48</v>
      </c>
      <c r="O102" s="435"/>
      <c r="P102" s="24">
        <f t="shared" si="334"/>
        <v>0</v>
      </c>
      <c r="Q102" s="435" t="s">
        <v>490</v>
      </c>
      <c r="R102" s="435" t="s">
        <v>488</v>
      </c>
      <c r="S102" s="435" t="s">
        <v>491</v>
      </c>
      <c r="T102" s="435" t="s">
        <v>488</v>
      </c>
      <c r="U102" s="161">
        <v>1</v>
      </c>
      <c r="V102" s="434">
        <v>1</v>
      </c>
      <c r="W102" s="459">
        <f t="shared" si="475"/>
        <v>1799.1</v>
      </c>
      <c r="X102" s="459"/>
      <c r="Y102" s="460">
        <v>1799.1</v>
      </c>
      <c r="Z102" s="459"/>
      <c r="AA102" s="461"/>
      <c r="AB102" s="459">
        <f t="shared" si="476"/>
        <v>595.70000000000005</v>
      </c>
      <c r="AC102" s="459"/>
      <c r="AD102" s="460">
        <v>595.70000000000005</v>
      </c>
      <c r="AE102" s="459"/>
      <c r="AF102" s="461"/>
      <c r="AG102" s="459">
        <f t="shared" si="477"/>
        <v>595.70000000000005</v>
      </c>
      <c r="AH102" s="459"/>
      <c r="AI102" s="460">
        <v>595.70000000000005</v>
      </c>
      <c r="AJ102" s="459"/>
      <c r="AK102" s="461"/>
      <c r="AL102" s="459">
        <f t="shared" si="478"/>
        <v>259</v>
      </c>
      <c r="AM102" s="459"/>
      <c r="AN102" s="460">
        <v>259</v>
      </c>
      <c r="AO102" s="459"/>
      <c r="AP102" s="461"/>
      <c r="AQ102" s="383" t="s">
        <v>529</v>
      </c>
      <c r="AR102" s="459">
        <f t="shared" si="479"/>
        <v>1393.3589499999998</v>
      </c>
      <c r="AS102" s="459"/>
      <c r="AT102" s="462">
        <f>1799.1-405.74105</f>
        <v>1393.3589499999998</v>
      </c>
      <c r="AU102" s="459"/>
      <c r="AV102" s="461"/>
      <c r="AW102" s="459" t="e">
        <f t="shared" si="480"/>
        <v>#REF!</v>
      </c>
      <c r="AX102" s="459" t="e">
        <f>#REF!-AS102</f>
        <v>#REF!</v>
      </c>
      <c r="AY102" s="459" t="e">
        <f>#REF!-AT102</f>
        <v>#REF!</v>
      </c>
      <c r="AZ102" s="459" t="e">
        <f>#REF!-AU102</f>
        <v>#REF!</v>
      </c>
      <c r="BA102" s="459" t="e">
        <f>#REF!-AV102</f>
        <v>#REF!</v>
      </c>
      <c r="BB102" s="459">
        <f t="shared" si="481"/>
        <v>595.70000000000005</v>
      </c>
      <c r="BC102" s="459"/>
      <c r="BD102" s="460">
        <f>259+336.7</f>
        <v>595.70000000000005</v>
      </c>
      <c r="BE102" s="459"/>
      <c r="BF102" s="461"/>
      <c r="BG102" s="459">
        <f t="shared" si="482"/>
        <v>0</v>
      </c>
      <c r="BH102" s="459"/>
      <c r="BI102" s="460"/>
      <c r="BJ102" s="459"/>
      <c r="BK102" s="461"/>
      <c r="BL102" s="459">
        <f t="shared" si="483"/>
        <v>1393.35895</v>
      </c>
      <c r="BM102" s="459"/>
      <c r="BN102" s="460">
        <v>1393.35895</v>
      </c>
      <c r="BO102" s="459"/>
      <c r="BP102" s="470"/>
      <c r="BQ102" s="459">
        <f t="shared" si="505"/>
        <v>1393.35895</v>
      </c>
      <c r="BR102" s="459"/>
      <c r="BS102" s="460">
        <v>1393.35895</v>
      </c>
      <c r="BT102" s="459"/>
      <c r="BU102" s="470"/>
      <c r="BV102" s="459">
        <f t="shared" si="484"/>
        <v>464.45298000000003</v>
      </c>
      <c r="BW102" s="459"/>
      <c r="BX102" s="459">
        <v>464.45298000000003</v>
      </c>
      <c r="BY102" s="459"/>
      <c r="BZ102" s="459"/>
      <c r="CA102" s="464">
        <f t="shared" si="485"/>
        <v>1857.8119300000001</v>
      </c>
      <c r="CB102" s="459">
        <f t="shared" si="486"/>
        <v>1857.8119300000001</v>
      </c>
      <c r="CC102" s="459">
        <f t="shared" si="487"/>
        <v>0</v>
      </c>
      <c r="CD102" s="459">
        <f t="shared" si="487"/>
        <v>1857.8119300000001</v>
      </c>
      <c r="CE102" s="459">
        <f t="shared" si="487"/>
        <v>0</v>
      </c>
      <c r="CF102" s="459">
        <f t="shared" si="487"/>
        <v>0</v>
      </c>
      <c r="CG102" s="459">
        <f t="shared" si="488"/>
        <v>0</v>
      </c>
      <c r="CH102" s="459">
        <f t="shared" si="489"/>
        <v>0</v>
      </c>
      <c r="CI102" s="459">
        <f t="shared" si="489"/>
        <v>0</v>
      </c>
      <c r="CJ102" s="459">
        <f t="shared" si="489"/>
        <v>0</v>
      </c>
      <c r="CK102" s="459">
        <f t="shared" si="489"/>
        <v>0</v>
      </c>
      <c r="CL102" s="465"/>
      <c r="CM102" s="466"/>
      <c r="CN102" s="466"/>
      <c r="CO102" s="459">
        <f t="shared" si="490"/>
        <v>0</v>
      </c>
      <c r="CP102" s="459"/>
      <c r="CQ102" s="460"/>
      <c r="CR102" s="459"/>
      <c r="CS102" s="461"/>
      <c r="CT102" s="459">
        <f t="shared" si="491"/>
        <v>0</v>
      </c>
      <c r="CU102" s="459"/>
      <c r="CV102" s="460"/>
      <c r="CW102" s="459"/>
      <c r="CX102" s="461"/>
      <c r="CY102" s="459">
        <f t="shared" si="492"/>
        <v>0</v>
      </c>
      <c r="CZ102" s="459">
        <f t="shared" si="493"/>
        <v>0</v>
      </c>
      <c r="DA102" s="459">
        <f t="shared" si="493"/>
        <v>0</v>
      </c>
      <c r="DB102" s="459">
        <f t="shared" si="493"/>
        <v>0</v>
      </c>
      <c r="DC102" s="459">
        <f t="shared" si="493"/>
        <v>0</v>
      </c>
      <c r="DD102" s="459"/>
      <c r="DE102" s="459"/>
      <c r="DF102" s="459"/>
      <c r="DG102" s="459">
        <f t="shared" si="494"/>
        <v>0</v>
      </c>
      <c r="DH102" s="467"/>
      <c r="DI102" s="459">
        <f t="shared" si="495"/>
        <v>1393.35895</v>
      </c>
      <c r="DJ102" s="459">
        <f t="shared" si="496"/>
        <v>1393.35895</v>
      </c>
      <c r="DK102" s="467"/>
      <c r="DL102" s="459"/>
      <c r="DM102" s="459"/>
      <c r="DN102" s="467"/>
      <c r="DO102" s="459"/>
      <c r="DP102" s="467"/>
      <c r="DQ102" s="467"/>
      <c r="DR102" s="459">
        <f t="shared" si="322"/>
        <v>1393.35895</v>
      </c>
      <c r="DS102" s="459"/>
      <c r="DT102" s="460">
        <v>1393.35895</v>
      </c>
      <c r="DU102" s="459"/>
      <c r="DV102" s="470"/>
      <c r="DW102" s="459">
        <f t="shared" si="323"/>
        <v>464.45298000000003</v>
      </c>
      <c r="DX102" s="459"/>
      <c r="DY102" s="459">
        <v>464.45298000000003</v>
      </c>
      <c r="DZ102" s="459"/>
      <c r="EA102" s="146"/>
      <c r="EB102" s="279"/>
      <c r="EC102" s="279"/>
      <c r="ED102" s="279"/>
      <c r="EE102" s="366"/>
      <c r="EF102" s="366"/>
      <c r="EG102" s="279"/>
      <c r="EH102" s="279"/>
      <c r="EI102" s="279"/>
      <c r="EJ102" s="366"/>
      <c r="EK102" s="366"/>
      <c r="EL102" s="366">
        <v>2.1000000000000001E-2</v>
      </c>
      <c r="EM102" s="279"/>
      <c r="EN102" s="279"/>
      <c r="EO102" s="265" t="e">
        <f t="shared" si="497"/>
        <v>#DIV/0!</v>
      </c>
      <c r="EP102" s="323">
        <f t="shared" si="335"/>
        <v>1857.8119299999998</v>
      </c>
      <c r="EQ102" s="323">
        <f t="shared" si="349"/>
        <v>1393.3589499999998</v>
      </c>
      <c r="ER102" s="323">
        <v>464.45298000000003</v>
      </c>
      <c r="ES102" s="358">
        <f t="shared" si="498"/>
        <v>0.75000000134566902</v>
      </c>
      <c r="ET102" s="358">
        <f t="shared" si="499"/>
        <v>0.24999999865433098</v>
      </c>
      <c r="EU102" s="323">
        <f t="shared" si="336"/>
        <v>1857.8119300000001</v>
      </c>
      <c r="EV102" s="323">
        <f t="shared" si="500"/>
        <v>1393.35895</v>
      </c>
      <c r="EW102" s="323">
        <f t="shared" si="501"/>
        <v>464.45298000000003</v>
      </c>
      <c r="EX102" s="358">
        <f t="shared" si="502"/>
        <v>0.75000000134566902</v>
      </c>
      <c r="EY102" s="358">
        <f t="shared" si="503"/>
        <v>0.24999999865433095</v>
      </c>
      <c r="EZ102" s="358">
        <v>7.0099999999999996E-2</v>
      </c>
      <c r="FA102" s="323">
        <f t="shared" si="504"/>
        <v>1393.35895</v>
      </c>
      <c r="FB102" s="323">
        <f t="shared" si="337"/>
        <v>0</v>
      </c>
      <c r="FC102" s="279"/>
      <c r="FD102" s="279"/>
      <c r="FE102" s="279"/>
      <c r="FF102" s="366"/>
      <c r="FG102" s="366"/>
      <c r="FH102" s="279"/>
      <c r="FI102" s="279"/>
      <c r="FJ102" s="279"/>
      <c r="FK102" s="366"/>
      <c r="FL102" s="366"/>
      <c r="FM102" s="366">
        <v>7.0099999999999996E-2</v>
      </c>
      <c r="FN102" s="280"/>
      <c r="FO102" s="279"/>
    </row>
    <row r="103" spans="2:171" s="40" customFormat="1" ht="15.75" customHeight="1" x14ac:dyDescent="0.25">
      <c r="B103" s="32"/>
      <c r="C103" s="33"/>
      <c r="D103" s="33">
        <v>1</v>
      </c>
      <c r="E103" s="434">
        <v>85</v>
      </c>
      <c r="F103" s="32"/>
      <c r="G103" s="33"/>
      <c r="H103" s="33">
        <v>1</v>
      </c>
      <c r="M103" s="434">
        <v>82</v>
      </c>
      <c r="N103" s="435" t="s">
        <v>105</v>
      </c>
      <c r="O103" s="435"/>
      <c r="P103" s="24">
        <f t="shared" si="334"/>
        <v>0</v>
      </c>
      <c r="Q103" s="435" t="s">
        <v>490</v>
      </c>
      <c r="R103" s="435" t="s">
        <v>488</v>
      </c>
      <c r="S103" s="435" t="s">
        <v>491</v>
      </c>
      <c r="T103" s="435" t="s">
        <v>488</v>
      </c>
      <c r="U103" s="161">
        <v>1</v>
      </c>
      <c r="V103" s="434"/>
      <c r="W103" s="459">
        <f t="shared" si="475"/>
        <v>3868.2</v>
      </c>
      <c r="X103" s="459"/>
      <c r="Y103" s="460">
        <v>3868.2</v>
      </c>
      <c r="Z103" s="459"/>
      <c r="AA103" s="461"/>
      <c r="AB103" s="459">
        <f t="shared" si="476"/>
        <v>1260.4000000000001</v>
      </c>
      <c r="AC103" s="459"/>
      <c r="AD103" s="460">
        <v>1260.4000000000001</v>
      </c>
      <c r="AE103" s="459"/>
      <c r="AF103" s="461"/>
      <c r="AG103" s="459">
        <f t="shared" si="477"/>
        <v>1260.4000000000001</v>
      </c>
      <c r="AH103" s="459"/>
      <c r="AI103" s="460">
        <v>1260.4000000000001</v>
      </c>
      <c r="AJ103" s="459"/>
      <c r="AK103" s="461"/>
      <c r="AL103" s="459">
        <f t="shared" si="478"/>
        <v>548</v>
      </c>
      <c r="AM103" s="459"/>
      <c r="AN103" s="460">
        <v>548</v>
      </c>
      <c r="AO103" s="459"/>
      <c r="AP103" s="461"/>
      <c r="AQ103" s="383" t="s">
        <v>413</v>
      </c>
      <c r="AR103" s="459">
        <f t="shared" si="479"/>
        <v>3868.2</v>
      </c>
      <c r="AS103" s="459"/>
      <c r="AT103" s="462">
        <v>3868.2</v>
      </c>
      <c r="AU103" s="459"/>
      <c r="AV103" s="461"/>
      <c r="AW103" s="459" t="e">
        <f t="shared" si="480"/>
        <v>#REF!</v>
      </c>
      <c r="AX103" s="459" t="e">
        <f>#REF!-AS103</f>
        <v>#REF!</v>
      </c>
      <c r="AY103" s="459" t="e">
        <f>#REF!-AT103</f>
        <v>#REF!</v>
      </c>
      <c r="AZ103" s="459" t="e">
        <f>#REF!-AU103</f>
        <v>#REF!</v>
      </c>
      <c r="BA103" s="459" t="e">
        <f>#REF!-AV103</f>
        <v>#REF!</v>
      </c>
      <c r="BB103" s="459">
        <f t="shared" si="481"/>
        <v>1260.4000000000001</v>
      </c>
      <c r="BC103" s="459"/>
      <c r="BD103" s="460">
        <v>1260.4000000000001</v>
      </c>
      <c r="BE103" s="459"/>
      <c r="BF103" s="461"/>
      <c r="BG103" s="459">
        <f t="shared" si="482"/>
        <v>0</v>
      </c>
      <c r="BH103" s="459"/>
      <c r="BI103" s="460"/>
      <c r="BJ103" s="459"/>
      <c r="BK103" s="461"/>
      <c r="BL103" s="459">
        <f t="shared" si="483"/>
        <v>3868.2</v>
      </c>
      <c r="BM103" s="459"/>
      <c r="BN103" s="460">
        <f>795.51252+775.83591+1037.26794+544.30936+392.3723+322.90197</f>
        <v>3868.2</v>
      </c>
      <c r="BO103" s="459"/>
      <c r="BP103" s="470"/>
      <c r="BQ103" s="459">
        <f t="shared" si="505"/>
        <v>3868.2</v>
      </c>
      <c r="BR103" s="459"/>
      <c r="BS103" s="460">
        <f>795.51252+775.83591+1037.26794+544.30936+322.90197+392.3723</f>
        <v>3868.2</v>
      </c>
      <c r="BT103" s="459"/>
      <c r="BU103" s="470"/>
      <c r="BV103" s="459">
        <f t="shared" si="484"/>
        <v>573.72199999999998</v>
      </c>
      <c r="BW103" s="459"/>
      <c r="BX103" s="459">
        <f>117.98848+115.07009+153.84506+80.73064+58.1957+47.89203</f>
        <v>573.72199999999998</v>
      </c>
      <c r="BY103" s="459"/>
      <c r="BZ103" s="459"/>
      <c r="CA103" s="464">
        <f t="shared" si="485"/>
        <v>4441.9219999999996</v>
      </c>
      <c r="CB103" s="459">
        <f t="shared" si="486"/>
        <v>4441.9219999999996</v>
      </c>
      <c r="CC103" s="459">
        <f t="shared" si="487"/>
        <v>0</v>
      </c>
      <c r="CD103" s="459">
        <f t="shared" si="487"/>
        <v>4441.9219999999996</v>
      </c>
      <c r="CE103" s="459">
        <f t="shared" si="487"/>
        <v>0</v>
      </c>
      <c r="CF103" s="459">
        <f t="shared" si="487"/>
        <v>0</v>
      </c>
      <c r="CG103" s="459">
        <f t="shared" si="488"/>
        <v>0</v>
      </c>
      <c r="CH103" s="459">
        <f t="shared" si="489"/>
        <v>0</v>
      </c>
      <c r="CI103" s="459">
        <f t="shared" si="489"/>
        <v>0</v>
      </c>
      <c r="CJ103" s="459">
        <f t="shared" si="489"/>
        <v>0</v>
      </c>
      <c r="CK103" s="459">
        <f t="shared" si="489"/>
        <v>0</v>
      </c>
      <c r="CL103" s="465"/>
      <c r="CM103" s="466">
        <f>BB94-CM95-CM100</f>
        <v>12747.39999999998</v>
      </c>
      <c r="CN103" s="466">
        <f>CM103+CO106+CO108</f>
        <v>12747.39999999998</v>
      </c>
      <c r="CO103" s="459">
        <f t="shared" si="490"/>
        <v>0</v>
      </c>
      <c r="CP103" s="459"/>
      <c r="CQ103" s="460"/>
      <c r="CR103" s="459"/>
      <c r="CS103" s="461"/>
      <c r="CT103" s="459">
        <f t="shared" si="491"/>
        <v>0</v>
      </c>
      <c r="CU103" s="459"/>
      <c r="CV103" s="460"/>
      <c r="CW103" s="459"/>
      <c r="CX103" s="461"/>
      <c r="CY103" s="459">
        <f t="shared" si="492"/>
        <v>0</v>
      </c>
      <c r="CZ103" s="459">
        <f t="shared" si="493"/>
        <v>0</v>
      </c>
      <c r="DA103" s="459">
        <f t="shared" si="493"/>
        <v>0</v>
      </c>
      <c r="DB103" s="459">
        <f t="shared" si="493"/>
        <v>0</v>
      </c>
      <c r="DC103" s="459">
        <f t="shared" si="493"/>
        <v>0</v>
      </c>
      <c r="DD103" s="459"/>
      <c r="DE103" s="459"/>
      <c r="DF103" s="459"/>
      <c r="DG103" s="459">
        <f t="shared" si="494"/>
        <v>0</v>
      </c>
      <c r="DH103" s="467"/>
      <c r="DI103" s="459">
        <f t="shared" si="495"/>
        <v>3868.2</v>
      </c>
      <c r="DJ103" s="459">
        <f t="shared" si="496"/>
        <v>3868.2</v>
      </c>
      <c r="DK103" s="467"/>
      <c r="DL103" s="459">
        <f>DJ97+DJ98+DJ99+DJ103+DJ104+DJ106+DJ107+DJ108+DJ109+DJ111+DJ112</f>
        <v>12169.319</v>
      </c>
      <c r="DM103" s="459">
        <f>DG97+DG98+DG99+DG103+DG104+DG106+DG107+DG108+DG109+DG111+DG112</f>
        <v>0</v>
      </c>
      <c r="DN103" s="467"/>
      <c r="DO103" s="459">
        <f>CN103-DL103</f>
        <v>578.08099999998012</v>
      </c>
      <c r="DP103" s="467"/>
      <c r="DQ103" s="467"/>
      <c r="DR103" s="459">
        <f t="shared" si="322"/>
        <v>3868.2</v>
      </c>
      <c r="DS103" s="459"/>
      <c r="DT103" s="460">
        <f>795.51252+775.83591+1037.26794+544.30936+392.3723+322.90197</f>
        <v>3868.2</v>
      </c>
      <c r="DU103" s="459"/>
      <c r="DV103" s="470"/>
      <c r="DW103" s="459">
        <f t="shared" si="323"/>
        <v>573.72199999999998</v>
      </c>
      <c r="DX103" s="459"/>
      <c r="DY103" s="459">
        <f>117.98848+115.07009+153.84506+80.73064+58.1957+47.89203</f>
        <v>573.72199999999998</v>
      </c>
      <c r="DZ103" s="459"/>
      <c r="EA103" s="146"/>
      <c r="EB103" s="279"/>
      <c r="EC103" s="279"/>
      <c r="ED103" s="279"/>
      <c r="EE103" s="366"/>
      <c r="EF103" s="366"/>
      <c r="EG103" s="279"/>
      <c r="EH103" s="279"/>
      <c r="EI103" s="279"/>
      <c r="EJ103" s="366"/>
      <c r="EK103" s="366"/>
      <c r="EL103" s="366">
        <v>2.2599999999999999E-2</v>
      </c>
      <c r="EM103" s="280"/>
      <c r="EN103" s="279"/>
      <c r="EO103" s="265" t="e">
        <f t="shared" si="497"/>
        <v>#DIV/0!</v>
      </c>
      <c r="EP103" s="323">
        <f t="shared" si="335"/>
        <v>4441.9219999999996</v>
      </c>
      <c r="EQ103" s="323">
        <f t="shared" si="349"/>
        <v>3868.2</v>
      </c>
      <c r="ER103" s="323">
        <v>573.72199999999998</v>
      </c>
      <c r="ES103" s="358">
        <f t="shared" si="498"/>
        <v>0.87083924481339392</v>
      </c>
      <c r="ET103" s="358">
        <f t="shared" si="499"/>
        <v>0.12916075518660616</v>
      </c>
      <c r="EU103" s="323">
        <f t="shared" si="336"/>
        <v>4441.9219999999996</v>
      </c>
      <c r="EV103" s="323">
        <f t="shared" si="500"/>
        <v>3868.2</v>
      </c>
      <c r="EW103" s="323">
        <f t="shared" si="501"/>
        <v>573.72199999999998</v>
      </c>
      <c r="EX103" s="358">
        <f t="shared" si="502"/>
        <v>0.87083924481339392</v>
      </c>
      <c r="EY103" s="358">
        <f t="shared" si="503"/>
        <v>0.12916075518660616</v>
      </c>
      <c r="EZ103" s="358">
        <v>7.5399999999999995E-2</v>
      </c>
      <c r="FA103" s="323">
        <f t="shared" si="504"/>
        <v>3868.2</v>
      </c>
      <c r="FB103" s="323">
        <f t="shared" si="337"/>
        <v>0</v>
      </c>
      <c r="FC103" s="279">
        <f t="shared" ref="FC103:FC112" si="544">FD103+FE103</f>
        <v>0</v>
      </c>
      <c r="FD103" s="279">
        <f t="shared" si="350"/>
        <v>0</v>
      </c>
      <c r="FE103" s="279"/>
      <c r="FF103" s="366" t="e">
        <f t="shared" ref="FF103:FF112" si="545">FD103/FC103</f>
        <v>#DIV/0!</v>
      </c>
      <c r="FG103" s="366" t="e">
        <f t="shared" ref="FG103:FG112" si="546">FE103/FC103</f>
        <v>#DIV/0!</v>
      </c>
      <c r="FH103" s="279">
        <f t="shared" si="351"/>
        <v>0</v>
      </c>
      <c r="FI103" s="279">
        <f t="shared" si="446"/>
        <v>0</v>
      </c>
      <c r="FJ103" s="279">
        <f t="shared" si="447"/>
        <v>0</v>
      </c>
      <c r="FK103" s="366" t="e">
        <f t="shared" ref="FK103:FK112" si="547">FI103/FH103</f>
        <v>#DIV/0!</v>
      </c>
      <c r="FL103" s="366" t="e">
        <f t="shared" ref="FL103:FL112" si="548">FJ103/FH103</f>
        <v>#DIV/0!</v>
      </c>
      <c r="FM103" s="366">
        <v>7.5399999999999995E-2</v>
      </c>
      <c r="FN103" s="280" t="e">
        <f t="shared" si="230"/>
        <v>#DIV/0!</v>
      </c>
      <c r="FO103" s="279" t="e">
        <f t="shared" si="352"/>
        <v>#DIV/0!</v>
      </c>
    </row>
    <row r="104" spans="2:171" s="40" customFormat="1" ht="15.75" customHeight="1" x14ac:dyDescent="0.25">
      <c r="B104" s="32"/>
      <c r="C104" s="33"/>
      <c r="D104" s="33">
        <v>1</v>
      </c>
      <c r="E104" s="434">
        <v>86</v>
      </c>
      <c r="F104" s="32"/>
      <c r="G104" s="33"/>
      <c r="H104" s="33">
        <v>1</v>
      </c>
      <c r="I104" s="434"/>
      <c r="J104" s="435"/>
      <c r="K104" s="435"/>
      <c r="L104" s="53"/>
      <c r="M104" s="434">
        <v>83</v>
      </c>
      <c r="N104" s="435" t="s">
        <v>106</v>
      </c>
      <c r="O104" s="435"/>
      <c r="P104" s="24">
        <f t="shared" si="334"/>
        <v>0</v>
      </c>
      <c r="Q104" s="435" t="s">
        <v>491</v>
      </c>
      <c r="R104" s="435" t="s">
        <v>488</v>
      </c>
      <c r="S104" s="435" t="s">
        <v>537</v>
      </c>
      <c r="T104" s="435" t="s">
        <v>488</v>
      </c>
      <c r="U104" s="161">
        <v>1</v>
      </c>
      <c r="V104" s="434">
        <v>1</v>
      </c>
      <c r="W104" s="459">
        <f t="shared" si="475"/>
        <v>3900.5</v>
      </c>
      <c r="X104" s="459"/>
      <c r="Y104" s="460">
        <v>1600.5</v>
      </c>
      <c r="Z104" s="459">
        <v>2300</v>
      </c>
      <c r="AA104" s="461"/>
      <c r="AB104" s="459">
        <f t="shared" si="476"/>
        <v>1614.6</v>
      </c>
      <c r="AC104" s="459"/>
      <c r="AD104" s="460">
        <v>1614.6</v>
      </c>
      <c r="AE104" s="459"/>
      <c r="AF104" s="461"/>
      <c r="AG104" s="459">
        <f t="shared" si="477"/>
        <v>1614.6</v>
      </c>
      <c r="AH104" s="459"/>
      <c r="AI104" s="460">
        <v>1614.6</v>
      </c>
      <c r="AJ104" s="459"/>
      <c r="AK104" s="461"/>
      <c r="AL104" s="459">
        <f t="shared" si="478"/>
        <v>702</v>
      </c>
      <c r="AM104" s="459"/>
      <c r="AN104" s="460">
        <v>702</v>
      </c>
      <c r="AO104" s="459"/>
      <c r="AP104" s="461"/>
      <c r="AQ104" s="383" t="s">
        <v>455</v>
      </c>
      <c r="AR104" s="459">
        <f t="shared" si="479"/>
        <v>3900.5</v>
      </c>
      <c r="AS104" s="459"/>
      <c r="AT104" s="462">
        <v>1600.5</v>
      </c>
      <c r="AU104" s="459">
        <v>2300</v>
      </c>
      <c r="AV104" s="461"/>
      <c r="AW104" s="459" t="e">
        <f t="shared" si="480"/>
        <v>#REF!</v>
      </c>
      <c r="AX104" s="459" t="e">
        <f>#REF!-AS104</f>
        <v>#REF!</v>
      </c>
      <c r="AY104" s="459" t="e">
        <f>#REF!-AT104</f>
        <v>#REF!</v>
      </c>
      <c r="AZ104" s="459" t="e">
        <f>#REF!-AU104</f>
        <v>#REF!</v>
      </c>
      <c r="BA104" s="459" t="e">
        <f>#REF!-AV104</f>
        <v>#REF!</v>
      </c>
      <c r="BB104" s="459">
        <f t="shared" si="481"/>
        <v>1614.6</v>
      </c>
      <c r="BC104" s="459"/>
      <c r="BD104" s="460">
        <f>702+912.6</f>
        <v>1614.6</v>
      </c>
      <c r="BE104" s="459"/>
      <c r="BF104" s="461"/>
      <c r="BG104" s="459">
        <f t="shared" si="482"/>
        <v>0</v>
      </c>
      <c r="BH104" s="459"/>
      <c r="BI104" s="460"/>
      <c r="BJ104" s="459"/>
      <c r="BK104" s="461"/>
      <c r="BL104" s="459">
        <f t="shared" si="483"/>
        <v>3900.5</v>
      </c>
      <c r="BM104" s="459"/>
      <c r="BN104" s="460">
        <f>946.761+653.739</f>
        <v>1600.5</v>
      </c>
      <c r="BO104" s="459">
        <f>564.434+1735.566</f>
        <v>2300</v>
      </c>
      <c r="BP104" s="470"/>
      <c r="BQ104" s="459">
        <f t="shared" si="505"/>
        <v>3900.5</v>
      </c>
      <c r="BR104" s="459"/>
      <c r="BS104" s="460">
        <f>946.761+653.739</f>
        <v>1600.5</v>
      </c>
      <c r="BT104" s="459">
        <f>564.434+1735.566</f>
        <v>2300</v>
      </c>
      <c r="BU104" s="470"/>
      <c r="BV104" s="459">
        <f t="shared" si="484"/>
        <v>1438.0680600000001</v>
      </c>
      <c r="BW104" s="459"/>
      <c r="BX104" s="459">
        <f>316.43346+218.49852</f>
        <v>534.93198000000007</v>
      </c>
      <c r="BY104" s="459">
        <f>681.50118+221.6349</f>
        <v>903.13607999999999</v>
      </c>
      <c r="BZ104" s="459"/>
      <c r="CA104" s="464">
        <f t="shared" si="485"/>
        <v>5338.5680600000005</v>
      </c>
      <c r="CB104" s="459">
        <f t="shared" si="486"/>
        <v>5338.5680600000005</v>
      </c>
      <c r="CC104" s="459">
        <f t="shared" si="487"/>
        <v>0</v>
      </c>
      <c r="CD104" s="459">
        <f t="shared" si="487"/>
        <v>2135.4319800000003</v>
      </c>
      <c r="CE104" s="459">
        <f t="shared" si="487"/>
        <v>3203.1360800000002</v>
      </c>
      <c r="CF104" s="459">
        <f t="shared" si="487"/>
        <v>0</v>
      </c>
      <c r="CG104" s="459">
        <f t="shared" si="488"/>
        <v>0</v>
      </c>
      <c r="CH104" s="459">
        <f t="shared" si="489"/>
        <v>0</v>
      </c>
      <c r="CI104" s="459">
        <f t="shared" si="489"/>
        <v>0</v>
      </c>
      <c r="CJ104" s="459">
        <f t="shared" si="489"/>
        <v>0</v>
      </c>
      <c r="CK104" s="459">
        <f t="shared" si="489"/>
        <v>0</v>
      </c>
      <c r="CL104" s="465"/>
      <c r="CM104" s="466"/>
      <c r="CN104" s="466"/>
      <c r="CO104" s="459">
        <f t="shared" si="490"/>
        <v>0</v>
      </c>
      <c r="CP104" s="459"/>
      <c r="CQ104" s="460"/>
      <c r="CR104" s="459"/>
      <c r="CS104" s="461"/>
      <c r="CT104" s="459">
        <f t="shared" si="491"/>
        <v>0</v>
      </c>
      <c r="CU104" s="459"/>
      <c r="CV104" s="460"/>
      <c r="CW104" s="459"/>
      <c r="CX104" s="461"/>
      <c r="CY104" s="459">
        <f t="shared" si="492"/>
        <v>0</v>
      </c>
      <c r="CZ104" s="459">
        <f t="shared" si="493"/>
        <v>0</v>
      </c>
      <c r="DA104" s="459">
        <f t="shared" si="493"/>
        <v>0</v>
      </c>
      <c r="DB104" s="459">
        <f t="shared" si="493"/>
        <v>0</v>
      </c>
      <c r="DC104" s="459">
        <f t="shared" si="493"/>
        <v>0</v>
      </c>
      <c r="DD104" s="459"/>
      <c r="DE104" s="459"/>
      <c r="DF104" s="459"/>
      <c r="DG104" s="459">
        <f t="shared" si="494"/>
        <v>0</v>
      </c>
      <c r="DH104" s="467"/>
      <c r="DI104" s="459">
        <f t="shared" si="495"/>
        <v>3900.5</v>
      </c>
      <c r="DJ104" s="459">
        <f t="shared" si="496"/>
        <v>3900.5</v>
      </c>
      <c r="DK104" s="467"/>
      <c r="DL104" s="459"/>
      <c r="DM104" s="459"/>
      <c r="DN104" s="467"/>
      <c r="DO104" s="459"/>
      <c r="DP104" s="467"/>
      <c r="DQ104" s="467"/>
      <c r="DR104" s="459">
        <f t="shared" si="322"/>
        <v>3900.5</v>
      </c>
      <c r="DS104" s="459"/>
      <c r="DT104" s="460">
        <f>946.761+653.739</f>
        <v>1600.5</v>
      </c>
      <c r="DU104" s="459">
        <f>564.434+1735.566</f>
        <v>2300</v>
      </c>
      <c r="DV104" s="470"/>
      <c r="DW104" s="459">
        <f t="shared" si="323"/>
        <v>1438.0680600000001</v>
      </c>
      <c r="DX104" s="459"/>
      <c r="DY104" s="459">
        <f>316.43346+218.49852</f>
        <v>534.93198000000007</v>
      </c>
      <c r="DZ104" s="459">
        <f>681.50118+221.6349</f>
        <v>903.13607999999999</v>
      </c>
      <c r="EA104" s="146"/>
      <c r="EB104" s="279"/>
      <c r="EC104" s="279"/>
      <c r="ED104" s="279"/>
      <c r="EE104" s="366"/>
      <c r="EF104" s="366"/>
      <c r="EG104" s="279"/>
      <c r="EH104" s="279"/>
      <c r="EI104" s="279"/>
      <c r="EJ104" s="366"/>
      <c r="EK104" s="366"/>
      <c r="EL104" s="366">
        <v>2.24E-2</v>
      </c>
      <c r="EM104" s="280"/>
      <c r="EN104" s="279"/>
      <c r="EO104" s="265" t="e">
        <f t="shared" si="497"/>
        <v>#DIV/0!</v>
      </c>
      <c r="EP104" s="323">
        <f t="shared" si="335"/>
        <v>2135.4319799999998</v>
      </c>
      <c r="EQ104" s="323">
        <f t="shared" si="349"/>
        <v>1600.5</v>
      </c>
      <c r="ER104" s="323">
        <v>534.93197999999995</v>
      </c>
      <c r="ES104" s="358">
        <f t="shared" si="498"/>
        <v>0.74949706428954022</v>
      </c>
      <c r="ET104" s="358">
        <f t="shared" si="499"/>
        <v>0.25050293571045984</v>
      </c>
      <c r="EU104" s="323">
        <f t="shared" si="336"/>
        <v>2135.4319800000003</v>
      </c>
      <c r="EV104" s="323">
        <f t="shared" si="500"/>
        <v>1600.5</v>
      </c>
      <c r="EW104" s="323">
        <f t="shared" si="501"/>
        <v>534.93198000000007</v>
      </c>
      <c r="EX104" s="358">
        <f t="shared" si="502"/>
        <v>0.74949706428953999</v>
      </c>
      <c r="EY104" s="358">
        <f t="shared" si="503"/>
        <v>0.25050293571045984</v>
      </c>
      <c r="EZ104" s="358">
        <v>7.4800000000000005E-2</v>
      </c>
      <c r="FA104" s="323">
        <f t="shared" si="504"/>
        <v>1600.5000000000005</v>
      </c>
      <c r="FB104" s="323">
        <f t="shared" si="337"/>
        <v>0</v>
      </c>
      <c r="FC104" s="279">
        <f t="shared" ref="FC104:FC105" si="549">FD104+FE104</f>
        <v>3203.1360800000002</v>
      </c>
      <c r="FD104" s="279">
        <f t="shared" ref="FD104:FD105" si="550">AU104</f>
        <v>2300</v>
      </c>
      <c r="FE104" s="279">
        <v>903.13607999999999</v>
      </c>
      <c r="FF104" s="366">
        <f t="shared" ref="FF104" si="551">FD104/FC104</f>
        <v>0.71804629667809805</v>
      </c>
      <c r="FG104" s="366">
        <f t="shared" ref="FG104" si="552">FE104/FC104</f>
        <v>0.28195370332190195</v>
      </c>
      <c r="FH104" s="279">
        <f t="shared" ref="FH104" si="553">FI104+FJ104</f>
        <v>3203.1360800000002</v>
      </c>
      <c r="FI104" s="279">
        <f t="shared" ref="FI104" si="554">DU104</f>
        <v>2300</v>
      </c>
      <c r="FJ104" s="279">
        <f t="shared" ref="FJ104" si="555">DZ104</f>
        <v>903.13607999999999</v>
      </c>
      <c r="FK104" s="366">
        <f t="shared" ref="FK104" si="556">FI104/FH104</f>
        <v>0.71804629667809805</v>
      </c>
      <c r="FL104" s="366">
        <f t="shared" ref="FL104" si="557">FJ104/FH104</f>
        <v>0.28195370332190195</v>
      </c>
      <c r="FM104" s="366">
        <v>7.4800000000000005E-2</v>
      </c>
      <c r="FN104" s="280">
        <f t="shared" ref="FN104" si="558">FH104*FF104</f>
        <v>2300</v>
      </c>
      <c r="FO104" s="279">
        <f t="shared" ref="FO104" si="559">FI104-FN104</f>
        <v>0</v>
      </c>
    </row>
    <row r="105" spans="2:171" s="40" customFormat="1" ht="15.6" customHeight="1" x14ac:dyDescent="0.25">
      <c r="B105" s="32"/>
      <c r="C105" s="33">
        <v>1</v>
      </c>
      <c r="D105" s="33"/>
      <c r="E105" s="434">
        <v>87</v>
      </c>
      <c r="F105" s="32"/>
      <c r="G105" s="33">
        <v>1</v>
      </c>
      <c r="H105" s="33"/>
      <c r="I105" s="434"/>
      <c r="J105" s="435"/>
      <c r="K105" s="435"/>
      <c r="L105" s="53"/>
      <c r="M105" s="434">
        <v>84</v>
      </c>
      <c r="N105" s="435" t="s">
        <v>33</v>
      </c>
      <c r="O105" s="435"/>
      <c r="P105" s="24">
        <f t="shared" si="334"/>
        <v>0</v>
      </c>
      <c r="Q105" s="435" t="s">
        <v>490</v>
      </c>
      <c r="R105" s="435" t="s">
        <v>488</v>
      </c>
      <c r="S105" s="435"/>
      <c r="T105" s="435"/>
      <c r="U105" s="161">
        <v>1</v>
      </c>
      <c r="V105" s="434">
        <v>2</v>
      </c>
      <c r="W105" s="459">
        <f t="shared" si="475"/>
        <v>14653.37</v>
      </c>
      <c r="X105" s="459"/>
      <c r="Y105" s="460">
        <v>1062.2</v>
      </c>
      <c r="Z105" s="459">
        <f>14060-468.83</f>
        <v>13591.17</v>
      </c>
      <c r="AA105" s="461"/>
      <c r="AB105" s="459">
        <f t="shared" si="476"/>
        <v>1071.8</v>
      </c>
      <c r="AC105" s="459"/>
      <c r="AD105" s="460">
        <v>1071.8</v>
      </c>
      <c r="AE105" s="459"/>
      <c r="AF105" s="461"/>
      <c r="AG105" s="459">
        <f t="shared" si="477"/>
        <v>1071.8</v>
      </c>
      <c r="AH105" s="459"/>
      <c r="AI105" s="460">
        <v>1071.8</v>
      </c>
      <c r="AJ105" s="459"/>
      <c r="AK105" s="461"/>
      <c r="AL105" s="459">
        <f t="shared" si="478"/>
        <v>466</v>
      </c>
      <c r="AM105" s="459"/>
      <c r="AN105" s="460">
        <v>466</v>
      </c>
      <c r="AO105" s="459"/>
      <c r="AP105" s="461"/>
      <c r="AQ105" s="383" t="s">
        <v>556</v>
      </c>
      <c r="AR105" s="459">
        <f t="shared" si="479"/>
        <v>14511.8133</v>
      </c>
      <c r="AS105" s="459"/>
      <c r="AT105" s="469">
        <v>1056.5550000000001</v>
      </c>
      <c r="AU105" s="459">
        <f>13591.17-135.9117</f>
        <v>13455.2583</v>
      </c>
      <c r="AV105" s="459"/>
      <c r="AW105" s="459" t="e">
        <f t="shared" si="480"/>
        <v>#REF!</v>
      </c>
      <c r="AX105" s="459" t="e">
        <f>#REF!-AS105</f>
        <v>#REF!</v>
      </c>
      <c r="AY105" s="459" t="e">
        <f>#REF!-AT105</f>
        <v>#REF!</v>
      </c>
      <c r="AZ105" s="459" t="e">
        <f>#REF!-AU105</f>
        <v>#REF!</v>
      </c>
      <c r="BA105" s="459" t="e">
        <f>#REF!-AV105</f>
        <v>#REF!</v>
      </c>
      <c r="BB105" s="459">
        <f t="shared" si="481"/>
        <v>0</v>
      </c>
      <c r="BC105" s="459"/>
      <c r="BD105" s="459"/>
      <c r="BE105" s="459"/>
      <c r="BF105" s="459"/>
      <c r="BG105" s="459">
        <f t="shared" si="482"/>
        <v>0</v>
      </c>
      <c r="BH105" s="459"/>
      <c r="BI105" s="459"/>
      <c r="BJ105" s="459"/>
      <c r="BK105" s="459"/>
      <c r="BL105" s="459">
        <f t="shared" si="483"/>
        <v>14511.8133</v>
      </c>
      <c r="BM105" s="459"/>
      <c r="BN105" s="469">
        <v>1056.5550000000001</v>
      </c>
      <c r="BO105" s="459">
        <v>13455.2583</v>
      </c>
      <c r="BP105" s="459"/>
      <c r="BQ105" s="459">
        <f t="shared" si="505"/>
        <v>14511.8133</v>
      </c>
      <c r="BR105" s="459"/>
      <c r="BS105" s="469">
        <v>1056.5550000000001</v>
      </c>
      <c r="BT105" s="459">
        <v>13455.2583</v>
      </c>
      <c r="BU105" s="459"/>
      <c r="BV105" s="459">
        <f t="shared" si="484"/>
        <v>1203.81754</v>
      </c>
      <c r="BW105" s="459"/>
      <c r="BX105" s="459">
        <v>87.646000000000001</v>
      </c>
      <c r="BY105" s="459">
        <v>1116.17154</v>
      </c>
      <c r="BZ105" s="459"/>
      <c r="CA105" s="464">
        <f t="shared" si="485"/>
        <v>15715.630839999998</v>
      </c>
      <c r="CB105" s="459">
        <f t="shared" si="486"/>
        <v>15715.630839999998</v>
      </c>
      <c r="CC105" s="459">
        <f t="shared" si="487"/>
        <v>0</v>
      </c>
      <c r="CD105" s="459">
        <f t="shared" si="487"/>
        <v>1144.201</v>
      </c>
      <c r="CE105" s="459">
        <f t="shared" si="487"/>
        <v>14571.429839999999</v>
      </c>
      <c r="CF105" s="459">
        <f t="shared" si="487"/>
        <v>0</v>
      </c>
      <c r="CG105" s="459">
        <f t="shared" si="488"/>
        <v>0</v>
      </c>
      <c r="CH105" s="459">
        <f t="shared" si="489"/>
        <v>0</v>
      </c>
      <c r="CI105" s="459">
        <f t="shared" si="489"/>
        <v>0</v>
      </c>
      <c r="CJ105" s="459">
        <f t="shared" si="489"/>
        <v>0</v>
      </c>
      <c r="CK105" s="459">
        <f t="shared" si="489"/>
        <v>0</v>
      </c>
      <c r="CL105" s="465"/>
      <c r="CM105" s="466"/>
      <c r="CN105" s="466"/>
      <c r="CO105" s="459">
        <f t="shared" si="490"/>
        <v>0</v>
      </c>
      <c r="CP105" s="459"/>
      <c r="CQ105" s="459"/>
      <c r="CR105" s="459"/>
      <c r="CS105" s="459"/>
      <c r="CT105" s="459">
        <f t="shared" si="491"/>
        <v>0</v>
      </c>
      <c r="CU105" s="459"/>
      <c r="CV105" s="459"/>
      <c r="CW105" s="459"/>
      <c r="CX105" s="459"/>
      <c r="CY105" s="459">
        <f t="shared" si="492"/>
        <v>0</v>
      </c>
      <c r="CZ105" s="459">
        <f t="shared" si="493"/>
        <v>0</v>
      </c>
      <c r="DA105" s="459">
        <f t="shared" si="493"/>
        <v>0</v>
      </c>
      <c r="DB105" s="459">
        <f t="shared" si="493"/>
        <v>0</v>
      </c>
      <c r="DC105" s="459">
        <f t="shared" si="493"/>
        <v>0</v>
      </c>
      <c r="DD105" s="459"/>
      <c r="DE105" s="459"/>
      <c r="DF105" s="459"/>
      <c r="DG105" s="459">
        <f t="shared" si="494"/>
        <v>0</v>
      </c>
      <c r="DH105" s="467"/>
      <c r="DI105" s="459">
        <f t="shared" si="495"/>
        <v>14511.8133</v>
      </c>
      <c r="DJ105" s="459">
        <f t="shared" si="496"/>
        <v>14511.8133</v>
      </c>
      <c r="DK105" s="467"/>
      <c r="DL105" s="459"/>
      <c r="DM105" s="459"/>
      <c r="DN105" s="467"/>
      <c r="DO105" s="459"/>
      <c r="DP105" s="467"/>
      <c r="DQ105" s="467"/>
      <c r="DR105" s="459">
        <f t="shared" si="322"/>
        <v>14511.8133</v>
      </c>
      <c r="DS105" s="459"/>
      <c r="DT105" s="459">
        <v>1056.5550000000001</v>
      </c>
      <c r="DU105" s="459">
        <v>13455.2583</v>
      </c>
      <c r="DV105" s="459"/>
      <c r="DW105" s="459">
        <f t="shared" si="323"/>
        <v>1203.81754</v>
      </c>
      <c r="DX105" s="459"/>
      <c r="DY105" s="459">
        <v>87.646000000000001</v>
      </c>
      <c r="DZ105" s="459">
        <v>1116.17154</v>
      </c>
      <c r="EA105" s="146"/>
      <c r="EB105" s="279"/>
      <c r="EC105" s="279"/>
      <c r="ED105" s="279"/>
      <c r="EE105" s="366"/>
      <c r="EF105" s="366"/>
      <c r="EG105" s="279"/>
      <c r="EH105" s="279"/>
      <c r="EI105" s="279"/>
      <c r="EJ105" s="366"/>
      <c r="EK105" s="366"/>
      <c r="EL105" s="366">
        <v>2.3E-2</v>
      </c>
      <c r="EM105" s="280"/>
      <c r="EN105" s="279"/>
      <c r="EO105" s="265" t="e">
        <f t="shared" si="497"/>
        <v>#DIV/0!</v>
      </c>
      <c r="EP105" s="323">
        <f t="shared" ref="EP105" si="560">EQ105+ER105</f>
        <v>1144.201</v>
      </c>
      <c r="EQ105" s="323">
        <f t="shared" ref="EQ105" si="561">AT105</f>
        <v>1056.5550000000001</v>
      </c>
      <c r="ER105" s="323">
        <v>87.646000000000001</v>
      </c>
      <c r="ES105" s="358">
        <f t="shared" ref="ES105" si="562">EQ105/EP105</f>
        <v>0.92339982223403061</v>
      </c>
      <c r="ET105" s="358">
        <f t="shared" ref="ET105" si="563">ER105/EP105</f>
        <v>7.6600177765969446E-2</v>
      </c>
      <c r="EU105" s="323">
        <f t="shared" ref="EU105" si="564">EV105+EW105</f>
        <v>1144.201</v>
      </c>
      <c r="EV105" s="323">
        <f t="shared" ref="EV105" si="565">DT105</f>
        <v>1056.5550000000001</v>
      </c>
      <c r="EW105" s="323">
        <f t="shared" ref="EW105" si="566">DY105</f>
        <v>87.646000000000001</v>
      </c>
      <c r="EX105" s="358">
        <f t="shared" ref="EX105" si="567">EV105/EU105</f>
        <v>0.92339982223403061</v>
      </c>
      <c r="EY105" s="358">
        <f t="shared" ref="EY105" si="568">EW105/EU105</f>
        <v>7.6600177765969446E-2</v>
      </c>
      <c r="EZ105" s="358">
        <v>7.6600000000000001E-2</v>
      </c>
      <c r="FA105" s="323">
        <f t="shared" ref="FA105" si="569">EU105*ES105</f>
        <v>1056.5550000000001</v>
      </c>
      <c r="FB105" s="323">
        <f t="shared" si="337"/>
        <v>0</v>
      </c>
      <c r="FC105" s="279">
        <f t="shared" si="549"/>
        <v>14571.429839999999</v>
      </c>
      <c r="FD105" s="279">
        <f t="shared" si="550"/>
        <v>13455.2583</v>
      </c>
      <c r="FE105" s="279">
        <v>1116.17154</v>
      </c>
      <c r="FF105" s="366">
        <f t="shared" ref="FF105" si="570">FD105/FC105</f>
        <v>0.92339999902164716</v>
      </c>
      <c r="FG105" s="366">
        <f t="shared" ref="FG105" si="571">FE105/FC105</f>
        <v>7.6600000978352858E-2</v>
      </c>
      <c r="FH105" s="279">
        <f t="shared" ref="FH105" si="572">FI105+FJ105</f>
        <v>14571.429839999999</v>
      </c>
      <c r="FI105" s="279">
        <f t="shared" ref="FI105" si="573">DU105</f>
        <v>13455.2583</v>
      </c>
      <c r="FJ105" s="279">
        <f t="shared" ref="FJ105" si="574">DZ105</f>
        <v>1116.17154</v>
      </c>
      <c r="FK105" s="366">
        <f t="shared" ref="FK105" si="575">FI105/FH105</f>
        <v>0.92339999902164716</v>
      </c>
      <c r="FL105" s="366">
        <f t="shared" ref="FL105" si="576">FJ105/FH105</f>
        <v>7.6600000978352858E-2</v>
      </c>
      <c r="FM105" s="366">
        <v>7.6600000000000001E-2</v>
      </c>
      <c r="FN105" s="280">
        <f t="shared" ref="FN105" si="577">FH105*FF105</f>
        <v>13455.2583</v>
      </c>
      <c r="FO105" s="279">
        <f t="shared" ref="FO105" si="578">FI105-FN105</f>
        <v>0</v>
      </c>
    </row>
    <row r="106" spans="2:171" s="40" customFormat="1" ht="15.6" customHeight="1" x14ac:dyDescent="0.25">
      <c r="B106" s="32"/>
      <c r="C106" s="33"/>
      <c r="D106" s="33">
        <v>1</v>
      </c>
      <c r="E106" s="434">
        <v>88</v>
      </c>
      <c r="F106" s="32"/>
      <c r="G106" s="33"/>
      <c r="H106" s="33">
        <v>1</v>
      </c>
      <c r="I106" s="434"/>
      <c r="J106" s="435"/>
      <c r="K106" s="435"/>
      <c r="L106" s="53"/>
      <c r="M106" s="434">
        <v>85</v>
      </c>
      <c r="N106" s="435" t="s">
        <v>107</v>
      </c>
      <c r="O106" s="435"/>
      <c r="P106" s="24">
        <f t="shared" si="334"/>
        <v>0</v>
      </c>
      <c r="Q106" s="435"/>
      <c r="R106" s="435"/>
      <c r="S106" s="435"/>
      <c r="T106" s="435"/>
      <c r="U106" s="161"/>
      <c r="V106" s="434"/>
      <c r="W106" s="459">
        <f t="shared" si="475"/>
        <v>0</v>
      </c>
      <c r="X106" s="459"/>
      <c r="Y106" s="460">
        <v>0</v>
      </c>
      <c r="Z106" s="459"/>
      <c r="AA106" s="461"/>
      <c r="AB106" s="459">
        <f t="shared" si="476"/>
        <v>685.4</v>
      </c>
      <c r="AC106" s="459"/>
      <c r="AD106" s="460">
        <v>685.4</v>
      </c>
      <c r="AE106" s="459"/>
      <c r="AF106" s="461"/>
      <c r="AG106" s="459">
        <f t="shared" si="477"/>
        <v>685.4</v>
      </c>
      <c r="AH106" s="459"/>
      <c r="AI106" s="460">
        <v>685.4</v>
      </c>
      <c r="AJ106" s="459"/>
      <c r="AK106" s="461"/>
      <c r="AL106" s="459">
        <f t="shared" si="478"/>
        <v>298</v>
      </c>
      <c r="AM106" s="459"/>
      <c r="AN106" s="460">
        <v>298</v>
      </c>
      <c r="AO106" s="459"/>
      <c r="AP106" s="461"/>
      <c r="AQ106" s="383"/>
      <c r="AR106" s="459">
        <f t="shared" si="479"/>
        <v>0</v>
      </c>
      <c r="AS106" s="459"/>
      <c r="AT106" s="462"/>
      <c r="AU106" s="459"/>
      <c r="AV106" s="459"/>
      <c r="AW106" s="459" t="e">
        <f t="shared" si="480"/>
        <v>#REF!</v>
      </c>
      <c r="AX106" s="459" t="e">
        <f>#REF!-AS106</f>
        <v>#REF!</v>
      </c>
      <c r="AY106" s="459" t="e">
        <f>#REF!-AT106</f>
        <v>#REF!</v>
      </c>
      <c r="AZ106" s="459" t="e">
        <f>#REF!-AU106</f>
        <v>#REF!</v>
      </c>
      <c r="BA106" s="459" t="e">
        <f>#REF!-AV106</f>
        <v>#REF!</v>
      </c>
      <c r="BB106" s="459">
        <f t="shared" si="481"/>
        <v>685.4</v>
      </c>
      <c r="BC106" s="459"/>
      <c r="BD106" s="460">
        <v>685.4</v>
      </c>
      <c r="BE106" s="459"/>
      <c r="BF106" s="459"/>
      <c r="BG106" s="459">
        <f t="shared" si="482"/>
        <v>0</v>
      </c>
      <c r="BH106" s="459"/>
      <c r="BI106" s="460"/>
      <c r="BJ106" s="459"/>
      <c r="BK106" s="459"/>
      <c r="BL106" s="459">
        <f t="shared" si="483"/>
        <v>0</v>
      </c>
      <c r="BM106" s="459"/>
      <c r="BN106" s="460"/>
      <c r="BO106" s="459"/>
      <c r="BP106" s="459"/>
      <c r="BQ106" s="459">
        <f t="shared" si="505"/>
        <v>0</v>
      </c>
      <c r="BR106" s="459"/>
      <c r="BS106" s="460"/>
      <c r="BT106" s="459"/>
      <c r="BU106" s="459"/>
      <c r="BV106" s="459">
        <f t="shared" si="484"/>
        <v>0</v>
      </c>
      <c r="BW106" s="459"/>
      <c r="BX106" s="459"/>
      <c r="BY106" s="459"/>
      <c r="BZ106" s="459"/>
      <c r="CA106" s="464">
        <f t="shared" si="485"/>
        <v>0</v>
      </c>
      <c r="CB106" s="459">
        <f t="shared" si="486"/>
        <v>0</v>
      </c>
      <c r="CC106" s="459">
        <f t="shared" si="487"/>
        <v>0</v>
      </c>
      <c r="CD106" s="459">
        <f t="shared" si="487"/>
        <v>0</v>
      </c>
      <c r="CE106" s="459">
        <f t="shared" si="487"/>
        <v>0</v>
      </c>
      <c r="CF106" s="459">
        <f t="shared" si="487"/>
        <v>0</v>
      </c>
      <c r="CG106" s="459">
        <f t="shared" si="488"/>
        <v>0</v>
      </c>
      <c r="CH106" s="459">
        <f t="shared" si="489"/>
        <v>0</v>
      </c>
      <c r="CI106" s="459">
        <f t="shared" si="489"/>
        <v>0</v>
      </c>
      <c r="CJ106" s="459">
        <f t="shared" si="489"/>
        <v>0</v>
      </c>
      <c r="CK106" s="459">
        <f t="shared" si="489"/>
        <v>0</v>
      </c>
      <c r="CL106" s="465"/>
      <c r="CM106" s="466"/>
      <c r="CN106" s="466"/>
      <c r="CO106" s="459">
        <f t="shared" si="490"/>
        <v>0</v>
      </c>
      <c r="CP106" s="459"/>
      <c r="CQ106" s="460"/>
      <c r="CR106" s="459"/>
      <c r="CS106" s="459"/>
      <c r="CT106" s="459">
        <f t="shared" si="491"/>
        <v>0</v>
      </c>
      <c r="CU106" s="459"/>
      <c r="CV106" s="460"/>
      <c r="CW106" s="459"/>
      <c r="CX106" s="459"/>
      <c r="CY106" s="459">
        <f t="shared" si="492"/>
        <v>0</v>
      </c>
      <c r="CZ106" s="459">
        <f t="shared" si="493"/>
        <v>0</v>
      </c>
      <c r="DA106" s="459">
        <f t="shared" si="493"/>
        <v>0</v>
      </c>
      <c r="DB106" s="459">
        <f t="shared" si="493"/>
        <v>0</v>
      </c>
      <c r="DC106" s="459">
        <f t="shared" si="493"/>
        <v>0</v>
      </c>
      <c r="DD106" s="459"/>
      <c r="DE106" s="459"/>
      <c r="DF106" s="459"/>
      <c r="DG106" s="459">
        <f t="shared" si="494"/>
        <v>0</v>
      </c>
      <c r="DH106" s="467"/>
      <c r="DI106" s="459">
        <f t="shared" si="495"/>
        <v>0</v>
      </c>
      <c r="DJ106" s="459">
        <f t="shared" si="496"/>
        <v>0</v>
      </c>
      <c r="DK106" s="467"/>
      <c r="DL106" s="459"/>
      <c r="DM106" s="459"/>
      <c r="DN106" s="467"/>
      <c r="DO106" s="459"/>
      <c r="DP106" s="467"/>
      <c r="DQ106" s="467"/>
      <c r="DR106" s="459">
        <f t="shared" si="322"/>
        <v>0</v>
      </c>
      <c r="DS106" s="459"/>
      <c r="DT106" s="470"/>
      <c r="DU106" s="459"/>
      <c r="DV106" s="459"/>
      <c r="DW106" s="459">
        <f t="shared" si="323"/>
        <v>0</v>
      </c>
      <c r="DX106" s="459"/>
      <c r="DY106" s="459"/>
      <c r="DZ106" s="459"/>
      <c r="EA106" s="146"/>
      <c r="EB106" s="279"/>
      <c r="EC106" s="279"/>
      <c r="ED106" s="279"/>
      <c r="EE106" s="366"/>
      <c r="EF106" s="366"/>
      <c r="EG106" s="279"/>
      <c r="EH106" s="279"/>
      <c r="EI106" s="279"/>
      <c r="EJ106" s="366"/>
      <c r="EK106" s="366"/>
      <c r="EL106" s="366">
        <v>2.7799999999999998E-2</v>
      </c>
      <c r="EM106" s="280"/>
      <c r="EN106" s="279"/>
      <c r="EO106" s="265" t="e">
        <f t="shared" si="497"/>
        <v>#DIV/0!</v>
      </c>
      <c r="EP106" s="323">
        <f t="shared" si="335"/>
        <v>0</v>
      </c>
      <c r="EQ106" s="323">
        <f t="shared" si="349"/>
        <v>0</v>
      </c>
      <c r="ER106" s="323"/>
      <c r="ES106" s="358"/>
      <c r="ET106" s="358"/>
      <c r="EU106" s="323">
        <f t="shared" si="336"/>
        <v>0</v>
      </c>
      <c r="EV106" s="323">
        <f t="shared" si="500"/>
        <v>0</v>
      </c>
      <c r="EW106" s="323">
        <f t="shared" si="501"/>
        <v>0</v>
      </c>
      <c r="EX106" s="358"/>
      <c r="EY106" s="358"/>
      <c r="EZ106" s="358">
        <v>9.2499999999999999E-2</v>
      </c>
      <c r="FA106" s="323">
        <f t="shared" si="504"/>
        <v>0</v>
      </c>
      <c r="FB106" s="323">
        <f t="shared" si="337"/>
        <v>0</v>
      </c>
      <c r="FC106" s="279"/>
      <c r="FD106" s="279"/>
      <c r="FE106" s="279"/>
      <c r="FF106" s="366"/>
      <c r="FG106" s="366"/>
      <c r="FH106" s="279"/>
      <c r="FI106" s="279"/>
      <c r="FJ106" s="279"/>
      <c r="FK106" s="366"/>
      <c r="FL106" s="366"/>
      <c r="FM106" s="366">
        <v>9.2499999999999999E-2</v>
      </c>
      <c r="FN106" s="280"/>
      <c r="FO106" s="279"/>
    </row>
    <row r="107" spans="2:171" s="40" customFormat="1" ht="15.6" customHeight="1" x14ac:dyDescent="0.25">
      <c r="B107" s="32"/>
      <c r="C107" s="33"/>
      <c r="D107" s="33">
        <v>1</v>
      </c>
      <c r="E107" s="434">
        <v>89</v>
      </c>
      <c r="F107" s="32"/>
      <c r="G107" s="33"/>
      <c r="H107" s="33">
        <v>1</v>
      </c>
      <c r="I107" s="434"/>
      <c r="J107" s="435"/>
      <c r="K107" s="435"/>
      <c r="L107" s="53"/>
      <c r="M107" s="434">
        <v>86</v>
      </c>
      <c r="N107" s="435" t="s">
        <v>213</v>
      </c>
      <c r="O107" s="435"/>
      <c r="P107" s="24">
        <f t="shared" si="334"/>
        <v>0</v>
      </c>
      <c r="Q107" s="435"/>
      <c r="R107" s="435"/>
      <c r="S107" s="435"/>
      <c r="T107" s="435"/>
      <c r="U107" s="161"/>
      <c r="V107" s="434"/>
      <c r="W107" s="459">
        <f t="shared" si="475"/>
        <v>0</v>
      </c>
      <c r="X107" s="459"/>
      <c r="Y107" s="460">
        <v>0</v>
      </c>
      <c r="Z107" s="459"/>
      <c r="AA107" s="461"/>
      <c r="AB107" s="459">
        <f t="shared" si="476"/>
        <v>770.5</v>
      </c>
      <c r="AC107" s="459"/>
      <c r="AD107" s="460">
        <v>770.5</v>
      </c>
      <c r="AE107" s="459"/>
      <c r="AF107" s="461"/>
      <c r="AG107" s="459">
        <f t="shared" si="477"/>
        <v>770.5</v>
      </c>
      <c r="AH107" s="459"/>
      <c r="AI107" s="460">
        <v>770.5</v>
      </c>
      <c r="AJ107" s="459"/>
      <c r="AK107" s="461"/>
      <c r="AL107" s="459">
        <f t="shared" si="478"/>
        <v>335</v>
      </c>
      <c r="AM107" s="459"/>
      <c r="AN107" s="460">
        <v>335</v>
      </c>
      <c r="AO107" s="459"/>
      <c r="AP107" s="461"/>
      <c r="AQ107" s="383"/>
      <c r="AR107" s="459">
        <f t="shared" si="479"/>
        <v>0</v>
      </c>
      <c r="AS107" s="459"/>
      <c r="AT107" s="462"/>
      <c r="AU107" s="459"/>
      <c r="AV107" s="461"/>
      <c r="AW107" s="459" t="e">
        <f t="shared" si="480"/>
        <v>#REF!</v>
      </c>
      <c r="AX107" s="459" t="e">
        <f>#REF!-AS107</f>
        <v>#REF!</v>
      </c>
      <c r="AY107" s="459" t="e">
        <f>#REF!-AT107</f>
        <v>#REF!</v>
      </c>
      <c r="AZ107" s="459" t="e">
        <f>#REF!-AU107</f>
        <v>#REF!</v>
      </c>
      <c r="BA107" s="459" t="e">
        <f>#REF!-AV107</f>
        <v>#REF!</v>
      </c>
      <c r="BB107" s="459">
        <f t="shared" si="481"/>
        <v>770.5</v>
      </c>
      <c r="BC107" s="459"/>
      <c r="BD107" s="460">
        <f>335+435.5</f>
        <v>770.5</v>
      </c>
      <c r="BE107" s="459"/>
      <c r="BF107" s="461"/>
      <c r="BG107" s="459">
        <f t="shared" si="482"/>
        <v>0</v>
      </c>
      <c r="BH107" s="459"/>
      <c r="BI107" s="460"/>
      <c r="BJ107" s="459"/>
      <c r="BK107" s="461"/>
      <c r="BL107" s="459">
        <f t="shared" si="483"/>
        <v>0</v>
      </c>
      <c r="BM107" s="459"/>
      <c r="BN107" s="460"/>
      <c r="BO107" s="459"/>
      <c r="BP107" s="470"/>
      <c r="BQ107" s="459">
        <f t="shared" si="505"/>
        <v>0</v>
      </c>
      <c r="BR107" s="459"/>
      <c r="BS107" s="470"/>
      <c r="BT107" s="459"/>
      <c r="BU107" s="470"/>
      <c r="BV107" s="459">
        <f t="shared" si="484"/>
        <v>0</v>
      </c>
      <c r="BW107" s="459"/>
      <c r="BX107" s="459"/>
      <c r="BY107" s="459"/>
      <c r="BZ107" s="459"/>
      <c r="CA107" s="464">
        <f t="shared" si="485"/>
        <v>0</v>
      </c>
      <c r="CB107" s="459">
        <f t="shared" si="486"/>
        <v>0</v>
      </c>
      <c r="CC107" s="459">
        <f t="shared" si="487"/>
        <v>0</v>
      </c>
      <c r="CD107" s="459">
        <f t="shared" si="487"/>
        <v>0</v>
      </c>
      <c r="CE107" s="459">
        <f t="shared" si="487"/>
        <v>0</v>
      </c>
      <c r="CF107" s="459">
        <f t="shared" si="487"/>
        <v>0</v>
      </c>
      <c r="CG107" s="459">
        <f t="shared" si="488"/>
        <v>0</v>
      </c>
      <c r="CH107" s="459">
        <f t="shared" si="489"/>
        <v>0</v>
      </c>
      <c r="CI107" s="459">
        <f t="shared" si="489"/>
        <v>0</v>
      </c>
      <c r="CJ107" s="459">
        <f t="shared" si="489"/>
        <v>0</v>
      </c>
      <c r="CK107" s="459">
        <f t="shared" si="489"/>
        <v>0</v>
      </c>
      <c r="CL107" s="465"/>
      <c r="CM107" s="466"/>
      <c r="CN107" s="466"/>
      <c r="CO107" s="459">
        <f t="shared" si="490"/>
        <v>0</v>
      </c>
      <c r="CP107" s="459"/>
      <c r="CQ107" s="460"/>
      <c r="CR107" s="459"/>
      <c r="CS107" s="461"/>
      <c r="CT107" s="459">
        <f t="shared" si="491"/>
        <v>0</v>
      </c>
      <c r="CU107" s="459"/>
      <c r="CV107" s="460"/>
      <c r="CW107" s="459"/>
      <c r="CX107" s="461"/>
      <c r="CY107" s="459">
        <f t="shared" si="492"/>
        <v>0</v>
      </c>
      <c r="CZ107" s="459">
        <f t="shared" si="493"/>
        <v>0</v>
      </c>
      <c r="DA107" s="459">
        <f t="shared" si="493"/>
        <v>0</v>
      </c>
      <c r="DB107" s="459">
        <f t="shared" si="493"/>
        <v>0</v>
      </c>
      <c r="DC107" s="459">
        <f t="shared" si="493"/>
        <v>0</v>
      </c>
      <c r="DD107" s="459"/>
      <c r="DE107" s="459"/>
      <c r="DF107" s="459"/>
      <c r="DG107" s="459">
        <f t="shared" si="494"/>
        <v>0</v>
      </c>
      <c r="DH107" s="467"/>
      <c r="DI107" s="459">
        <f t="shared" si="495"/>
        <v>0</v>
      </c>
      <c r="DJ107" s="459">
        <f t="shared" si="496"/>
        <v>0</v>
      </c>
      <c r="DK107" s="467"/>
      <c r="DL107" s="459"/>
      <c r="DM107" s="459"/>
      <c r="DN107" s="467"/>
      <c r="DO107" s="459"/>
      <c r="DP107" s="467"/>
      <c r="DQ107" s="467"/>
      <c r="DR107" s="459">
        <f t="shared" si="322"/>
        <v>0</v>
      </c>
      <c r="DS107" s="459"/>
      <c r="DT107" s="460"/>
      <c r="DU107" s="459"/>
      <c r="DV107" s="470"/>
      <c r="DW107" s="459">
        <f t="shared" si="323"/>
        <v>0</v>
      </c>
      <c r="DX107" s="459"/>
      <c r="DY107" s="459"/>
      <c r="DZ107" s="459"/>
      <c r="EA107" s="146"/>
      <c r="EB107" s="279"/>
      <c r="EC107" s="279"/>
      <c r="ED107" s="279"/>
      <c r="EE107" s="366"/>
      <c r="EF107" s="366"/>
      <c r="EG107" s="279"/>
      <c r="EH107" s="279"/>
      <c r="EI107" s="279"/>
      <c r="EJ107" s="366"/>
      <c r="EK107" s="366"/>
      <c r="EL107" s="366">
        <v>2.53E-2</v>
      </c>
      <c r="EM107" s="280"/>
      <c r="EN107" s="279"/>
      <c r="EO107" s="265" t="e">
        <f t="shared" si="497"/>
        <v>#DIV/0!</v>
      </c>
      <c r="EP107" s="323">
        <f t="shared" si="335"/>
        <v>0</v>
      </c>
      <c r="EQ107" s="323">
        <f t="shared" si="349"/>
        <v>0</v>
      </c>
      <c r="ER107" s="323"/>
      <c r="ES107" s="358"/>
      <c r="ET107" s="358"/>
      <c r="EU107" s="323">
        <f t="shared" si="336"/>
        <v>0</v>
      </c>
      <c r="EV107" s="323">
        <f t="shared" si="500"/>
        <v>0</v>
      </c>
      <c r="EW107" s="323">
        <f t="shared" si="501"/>
        <v>0</v>
      </c>
      <c r="EX107" s="358"/>
      <c r="EY107" s="358"/>
      <c r="EZ107" s="358">
        <v>8.4199999999999997E-2</v>
      </c>
      <c r="FA107" s="323">
        <f t="shared" si="504"/>
        <v>0</v>
      </c>
      <c r="FB107" s="323">
        <f t="shared" si="337"/>
        <v>0</v>
      </c>
      <c r="FC107" s="279"/>
      <c r="FD107" s="279"/>
      <c r="FE107" s="279"/>
      <c r="FF107" s="366"/>
      <c r="FG107" s="366"/>
      <c r="FH107" s="279"/>
      <c r="FI107" s="279"/>
      <c r="FJ107" s="279"/>
      <c r="FK107" s="366"/>
      <c r="FL107" s="366"/>
      <c r="FM107" s="366">
        <v>8.4199999999999997E-2</v>
      </c>
      <c r="FN107" s="280"/>
      <c r="FO107" s="279"/>
    </row>
    <row r="108" spans="2:171" s="40" customFormat="1" ht="15.6" customHeight="1" x14ac:dyDescent="0.25">
      <c r="B108" s="32"/>
      <c r="C108" s="33"/>
      <c r="D108" s="33">
        <v>1</v>
      </c>
      <c r="E108" s="434">
        <v>90</v>
      </c>
      <c r="F108" s="32"/>
      <c r="G108" s="33"/>
      <c r="H108" s="33">
        <v>1</v>
      </c>
      <c r="I108" s="434"/>
      <c r="J108" s="435"/>
      <c r="K108" s="435"/>
      <c r="L108" s="53"/>
      <c r="M108" s="434">
        <v>87</v>
      </c>
      <c r="N108" s="435" t="s">
        <v>179</v>
      </c>
      <c r="O108" s="435"/>
      <c r="P108" s="24">
        <f t="shared" si="334"/>
        <v>0</v>
      </c>
      <c r="Q108" s="435"/>
      <c r="R108" s="435"/>
      <c r="S108" s="435"/>
      <c r="T108" s="435"/>
      <c r="U108" s="161"/>
      <c r="V108" s="434"/>
      <c r="W108" s="459">
        <f t="shared" si="475"/>
        <v>0</v>
      </c>
      <c r="X108" s="459"/>
      <c r="Y108" s="460">
        <v>0</v>
      </c>
      <c r="Z108" s="459"/>
      <c r="AA108" s="461"/>
      <c r="AB108" s="459">
        <f t="shared" si="476"/>
        <v>1083.3</v>
      </c>
      <c r="AC108" s="459"/>
      <c r="AD108" s="460">
        <v>1083.3</v>
      </c>
      <c r="AE108" s="459"/>
      <c r="AF108" s="461"/>
      <c r="AG108" s="459">
        <f t="shared" si="477"/>
        <v>1083.3</v>
      </c>
      <c r="AH108" s="459"/>
      <c r="AI108" s="460">
        <v>1083.3</v>
      </c>
      <c r="AJ108" s="459"/>
      <c r="AK108" s="461"/>
      <c r="AL108" s="459">
        <f t="shared" si="478"/>
        <v>471</v>
      </c>
      <c r="AM108" s="459"/>
      <c r="AN108" s="460">
        <v>471</v>
      </c>
      <c r="AO108" s="459"/>
      <c r="AP108" s="461"/>
      <c r="AQ108" s="383"/>
      <c r="AR108" s="459">
        <f t="shared" si="479"/>
        <v>0</v>
      </c>
      <c r="AS108" s="459"/>
      <c r="AT108" s="462"/>
      <c r="AU108" s="459"/>
      <c r="AV108" s="461"/>
      <c r="AW108" s="459" t="e">
        <f t="shared" si="480"/>
        <v>#REF!</v>
      </c>
      <c r="AX108" s="459" t="e">
        <f>#REF!-AS108</f>
        <v>#REF!</v>
      </c>
      <c r="AY108" s="459" t="e">
        <f>#REF!-AT108</f>
        <v>#REF!</v>
      </c>
      <c r="AZ108" s="459" t="e">
        <f>#REF!-AU108</f>
        <v>#REF!</v>
      </c>
      <c r="BA108" s="459" t="e">
        <f>#REF!-AV108</f>
        <v>#REF!</v>
      </c>
      <c r="BB108" s="459">
        <f t="shared" si="481"/>
        <v>1083.3</v>
      </c>
      <c r="BC108" s="459"/>
      <c r="BD108" s="460">
        <f>471+612.3</f>
        <v>1083.3</v>
      </c>
      <c r="BE108" s="459"/>
      <c r="BF108" s="461"/>
      <c r="BG108" s="459">
        <f t="shared" si="482"/>
        <v>0</v>
      </c>
      <c r="BH108" s="459"/>
      <c r="BI108" s="460"/>
      <c r="BJ108" s="459"/>
      <c r="BK108" s="461"/>
      <c r="BL108" s="459">
        <f t="shared" si="483"/>
        <v>0</v>
      </c>
      <c r="BM108" s="459"/>
      <c r="BN108" s="460"/>
      <c r="BO108" s="459"/>
      <c r="BP108" s="470"/>
      <c r="BQ108" s="459">
        <f t="shared" si="505"/>
        <v>0</v>
      </c>
      <c r="BR108" s="459"/>
      <c r="BS108" s="460"/>
      <c r="BT108" s="459"/>
      <c r="BU108" s="470"/>
      <c r="BV108" s="459">
        <f t="shared" si="484"/>
        <v>0</v>
      </c>
      <c r="BW108" s="459"/>
      <c r="BX108" s="459"/>
      <c r="BY108" s="459"/>
      <c r="BZ108" s="459"/>
      <c r="CA108" s="464">
        <f t="shared" si="485"/>
        <v>0</v>
      </c>
      <c r="CB108" s="459">
        <f t="shared" si="486"/>
        <v>0</v>
      </c>
      <c r="CC108" s="459">
        <f t="shared" si="487"/>
        <v>0</v>
      </c>
      <c r="CD108" s="459">
        <f t="shared" si="487"/>
        <v>0</v>
      </c>
      <c r="CE108" s="459">
        <f t="shared" si="487"/>
        <v>0</v>
      </c>
      <c r="CF108" s="459">
        <f t="shared" si="487"/>
        <v>0</v>
      </c>
      <c r="CG108" s="459">
        <f t="shared" si="488"/>
        <v>0</v>
      </c>
      <c r="CH108" s="459">
        <f t="shared" si="489"/>
        <v>0</v>
      </c>
      <c r="CI108" s="459">
        <f t="shared" si="489"/>
        <v>0</v>
      </c>
      <c r="CJ108" s="459">
        <f t="shared" si="489"/>
        <v>0</v>
      </c>
      <c r="CK108" s="459">
        <f t="shared" si="489"/>
        <v>0</v>
      </c>
      <c r="CL108" s="465"/>
      <c r="CM108" s="466"/>
      <c r="CN108" s="466"/>
      <c r="CO108" s="459">
        <f t="shared" si="490"/>
        <v>0</v>
      </c>
      <c r="CP108" s="459"/>
      <c r="CQ108" s="460"/>
      <c r="CR108" s="459"/>
      <c r="CS108" s="461"/>
      <c r="CT108" s="459">
        <f t="shared" si="491"/>
        <v>0</v>
      </c>
      <c r="CU108" s="459"/>
      <c r="CV108" s="460"/>
      <c r="CW108" s="459"/>
      <c r="CX108" s="461"/>
      <c r="CY108" s="459">
        <f t="shared" si="492"/>
        <v>0</v>
      </c>
      <c r="CZ108" s="459">
        <f t="shared" si="493"/>
        <v>0</v>
      </c>
      <c r="DA108" s="459">
        <f t="shared" si="493"/>
        <v>0</v>
      </c>
      <c r="DB108" s="459">
        <f t="shared" si="493"/>
        <v>0</v>
      </c>
      <c r="DC108" s="459">
        <f t="shared" si="493"/>
        <v>0</v>
      </c>
      <c r="DD108" s="459"/>
      <c r="DE108" s="459"/>
      <c r="DF108" s="459"/>
      <c r="DG108" s="459">
        <f t="shared" si="494"/>
        <v>0</v>
      </c>
      <c r="DH108" s="467"/>
      <c r="DI108" s="459">
        <f t="shared" si="495"/>
        <v>0</v>
      </c>
      <c r="DJ108" s="459">
        <f t="shared" si="496"/>
        <v>0</v>
      </c>
      <c r="DK108" s="467"/>
      <c r="DL108" s="459"/>
      <c r="DM108" s="459"/>
      <c r="DN108" s="467"/>
      <c r="DO108" s="459"/>
      <c r="DP108" s="467"/>
      <c r="DQ108" s="467"/>
      <c r="DR108" s="459">
        <f t="shared" si="322"/>
        <v>0</v>
      </c>
      <c r="DS108" s="459"/>
      <c r="DT108" s="460"/>
      <c r="DU108" s="459"/>
      <c r="DV108" s="470"/>
      <c r="DW108" s="459">
        <f t="shared" si="323"/>
        <v>0</v>
      </c>
      <c r="DX108" s="459"/>
      <c r="DY108" s="459"/>
      <c r="DZ108" s="459"/>
      <c r="EA108" s="146"/>
      <c r="EB108" s="355"/>
      <c r="EC108" s="355"/>
      <c r="ED108" s="279"/>
      <c r="EE108" s="366"/>
      <c r="EF108" s="366"/>
      <c r="EG108" s="279"/>
      <c r="EH108" s="279"/>
      <c r="EI108" s="279"/>
      <c r="EJ108" s="366"/>
      <c r="EK108" s="366"/>
      <c r="EL108" s="366">
        <v>2.3E-2</v>
      </c>
      <c r="EM108" s="280"/>
      <c r="EN108" s="279"/>
      <c r="EO108" s="265" t="e">
        <f t="shared" si="497"/>
        <v>#DIV/0!</v>
      </c>
      <c r="EP108" s="323">
        <f t="shared" si="335"/>
        <v>0</v>
      </c>
      <c r="EQ108" s="323">
        <f t="shared" si="349"/>
        <v>0</v>
      </c>
      <c r="ER108" s="323"/>
      <c r="ES108" s="358"/>
      <c r="ET108" s="358"/>
      <c r="EU108" s="323">
        <f t="shared" si="336"/>
        <v>0</v>
      </c>
      <c r="EV108" s="323">
        <f t="shared" si="500"/>
        <v>0</v>
      </c>
      <c r="EW108" s="323">
        <f t="shared" si="501"/>
        <v>0</v>
      </c>
      <c r="EX108" s="358"/>
      <c r="EY108" s="358"/>
      <c r="EZ108" s="358">
        <v>7.6700000000000004E-2</v>
      </c>
      <c r="FA108" s="323">
        <f t="shared" si="504"/>
        <v>0</v>
      </c>
      <c r="FB108" s="323">
        <f t="shared" si="337"/>
        <v>0</v>
      </c>
      <c r="FC108" s="279"/>
      <c r="FD108" s="279"/>
      <c r="FE108" s="279"/>
      <c r="FF108" s="366"/>
      <c r="FG108" s="366"/>
      <c r="FH108" s="279"/>
      <c r="FI108" s="279"/>
      <c r="FJ108" s="279"/>
      <c r="FK108" s="366"/>
      <c r="FL108" s="366"/>
      <c r="FM108" s="366">
        <v>7.6700000000000004E-2</v>
      </c>
      <c r="FN108" s="280"/>
      <c r="FO108" s="279"/>
    </row>
    <row r="109" spans="2:171" s="40" customFormat="1" ht="15.6" customHeight="1" x14ac:dyDescent="0.25">
      <c r="B109" s="32"/>
      <c r="C109" s="33"/>
      <c r="D109" s="33">
        <v>1</v>
      </c>
      <c r="E109" s="434">
        <v>91</v>
      </c>
      <c r="F109" s="32"/>
      <c r="G109" s="33"/>
      <c r="H109" s="33">
        <v>1</v>
      </c>
      <c r="I109" s="434"/>
      <c r="J109" s="435"/>
      <c r="K109" s="435"/>
      <c r="L109" s="53"/>
      <c r="M109" s="434">
        <v>88</v>
      </c>
      <c r="N109" s="435" t="s">
        <v>108</v>
      </c>
      <c r="O109" s="435"/>
      <c r="P109" s="24">
        <f t="shared" si="334"/>
        <v>0</v>
      </c>
      <c r="Q109" s="435" t="s">
        <v>501</v>
      </c>
      <c r="R109" s="435" t="s">
        <v>488</v>
      </c>
      <c r="S109" s="435" t="s">
        <v>490</v>
      </c>
      <c r="T109" s="435" t="s">
        <v>488</v>
      </c>
      <c r="U109" s="161">
        <v>1</v>
      </c>
      <c r="V109" s="434">
        <v>3</v>
      </c>
      <c r="W109" s="459">
        <f t="shared" si="475"/>
        <v>3364.8</v>
      </c>
      <c r="X109" s="459">
        <f>9417.292-9417.292</f>
        <v>0</v>
      </c>
      <c r="Y109" s="460">
        <v>3364.8</v>
      </c>
      <c r="Z109" s="459"/>
      <c r="AA109" s="461"/>
      <c r="AB109" s="459">
        <f t="shared" si="476"/>
        <v>3082.1</v>
      </c>
      <c r="AC109" s="459">
        <v>1950.5</v>
      </c>
      <c r="AD109" s="460">
        <v>1131.5999999999999</v>
      </c>
      <c r="AE109" s="459"/>
      <c r="AF109" s="461"/>
      <c r="AG109" s="459">
        <f t="shared" si="477"/>
        <v>3082.1</v>
      </c>
      <c r="AH109" s="459">
        <v>1950.5</v>
      </c>
      <c r="AI109" s="460">
        <v>1131.5999999999999</v>
      </c>
      <c r="AJ109" s="459"/>
      <c r="AK109" s="461"/>
      <c r="AL109" s="459">
        <f t="shared" si="478"/>
        <v>2442.5</v>
      </c>
      <c r="AM109" s="459">
        <v>1950.5</v>
      </c>
      <c r="AN109" s="460">
        <v>492</v>
      </c>
      <c r="AO109" s="459"/>
      <c r="AP109" s="461"/>
      <c r="AQ109" s="383" t="s">
        <v>486</v>
      </c>
      <c r="AR109" s="459">
        <f t="shared" si="479"/>
        <v>2759.85</v>
      </c>
      <c r="AS109" s="459">
        <f>9417.292-9417.292</f>
        <v>0</v>
      </c>
      <c r="AT109" s="462">
        <f>3305.212-545.362</f>
        <v>2759.85</v>
      </c>
      <c r="AU109" s="459"/>
      <c r="AV109" s="461"/>
      <c r="AW109" s="459" t="e">
        <f t="shared" si="480"/>
        <v>#REF!</v>
      </c>
      <c r="AX109" s="459" t="e">
        <f>#REF!-AS109</f>
        <v>#REF!</v>
      </c>
      <c r="AY109" s="459" t="e">
        <f>#REF!-AT109</f>
        <v>#REF!</v>
      </c>
      <c r="AZ109" s="459" t="e">
        <f>#REF!-AU109</f>
        <v>#REF!</v>
      </c>
      <c r="BA109" s="459" t="e">
        <f>#REF!-AV109</f>
        <v>#REF!</v>
      </c>
      <c r="BB109" s="459">
        <f t="shared" si="481"/>
        <v>1131.5999999999999</v>
      </c>
      <c r="BC109" s="459"/>
      <c r="BD109" s="460">
        <v>1131.5999999999999</v>
      </c>
      <c r="BE109" s="459"/>
      <c r="BF109" s="461"/>
      <c r="BG109" s="459">
        <f t="shared" si="482"/>
        <v>0</v>
      </c>
      <c r="BH109" s="459"/>
      <c r="BI109" s="461"/>
      <c r="BJ109" s="459"/>
      <c r="BK109" s="461"/>
      <c r="BL109" s="459">
        <f t="shared" si="483"/>
        <v>2759.85</v>
      </c>
      <c r="BM109" s="459"/>
      <c r="BN109" s="462">
        <f>3305.212-545.362</f>
        <v>2759.85</v>
      </c>
      <c r="BO109" s="459"/>
      <c r="BP109" s="470"/>
      <c r="BQ109" s="459">
        <f t="shared" si="505"/>
        <v>2759.85</v>
      </c>
      <c r="BR109" s="459"/>
      <c r="BS109" s="462">
        <f>3305.212-545.362</f>
        <v>2759.85</v>
      </c>
      <c r="BT109" s="459"/>
      <c r="BU109" s="470"/>
      <c r="BV109" s="459">
        <f t="shared" si="484"/>
        <v>242.60085000000001</v>
      </c>
      <c r="BW109" s="459"/>
      <c r="BX109" s="459">
        <v>242.60085000000001</v>
      </c>
      <c r="BY109" s="459"/>
      <c r="BZ109" s="459"/>
      <c r="CA109" s="464">
        <f t="shared" si="485"/>
        <v>3002.4508499999997</v>
      </c>
      <c r="CB109" s="459">
        <f t="shared" si="486"/>
        <v>3002.4508499999997</v>
      </c>
      <c r="CC109" s="459">
        <f t="shared" si="487"/>
        <v>0</v>
      </c>
      <c r="CD109" s="459">
        <f t="shared" si="487"/>
        <v>3002.4508499999997</v>
      </c>
      <c r="CE109" s="459">
        <f t="shared" si="487"/>
        <v>0</v>
      </c>
      <c r="CF109" s="459">
        <f t="shared" si="487"/>
        <v>0</v>
      </c>
      <c r="CG109" s="459">
        <f t="shared" si="488"/>
        <v>0</v>
      </c>
      <c r="CH109" s="459">
        <f t="shared" si="489"/>
        <v>0</v>
      </c>
      <c r="CI109" s="459">
        <f t="shared" si="489"/>
        <v>0</v>
      </c>
      <c r="CJ109" s="459">
        <f t="shared" si="489"/>
        <v>0</v>
      </c>
      <c r="CK109" s="459">
        <f t="shared" si="489"/>
        <v>0</v>
      </c>
      <c r="CL109" s="465"/>
      <c r="CM109" s="466"/>
      <c r="CN109" s="466"/>
      <c r="CO109" s="459">
        <f t="shared" si="490"/>
        <v>0</v>
      </c>
      <c r="CP109" s="459"/>
      <c r="CQ109" s="461"/>
      <c r="CR109" s="459"/>
      <c r="CS109" s="461"/>
      <c r="CT109" s="459">
        <f t="shared" si="491"/>
        <v>0</v>
      </c>
      <c r="CU109" s="459"/>
      <c r="CV109" s="461"/>
      <c r="CW109" s="459"/>
      <c r="CX109" s="461"/>
      <c r="CY109" s="459">
        <f t="shared" si="492"/>
        <v>0</v>
      </c>
      <c r="CZ109" s="459">
        <f t="shared" si="493"/>
        <v>0</v>
      </c>
      <c r="DA109" s="459">
        <f t="shared" si="493"/>
        <v>0</v>
      </c>
      <c r="DB109" s="459">
        <f t="shared" si="493"/>
        <v>0</v>
      </c>
      <c r="DC109" s="459">
        <f t="shared" si="493"/>
        <v>0</v>
      </c>
      <c r="DD109" s="459"/>
      <c r="DE109" s="459"/>
      <c r="DF109" s="459"/>
      <c r="DG109" s="459">
        <f t="shared" si="494"/>
        <v>0</v>
      </c>
      <c r="DH109" s="467"/>
      <c r="DI109" s="459">
        <f t="shared" si="495"/>
        <v>2759.85</v>
      </c>
      <c r="DJ109" s="459">
        <f t="shared" si="496"/>
        <v>2759.85</v>
      </c>
      <c r="DK109" s="467"/>
      <c r="DL109" s="459"/>
      <c r="DM109" s="459"/>
      <c r="DN109" s="467"/>
      <c r="DO109" s="459"/>
      <c r="DP109" s="467"/>
      <c r="DQ109" s="467"/>
      <c r="DR109" s="459">
        <f t="shared" si="322"/>
        <v>2759.85</v>
      </c>
      <c r="DS109" s="459"/>
      <c r="DT109" s="460">
        <v>2759.85</v>
      </c>
      <c r="DU109" s="459"/>
      <c r="DV109" s="470"/>
      <c r="DW109" s="459">
        <f t="shared" si="323"/>
        <v>242.60085000000001</v>
      </c>
      <c r="DX109" s="459"/>
      <c r="DY109" s="459">
        <v>242.60085000000001</v>
      </c>
      <c r="DZ109" s="459"/>
      <c r="EA109" s="146"/>
      <c r="EB109" s="279">
        <f t="shared" si="528"/>
        <v>0</v>
      </c>
      <c r="EC109" s="279">
        <f t="shared" si="366"/>
        <v>0</v>
      </c>
      <c r="ED109" s="279">
        <v>0</v>
      </c>
      <c r="EE109" s="366" t="e">
        <f t="shared" si="529"/>
        <v>#DIV/0!</v>
      </c>
      <c r="EF109" s="366" t="e">
        <f t="shared" si="530"/>
        <v>#DIV/0!</v>
      </c>
      <c r="EG109" s="279">
        <f t="shared" si="368"/>
        <v>0</v>
      </c>
      <c r="EH109" s="279">
        <f t="shared" si="402"/>
        <v>0</v>
      </c>
      <c r="EI109" s="279">
        <f t="shared" si="403"/>
        <v>0</v>
      </c>
      <c r="EJ109" s="366" t="e">
        <f t="shared" ref="EJ109" si="579">EH109/EG109</f>
        <v>#DIV/0!</v>
      </c>
      <c r="EK109" s="366" t="e">
        <f t="shared" ref="EK109" si="580">EI109/EG109</f>
        <v>#DIV/0!</v>
      </c>
      <c r="EL109" s="366">
        <v>2.4199999999999999E-2</v>
      </c>
      <c r="EM109" s="280" t="e">
        <f>EG109*EE109</f>
        <v>#DIV/0!</v>
      </c>
      <c r="EN109" s="279" t="e">
        <f>EH109-EM109</f>
        <v>#DIV/0!</v>
      </c>
      <c r="EO109" s="265" t="e">
        <f t="shared" si="497"/>
        <v>#DIV/0!</v>
      </c>
      <c r="EP109" s="323">
        <f t="shared" si="335"/>
        <v>3002.4508499999997</v>
      </c>
      <c r="EQ109" s="323">
        <f t="shared" si="349"/>
        <v>2759.85</v>
      </c>
      <c r="ER109" s="323">
        <v>242.60085000000001</v>
      </c>
      <c r="ES109" s="358">
        <f t="shared" si="498"/>
        <v>0.91919906032766541</v>
      </c>
      <c r="ET109" s="358">
        <f t="shared" si="499"/>
        <v>8.080093967233469E-2</v>
      </c>
      <c r="EU109" s="323">
        <f t="shared" si="336"/>
        <v>3002.4508499999997</v>
      </c>
      <c r="EV109" s="323">
        <f t="shared" si="500"/>
        <v>2759.85</v>
      </c>
      <c r="EW109" s="323">
        <f t="shared" si="501"/>
        <v>242.60085000000001</v>
      </c>
      <c r="EX109" s="358">
        <f t="shared" si="502"/>
        <v>0.91919906032766541</v>
      </c>
      <c r="EY109" s="358">
        <f t="shared" si="503"/>
        <v>8.080093967233469E-2</v>
      </c>
      <c r="EZ109" s="358">
        <v>8.0799999999999997E-2</v>
      </c>
      <c r="FA109" s="323">
        <f t="shared" si="504"/>
        <v>2759.85</v>
      </c>
      <c r="FB109" s="323">
        <f t="shared" si="337"/>
        <v>0</v>
      </c>
      <c r="FC109" s="279"/>
      <c r="FD109" s="279"/>
      <c r="FE109" s="279"/>
      <c r="FF109" s="366"/>
      <c r="FG109" s="366"/>
      <c r="FH109" s="279"/>
      <c r="FI109" s="279"/>
      <c r="FJ109" s="279"/>
      <c r="FK109" s="366"/>
      <c r="FL109" s="366"/>
      <c r="FM109" s="366">
        <v>8.0799999999999997E-2</v>
      </c>
      <c r="FN109" s="280"/>
      <c r="FO109" s="279"/>
    </row>
    <row r="110" spans="2:171" s="40" customFormat="1" ht="15.6" customHeight="1" x14ac:dyDescent="0.25">
      <c r="B110" s="32"/>
      <c r="C110" s="33">
        <v>1</v>
      </c>
      <c r="D110" s="33"/>
      <c r="E110" s="434">
        <v>92</v>
      </c>
      <c r="F110" s="32"/>
      <c r="G110" s="33">
        <v>1</v>
      </c>
      <c r="H110" s="33">
        <v>1</v>
      </c>
      <c r="I110" s="434"/>
      <c r="J110" s="435"/>
      <c r="K110" s="435"/>
      <c r="L110" s="53"/>
      <c r="M110" s="434">
        <v>89</v>
      </c>
      <c r="N110" s="435" t="s">
        <v>49</v>
      </c>
      <c r="O110" s="435"/>
      <c r="P110" s="24">
        <f t="shared" si="334"/>
        <v>0</v>
      </c>
      <c r="Q110" s="435" t="s">
        <v>491</v>
      </c>
      <c r="R110" s="435" t="s">
        <v>488</v>
      </c>
      <c r="S110" s="435" t="s">
        <v>491</v>
      </c>
      <c r="T110" s="435" t="s">
        <v>488</v>
      </c>
      <c r="U110" s="161">
        <v>1</v>
      </c>
      <c r="V110" s="161">
        <v>2</v>
      </c>
      <c r="W110" s="459">
        <f t="shared" si="475"/>
        <v>3842.2669999999998</v>
      </c>
      <c r="X110" s="459"/>
      <c r="Y110" s="460">
        <v>0</v>
      </c>
      <c r="Z110" s="566">
        <v>3842.2669999999998</v>
      </c>
      <c r="AA110" s="461"/>
      <c r="AB110" s="459">
        <f t="shared" si="476"/>
        <v>2132.1</v>
      </c>
      <c r="AC110" s="459"/>
      <c r="AD110" s="460">
        <v>2132.1</v>
      </c>
      <c r="AE110" s="567"/>
      <c r="AF110" s="461"/>
      <c r="AG110" s="459">
        <f t="shared" si="477"/>
        <v>2132.1</v>
      </c>
      <c r="AH110" s="459"/>
      <c r="AI110" s="460">
        <v>2132.1</v>
      </c>
      <c r="AJ110" s="567"/>
      <c r="AK110" s="461"/>
      <c r="AL110" s="459">
        <f t="shared" si="478"/>
        <v>927</v>
      </c>
      <c r="AM110" s="459"/>
      <c r="AN110" s="460">
        <v>927</v>
      </c>
      <c r="AO110" s="567"/>
      <c r="AP110" s="461"/>
      <c r="AQ110" s="383" t="s">
        <v>520</v>
      </c>
      <c r="AR110" s="459">
        <f t="shared" si="479"/>
        <v>3214.8389999999999</v>
      </c>
      <c r="AS110" s="459"/>
      <c r="AT110" s="462"/>
      <c r="AU110" s="566">
        <f>3842.267-627.428</f>
        <v>3214.8389999999999</v>
      </c>
      <c r="AV110" s="461"/>
      <c r="AW110" s="459" t="e">
        <f t="shared" si="480"/>
        <v>#REF!</v>
      </c>
      <c r="AX110" s="459" t="e">
        <f>#REF!-AS110</f>
        <v>#REF!</v>
      </c>
      <c r="AY110" s="459" t="e">
        <f>#REF!-AT110</f>
        <v>#REF!</v>
      </c>
      <c r="AZ110" s="459" t="e">
        <f>#REF!-AU110</f>
        <v>#REF!</v>
      </c>
      <c r="BA110" s="459" t="e">
        <f>#REF!-AV110</f>
        <v>#REF!</v>
      </c>
      <c r="BB110" s="459">
        <f t="shared" si="481"/>
        <v>2132.1</v>
      </c>
      <c r="BC110" s="459"/>
      <c r="BD110" s="460">
        <v>2132.1</v>
      </c>
      <c r="BE110" s="567"/>
      <c r="BF110" s="461"/>
      <c r="BG110" s="459">
        <f t="shared" si="482"/>
        <v>0</v>
      </c>
      <c r="BH110" s="459"/>
      <c r="BI110" s="460"/>
      <c r="BJ110" s="567"/>
      <c r="BK110" s="461"/>
      <c r="BL110" s="459">
        <f t="shared" si="483"/>
        <v>3214.8389999999999</v>
      </c>
      <c r="BM110" s="459"/>
      <c r="BN110" s="460"/>
      <c r="BO110" s="566">
        <v>3214.8389999999999</v>
      </c>
      <c r="BP110" s="470"/>
      <c r="BQ110" s="459">
        <f t="shared" si="505"/>
        <v>3214.8389999999999</v>
      </c>
      <c r="BR110" s="459"/>
      <c r="BS110" s="460"/>
      <c r="BT110" s="566">
        <v>3214.8389999999999</v>
      </c>
      <c r="BU110" s="470"/>
      <c r="BV110" s="459">
        <f t="shared" si="484"/>
        <v>357.2054</v>
      </c>
      <c r="BW110" s="459"/>
      <c r="BX110" s="459"/>
      <c r="BY110" s="459">
        <v>357.2054</v>
      </c>
      <c r="BZ110" s="459"/>
      <c r="CA110" s="464">
        <f t="shared" si="485"/>
        <v>3572.0443999999998</v>
      </c>
      <c r="CB110" s="459">
        <f t="shared" si="486"/>
        <v>3572.0443999999998</v>
      </c>
      <c r="CC110" s="459">
        <f t="shared" si="487"/>
        <v>0</v>
      </c>
      <c r="CD110" s="459">
        <f t="shared" si="487"/>
        <v>0</v>
      </c>
      <c r="CE110" s="459">
        <f t="shared" si="487"/>
        <v>3572.0443999999998</v>
      </c>
      <c r="CF110" s="459">
        <f t="shared" si="487"/>
        <v>0</v>
      </c>
      <c r="CG110" s="459">
        <f t="shared" si="488"/>
        <v>0</v>
      </c>
      <c r="CH110" s="459">
        <f t="shared" si="489"/>
        <v>0</v>
      </c>
      <c r="CI110" s="459">
        <f t="shared" si="489"/>
        <v>0</v>
      </c>
      <c r="CJ110" s="459">
        <f t="shared" si="489"/>
        <v>0</v>
      </c>
      <c r="CK110" s="459">
        <f t="shared" si="489"/>
        <v>0</v>
      </c>
      <c r="CL110" s="465"/>
      <c r="CM110" s="466"/>
      <c r="CN110" s="466"/>
      <c r="CO110" s="459">
        <f t="shared" si="490"/>
        <v>0</v>
      </c>
      <c r="CP110" s="459"/>
      <c r="CQ110" s="460"/>
      <c r="CR110" s="567"/>
      <c r="CS110" s="461"/>
      <c r="CT110" s="459">
        <f t="shared" si="491"/>
        <v>0</v>
      </c>
      <c r="CU110" s="459"/>
      <c r="CV110" s="460"/>
      <c r="CW110" s="567"/>
      <c r="CX110" s="461"/>
      <c r="CY110" s="459">
        <f t="shared" si="492"/>
        <v>0</v>
      </c>
      <c r="CZ110" s="459">
        <f t="shared" si="493"/>
        <v>0</v>
      </c>
      <c r="DA110" s="459">
        <f t="shared" si="493"/>
        <v>0</v>
      </c>
      <c r="DB110" s="459">
        <f t="shared" si="493"/>
        <v>0</v>
      </c>
      <c r="DC110" s="459">
        <f t="shared" si="493"/>
        <v>0</v>
      </c>
      <c r="DD110" s="459"/>
      <c r="DE110" s="459"/>
      <c r="DF110" s="459"/>
      <c r="DG110" s="459">
        <f t="shared" si="494"/>
        <v>0</v>
      </c>
      <c r="DH110" s="467"/>
      <c r="DI110" s="459">
        <f t="shared" si="495"/>
        <v>3214.8389999999999</v>
      </c>
      <c r="DJ110" s="459">
        <f t="shared" si="496"/>
        <v>3214.8389999999999</v>
      </c>
      <c r="DK110" s="467"/>
      <c r="DL110" s="459"/>
      <c r="DM110" s="459"/>
      <c r="DN110" s="467"/>
      <c r="DO110" s="459"/>
      <c r="DP110" s="467"/>
      <c r="DQ110" s="467"/>
      <c r="DR110" s="459">
        <f t="shared" si="322"/>
        <v>3214.8389999999999</v>
      </c>
      <c r="DS110" s="459"/>
      <c r="DT110" s="460"/>
      <c r="DU110" s="566">
        <v>3214.8389999999999</v>
      </c>
      <c r="DV110" s="470"/>
      <c r="DW110" s="459">
        <f t="shared" si="323"/>
        <v>357.2054</v>
      </c>
      <c r="DX110" s="459"/>
      <c r="DY110" s="459"/>
      <c r="DZ110" s="459">
        <v>357.2054</v>
      </c>
      <c r="EA110" s="146"/>
      <c r="EB110" s="279"/>
      <c r="EC110" s="279"/>
      <c r="ED110" s="279"/>
      <c r="EE110" s="366"/>
      <c r="EF110" s="366"/>
      <c r="EG110" s="279"/>
      <c r="EH110" s="279"/>
      <c r="EI110" s="279"/>
      <c r="EJ110" s="366"/>
      <c r="EK110" s="366"/>
      <c r="EL110" s="366">
        <v>2.06E-2</v>
      </c>
      <c r="EM110" s="280"/>
      <c r="EN110" s="279"/>
      <c r="EO110" s="265" t="e">
        <f t="shared" si="497"/>
        <v>#DIV/0!</v>
      </c>
      <c r="EP110" s="323">
        <f t="shared" si="335"/>
        <v>0</v>
      </c>
      <c r="EQ110" s="323">
        <f t="shared" si="349"/>
        <v>0</v>
      </c>
      <c r="ER110" s="323"/>
      <c r="ES110" s="358"/>
      <c r="ET110" s="358"/>
      <c r="EU110" s="323">
        <f t="shared" si="336"/>
        <v>0</v>
      </c>
      <c r="EV110" s="323">
        <f t="shared" si="500"/>
        <v>0</v>
      </c>
      <c r="EW110" s="323">
        <f t="shared" si="501"/>
        <v>0</v>
      </c>
      <c r="EX110" s="358"/>
      <c r="EY110" s="358"/>
      <c r="EZ110" s="358">
        <v>6.8599999999999994E-2</v>
      </c>
      <c r="FA110" s="323">
        <f t="shared" si="504"/>
        <v>0</v>
      </c>
      <c r="FB110" s="323">
        <f t="shared" si="337"/>
        <v>0</v>
      </c>
      <c r="FC110" s="279">
        <f t="shared" si="544"/>
        <v>3572.0443999999998</v>
      </c>
      <c r="FD110" s="279">
        <f t="shared" si="350"/>
        <v>3214.8389999999999</v>
      </c>
      <c r="FE110" s="279">
        <v>357.2054</v>
      </c>
      <c r="FF110" s="366">
        <f t="shared" si="545"/>
        <v>0.89999973124634181</v>
      </c>
      <c r="FG110" s="366">
        <f t="shared" si="546"/>
        <v>0.10000026875365828</v>
      </c>
      <c r="FH110" s="279">
        <f t="shared" si="351"/>
        <v>3572.0443999999998</v>
      </c>
      <c r="FI110" s="279">
        <f t="shared" si="446"/>
        <v>3214.8389999999999</v>
      </c>
      <c r="FJ110" s="279">
        <f t="shared" si="447"/>
        <v>357.2054</v>
      </c>
      <c r="FK110" s="366">
        <f t="shared" si="547"/>
        <v>0.89999973124634181</v>
      </c>
      <c r="FL110" s="366">
        <f t="shared" si="548"/>
        <v>0.10000026875365828</v>
      </c>
      <c r="FM110" s="366">
        <v>6.8599999999999994E-2</v>
      </c>
      <c r="FN110" s="280">
        <f t="shared" ref="FN110:FN160" si="581">FH110*FF110</f>
        <v>3214.8389999999999</v>
      </c>
      <c r="FO110" s="279">
        <f t="shared" si="352"/>
        <v>0</v>
      </c>
    </row>
    <row r="111" spans="2:171" s="40" customFormat="1" ht="15.75" customHeight="1" x14ac:dyDescent="0.25">
      <c r="B111" s="32"/>
      <c r="C111" s="33"/>
      <c r="D111" s="33">
        <v>1</v>
      </c>
      <c r="E111" s="434">
        <v>93</v>
      </c>
      <c r="F111" s="32"/>
      <c r="G111" s="33"/>
      <c r="H111" s="33">
        <v>1</v>
      </c>
      <c r="I111" s="434"/>
      <c r="J111" s="435"/>
      <c r="K111" s="435"/>
      <c r="L111" s="53"/>
      <c r="M111" s="434">
        <v>90</v>
      </c>
      <c r="N111" s="435" t="s">
        <v>109</v>
      </c>
      <c r="O111" s="132" t="s">
        <v>343</v>
      </c>
      <c r="P111" s="2">
        <f t="shared" si="334"/>
        <v>0</v>
      </c>
      <c r="Q111" s="132"/>
      <c r="R111" s="132"/>
      <c r="S111" s="132"/>
      <c r="T111" s="132"/>
      <c r="U111" s="161"/>
      <c r="V111" s="434"/>
      <c r="W111" s="459">
        <f t="shared" si="475"/>
        <v>0</v>
      </c>
      <c r="X111" s="459"/>
      <c r="Y111" s="460">
        <v>0</v>
      </c>
      <c r="Z111" s="459"/>
      <c r="AA111" s="461"/>
      <c r="AB111" s="459">
        <f t="shared" si="476"/>
        <v>1359.3</v>
      </c>
      <c r="AC111" s="459"/>
      <c r="AD111" s="460">
        <v>1359.3</v>
      </c>
      <c r="AE111" s="459"/>
      <c r="AF111" s="461"/>
      <c r="AG111" s="459">
        <f t="shared" si="477"/>
        <v>1359.3</v>
      </c>
      <c r="AH111" s="459"/>
      <c r="AI111" s="460">
        <v>1359.3</v>
      </c>
      <c r="AJ111" s="459"/>
      <c r="AK111" s="461"/>
      <c r="AL111" s="459">
        <f t="shared" si="478"/>
        <v>591</v>
      </c>
      <c r="AM111" s="459"/>
      <c r="AN111" s="460">
        <v>591</v>
      </c>
      <c r="AO111" s="459"/>
      <c r="AP111" s="461"/>
      <c r="AQ111" s="383"/>
      <c r="AR111" s="459">
        <f t="shared" si="479"/>
        <v>0</v>
      </c>
      <c r="AS111" s="459"/>
      <c r="AT111" s="462"/>
      <c r="AU111" s="459"/>
      <c r="AV111" s="459"/>
      <c r="AW111" s="459" t="e">
        <f t="shared" si="480"/>
        <v>#REF!</v>
      </c>
      <c r="AX111" s="459" t="e">
        <f>#REF!-AS111</f>
        <v>#REF!</v>
      </c>
      <c r="AY111" s="459" t="e">
        <f>#REF!-AT111</f>
        <v>#REF!</v>
      </c>
      <c r="AZ111" s="459" t="e">
        <f>#REF!-AU111</f>
        <v>#REF!</v>
      </c>
      <c r="BA111" s="459" t="e">
        <f>#REF!-AV111</f>
        <v>#REF!</v>
      </c>
      <c r="BB111" s="459">
        <f t="shared" si="481"/>
        <v>0</v>
      </c>
      <c r="BC111" s="459"/>
      <c r="BD111" s="460"/>
      <c r="BE111" s="459"/>
      <c r="BF111" s="459"/>
      <c r="BG111" s="459">
        <f t="shared" si="482"/>
        <v>0</v>
      </c>
      <c r="BH111" s="459"/>
      <c r="BI111" s="460"/>
      <c r="BJ111" s="459"/>
      <c r="BK111" s="459"/>
      <c r="BL111" s="459">
        <f t="shared" si="483"/>
        <v>0</v>
      </c>
      <c r="BM111" s="459"/>
      <c r="BN111" s="470"/>
      <c r="BO111" s="459"/>
      <c r="BP111" s="459"/>
      <c r="BQ111" s="459">
        <f t="shared" si="505"/>
        <v>0</v>
      </c>
      <c r="BR111" s="459"/>
      <c r="BS111" s="470"/>
      <c r="BT111" s="459"/>
      <c r="BU111" s="459"/>
      <c r="BV111" s="459">
        <f t="shared" si="484"/>
        <v>0</v>
      </c>
      <c r="BW111" s="459"/>
      <c r="BX111" s="459"/>
      <c r="BY111" s="459"/>
      <c r="BZ111" s="459"/>
      <c r="CA111" s="464">
        <f t="shared" si="485"/>
        <v>0</v>
      </c>
      <c r="CB111" s="459">
        <f t="shared" si="486"/>
        <v>0</v>
      </c>
      <c r="CC111" s="459">
        <f t="shared" si="487"/>
        <v>0</v>
      </c>
      <c r="CD111" s="459">
        <f t="shared" si="487"/>
        <v>0</v>
      </c>
      <c r="CE111" s="459">
        <f t="shared" si="487"/>
        <v>0</v>
      </c>
      <c r="CF111" s="459">
        <f t="shared" si="487"/>
        <v>0</v>
      </c>
      <c r="CG111" s="459">
        <f t="shared" si="488"/>
        <v>0</v>
      </c>
      <c r="CH111" s="459">
        <f t="shared" si="489"/>
        <v>0</v>
      </c>
      <c r="CI111" s="459">
        <f t="shared" si="489"/>
        <v>0</v>
      </c>
      <c r="CJ111" s="459">
        <f t="shared" si="489"/>
        <v>0</v>
      </c>
      <c r="CK111" s="459">
        <f t="shared" si="489"/>
        <v>0</v>
      </c>
      <c r="CL111" s="465"/>
      <c r="CM111" s="466"/>
      <c r="CN111" s="466"/>
      <c r="CO111" s="459">
        <f t="shared" si="490"/>
        <v>0</v>
      </c>
      <c r="CP111" s="459"/>
      <c r="CQ111" s="460"/>
      <c r="CR111" s="459"/>
      <c r="CS111" s="459"/>
      <c r="CT111" s="459">
        <f t="shared" si="491"/>
        <v>0</v>
      </c>
      <c r="CU111" s="459"/>
      <c r="CV111" s="460"/>
      <c r="CW111" s="459"/>
      <c r="CX111" s="459"/>
      <c r="CY111" s="459">
        <f t="shared" si="492"/>
        <v>0</v>
      </c>
      <c r="CZ111" s="459">
        <f t="shared" si="493"/>
        <v>0</v>
      </c>
      <c r="DA111" s="459">
        <f t="shared" si="493"/>
        <v>0</v>
      </c>
      <c r="DB111" s="459">
        <f t="shared" si="493"/>
        <v>0</v>
      </c>
      <c r="DC111" s="459">
        <f t="shared" si="493"/>
        <v>0</v>
      </c>
      <c r="DD111" s="459"/>
      <c r="DE111" s="459"/>
      <c r="DF111" s="459"/>
      <c r="DG111" s="459">
        <f t="shared" si="494"/>
        <v>0</v>
      </c>
      <c r="DH111" s="467"/>
      <c r="DI111" s="459">
        <f t="shared" si="495"/>
        <v>0</v>
      </c>
      <c r="DJ111" s="459">
        <f t="shared" si="496"/>
        <v>0</v>
      </c>
      <c r="DK111" s="467"/>
      <c r="DL111" s="459"/>
      <c r="DM111" s="459"/>
      <c r="DN111" s="467"/>
      <c r="DO111" s="459"/>
      <c r="DP111" s="467"/>
      <c r="DQ111" s="467"/>
      <c r="DR111" s="459">
        <f t="shared" si="322"/>
        <v>0</v>
      </c>
      <c r="DS111" s="459"/>
      <c r="DT111" s="470"/>
      <c r="DU111" s="459"/>
      <c r="DV111" s="459"/>
      <c r="DW111" s="459">
        <f t="shared" si="323"/>
        <v>0</v>
      </c>
      <c r="DX111" s="459"/>
      <c r="DY111" s="459"/>
      <c r="DZ111" s="459"/>
      <c r="EA111" s="146"/>
      <c r="EB111" s="279"/>
      <c r="EC111" s="279"/>
      <c r="ED111" s="279"/>
      <c r="EE111" s="366"/>
      <c r="EF111" s="366"/>
      <c r="EG111" s="279"/>
      <c r="EH111" s="279"/>
      <c r="EI111" s="279"/>
      <c r="EJ111" s="366"/>
      <c r="EK111" s="366"/>
      <c r="EL111" s="366">
        <v>2.9700000000000001E-2</v>
      </c>
      <c r="EM111" s="280"/>
      <c r="EN111" s="279"/>
      <c r="EO111" s="265" t="e">
        <f t="shared" si="497"/>
        <v>#DIV/0!</v>
      </c>
      <c r="EP111" s="323">
        <f t="shared" si="335"/>
        <v>0</v>
      </c>
      <c r="EQ111" s="323">
        <v>0</v>
      </c>
      <c r="ER111" s="323"/>
      <c r="ES111" s="358"/>
      <c r="ET111" s="358"/>
      <c r="EU111" s="323">
        <f t="shared" si="336"/>
        <v>0</v>
      </c>
      <c r="EV111" s="323">
        <f t="shared" si="500"/>
        <v>0</v>
      </c>
      <c r="EW111" s="323">
        <f t="shared" si="501"/>
        <v>0</v>
      </c>
      <c r="EX111" s="358"/>
      <c r="EY111" s="358"/>
      <c r="EZ111" s="358">
        <v>9.9000000000000005E-2</v>
      </c>
      <c r="FA111" s="323">
        <f t="shared" si="504"/>
        <v>0</v>
      </c>
      <c r="FB111" s="323">
        <f t="shared" si="337"/>
        <v>0</v>
      </c>
      <c r="FC111" s="279"/>
      <c r="FD111" s="279"/>
      <c r="FE111" s="279"/>
      <c r="FF111" s="366"/>
      <c r="FG111" s="366"/>
      <c r="FH111" s="279"/>
      <c r="FI111" s="279"/>
      <c r="FJ111" s="279"/>
      <c r="FK111" s="366"/>
      <c r="FL111" s="366"/>
      <c r="FM111" s="366">
        <v>9.9000000000000005E-2</v>
      </c>
      <c r="FN111" s="280"/>
      <c r="FO111" s="279"/>
    </row>
    <row r="112" spans="2:171" s="40" customFormat="1" ht="15.75" customHeight="1" x14ac:dyDescent="0.25">
      <c r="B112" s="32"/>
      <c r="C112" s="33"/>
      <c r="D112" s="33">
        <v>1</v>
      </c>
      <c r="E112" s="434">
        <v>94</v>
      </c>
      <c r="F112" s="32"/>
      <c r="G112" s="33"/>
      <c r="H112" s="33">
        <v>1</v>
      </c>
      <c r="I112" s="434"/>
      <c r="J112" s="435"/>
      <c r="K112" s="435"/>
      <c r="L112" s="53"/>
      <c r="M112" s="434">
        <v>91</v>
      </c>
      <c r="N112" s="435" t="s">
        <v>110</v>
      </c>
      <c r="O112" s="435"/>
      <c r="P112" s="24">
        <f t="shared" si="334"/>
        <v>0</v>
      </c>
      <c r="Q112" s="435"/>
      <c r="R112" s="435"/>
      <c r="S112" s="435"/>
      <c r="T112" s="435"/>
      <c r="U112" s="161"/>
      <c r="V112" s="434"/>
      <c r="W112" s="459">
        <f t="shared" si="475"/>
        <v>0</v>
      </c>
      <c r="X112" s="459"/>
      <c r="Y112" s="460">
        <v>0</v>
      </c>
      <c r="Z112" s="459"/>
      <c r="AA112" s="461"/>
      <c r="AB112" s="459">
        <f t="shared" si="476"/>
        <v>3841.8</v>
      </c>
      <c r="AC112" s="459"/>
      <c r="AD112" s="460">
        <v>841.8</v>
      </c>
      <c r="AE112" s="459">
        <v>3000</v>
      </c>
      <c r="AF112" s="461"/>
      <c r="AG112" s="459">
        <f t="shared" si="477"/>
        <v>841.8</v>
      </c>
      <c r="AH112" s="459"/>
      <c r="AI112" s="460">
        <v>841.8</v>
      </c>
      <c r="AJ112" s="459"/>
      <c r="AK112" s="461"/>
      <c r="AL112" s="459">
        <f t="shared" si="478"/>
        <v>366</v>
      </c>
      <c r="AM112" s="459"/>
      <c r="AN112" s="460">
        <v>366</v>
      </c>
      <c r="AO112" s="459"/>
      <c r="AP112" s="461"/>
      <c r="AQ112" s="383"/>
      <c r="AR112" s="459">
        <f t="shared" si="479"/>
        <v>0</v>
      </c>
      <c r="AS112" s="459"/>
      <c r="AT112" s="462"/>
      <c r="AU112" s="459"/>
      <c r="AV112" s="461"/>
      <c r="AW112" s="459" t="e">
        <f t="shared" si="480"/>
        <v>#REF!</v>
      </c>
      <c r="AX112" s="459" t="e">
        <f>#REF!-AS112</f>
        <v>#REF!</v>
      </c>
      <c r="AY112" s="459" t="e">
        <f>#REF!-AT112</f>
        <v>#REF!</v>
      </c>
      <c r="AZ112" s="459" t="e">
        <f>#REF!-AU112</f>
        <v>#REF!</v>
      </c>
      <c r="BA112" s="459" t="e">
        <f>#REF!-AV112</f>
        <v>#REF!</v>
      </c>
      <c r="BB112" s="459">
        <f t="shared" si="481"/>
        <v>3841.8</v>
      </c>
      <c r="BC112" s="459"/>
      <c r="BD112" s="460">
        <f>366+475.8</f>
        <v>841.8</v>
      </c>
      <c r="BE112" s="459">
        <v>3000</v>
      </c>
      <c r="BF112" s="461"/>
      <c r="BG112" s="459">
        <f t="shared" si="482"/>
        <v>0</v>
      </c>
      <c r="BH112" s="459"/>
      <c r="BI112" s="460"/>
      <c r="BJ112" s="459"/>
      <c r="BK112" s="461"/>
      <c r="BL112" s="459">
        <f t="shared" si="483"/>
        <v>0</v>
      </c>
      <c r="BM112" s="459"/>
      <c r="BN112" s="460"/>
      <c r="BO112" s="459"/>
      <c r="BP112" s="470"/>
      <c r="BQ112" s="459">
        <f t="shared" si="505"/>
        <v>0</v>
      </c>
      <c r="BR112" s="459"/>
      <c r="BS112" s="460"/>
      <c r="BT112" s="459"/>
      <c r="BU112" s="470"/>
      <c r="BV112" s="459">
        <f t="shared" si="484"/>
        <v>0</v>
      </c>
      <c r="BW112" s="459"/>
      <c r="BX112" s="459"/>
      <c r="BY112" s="459"/>
      <c r="BZ112" s="459"/>
      <c r="CA112" s="464">
        <f t="shared" si="485"/>
        <v>0</v>
      </c>
      <c r="CB112" s="459">
        <f t="shared" si="486"/>
        <v>0</v>
      </c>
      <c r="CC112" s="459">
        <f t="shared" si="487"/>
        <v>0</v>
      </c>
      <c r="CD112" s="459">
        <f t="shared" si="487"/>
        <v>0</v>
      </c>
      <c r="CE112" s="459">
        <f t="shared" si="487"/>
        <v>0</v>
      </c>
      <c r="CF112" s="459">
        <f t="shared" si="487"/>
        <v>0</v>
      </c>
      <c r="CG112" s="459">
        <f t="shared" si="488"/>
        <v>0</v>
      </c>
      <c r="CH112" s="459">
        <f t="shared" si="489"/>
        <v>0</v>
      </c>
      <c r="CI112" s="459">
        <f t="shared" si="489"/>
        <v>0</v>
      </c>
      <c r="CJ112" s="459">
        <f t="shared" si="489"/>
        <v>0</v>
      </c>
      <c r="CK112" s="459">
        <f t="shared" si="489"/>
        <v>0</v>
      </c>
      <c r="CL112" s="465"/>
      <c r="CM112" s="466"/>
      <c r="CN112" s="466"/>
      <c r="CO112" s="459">
        <f t="shared" si="490"/>
        <v>0</v>
      </c>
      <c r="CP112" s="459"/>
      <c r="CQ112" s="460"/>
      <c r="CR112" s="459"/>
      <c r="CS112" s="461"/>
      <c r="CT112" s="459">
        <f t="shared" si="491"/>
        <v>0</v>
      </c>
      <c r="CU112" s="459"/>
      <c r="CV112" s="460"/>
      <c r="CW112" s="459"/>
      <c r="CX112" s="461"/>
      <c r="CY112" s="459">
        <f t="shared" si="492"/>
        <v>0</v>
      </c>
      <c r="CZ112" s="459">
        <f t="shared" si="493"/>
        <v>0</v>
      </c>
      <c r="DA112" s="459">
        <f t="shared" si="493"/>
        <v>0</v>
      </c>
      <c r="DB112" s="459">
        <f t="shared" si="493"/>
        <v>0</v>
      </c>
      <c r="DC112" s="459">
        <f t="shared" si="493"/>
        <v>0</v>
      </c>
      <c r="DD112" s="459"/>
      <c r="DE112" s="459"/>
      <c r="DF112" s="459"/>
      <c r="DG112" s="459">
        <f t="shared" si="494"/>
        <v>0</v>
      </c>
      <c r="DH112" s="467"/>
      <c r="DI112" s="459">
        <f t="shared" si="495"/>
        <v>0</v>
      </c>
      <c r="DJ112" s="459">
        <f t="shared" si="496"/>
        <v>0</v>
      </c>
      <c r="DK112" s="467"/>
      <c r="DL112" s="459"/>
      <c r="DM112" s="459"/>
      <c r="DN112" s="467"/>
      <c r="DO112" s="459"/>
      <c r="DP112" s="467"/>
      <c r="DQ112" s="467"/>
      <c r="DR112" s="459">
        <f t="shared" si="322"/>
        <v>0</v>
      </c>
      <c r="DS112" s="459"/>
      <c r="DT112" s="459"/>
      <c r="DU112" s="459"/>
      <c r="DV112" s="470"/>
      <c r="DW112" s="459">
        <f t="shared" si="323"/>
        <v>0</v>
      </c>
      <c r="DX112" s="459"/>
      <c r="DY112" s="459"/>
      <c r="DZ112" s="459"/>
      <c r="EA112" s="146"/>
      <c r="EB112" s="279"/>
      <c r="EC112" s="279"/>
      <c r="ED112" s="279"/>
      <c r="EE112" s="366"/>
      <c r="EF112" s="366"/>
      <c r="EG112" s="279"/>
      <c r="EH112" s="279"/>
      <c r="EI112" s="279"/>
      <c r="EJ112" s="366"/>
      <c r="EK112" s="366"/>
      <c r="EL112" s="366">
        <v>2.3E-2</v>
      </c>
      <c r="EM112" s="280"/>
      <c r="EN112" s="279"/>
      <c r="EO112" s="265" t="e">
        <f t="shared" si="497"/>
        <v>#DIV/0!</v>
      </c>
      <c r="EP112" s="323">
        <f t="shared" si="335"/>
        <v>0</v>
      </c>
      <c r="EQ112" s="323">
        <f t="shared" si="349"/>
        <v>0</v>
      </c>
      <c r="ER112" s="323"/>
      <c r="ES112" s="358"/>
      <c r="ET112" s="358"/>
      <c r="EU112" s="323">
        <f t="shared" si="336"/>
        <v>0</v>
      </c>
      <c r="EV112" s="323">
        <f t="shared" si="500"/>
        <v>0</v>
      </c>
      <c r="EW112" s="323">
        <f t="shared" si="501"/>
        <v>0</v>
      </c>
      <c r="EX112" s="358"/>
      <c r="EY112" s="358"/>
      <c r="EZ112" s="358">
        <v>7.6499999999999999E-2</v>
      </c>
      <c r="FA112" s="323">
        <f t="shared" si="504"/>
        <v>0</v>
      </c>
      <c r="FB112" s="323">
        <f t="shared" si="337"/>
        <v>0</v>
      </c>
      <c r="FC112" s="279">
        <f t="shared" si="544"/>
        <v>0</v>
      </c>
      <c r="FD112" s="279">
        <f t="shared" si="350"/>
        <v>0</v>
      </c>
      <c r="FE112" s="279"/>
      <c r="FF112" s="366" t="e">
        <f t="shared" si="545"/>
        <v>#DIV/0!</v>
      </c>
      <c r="FG112" s="366" t="e">
        <f t="shared" si="546"/>
        <v>#DIV/0!</v>
      </c>
      <c r="FH112" s="279">
        <f t="shared" si="351"/>
        <v>0</v>
      </c>
      <c r="FI112" s="279">
        <f t="shared" si="446"/>
        <v>0</v>
      </c>
      <c r="FJ112" s="279">
        <f t="shared" si="447"/>
        <v>0</v>
      </c>
      <c r="FK112" s="366" t="e">
        <f t="shared" si="547"/>
        <v>#DIV/0!</v>
      </c>
      <c r="FL112" s="366" t="e">
        <f t="shared" si="548"/>
        <v>#DIV/0!</v>
      </c>
      <c r="FM112" s="366">
        <v>7.6499999999999999E-2</v>
      </c>
      <c r="FN112" s="280" t="e">
        <f t="shared" si="581"/>
        <v>#DIV/0!</v>
      </c>
      <c r="FO112" s="279" t="e">
        <f t="shared" si="352"/>
        <v>#DIV/0!</v>
      </c>
    </row>
    <row r="113" spans="2:171" s="40" customFormat="1" ht="15.6" customHeight="1" x14ac:dyDescent="0.25">
      <c r="B113" s="32"/>
      <c r="C113" s="33">
        <v>1</v>
      </c>
      <c r="D113" s="33"/>
      <c r="E113" s="434">
        <v>95</v>
      </c>
      <c r="F113" s="32"/>
      <c r="G113" s="33">
        <v>1</v>
      </c>
      <c r="H113" s="33">
        <v>1</v>
      </c>
      <c r="I113" s="434"/>
      <c r="J113" s="435"/>
      <c r="K113" s="435"/>
      <c r="L113" s="53"/>
      <c r="M113" s="434">
        <v>92</v>
      </c>
      <c r="N113" s="435" t="s">
        <v>212</v>
      </c>
      <c r="O113" s="435"/>
      <c r="P113" s="24">
        <f t="shared" si="334"/>
        <v>0</v>
      </c>
      <c r="Q113" s="435"/>
      <c r="R113" s="435"/>
      <c r="S113" s="435"/>
      <c r="T113" s="435"/>
      <c r="U113" s="161">
        <v>1</v>
      </c>
      <c r="V113" s="434">
        <v>1</v>
      </c>
      <c r="W113" s="459">
        <f t="shared" si="475"/>
        <v>2468.4</v>
      </c>
      <c r="X113" s="459"/>
      <c r="Y113" s="460">
        <v>2468.4</v>
      </c>
      <c r="Z113" s="459"/>
      <c r="AA113" s="461"/>
      <c r="AB113" s="459">
        <f t="shared" si="476"/>
        <v>830.3</v>
      </c>
      <c r="AC113" s="459"/>
      <c r="AD113" s="460">
        <v>830.3</v>
      </c>
      <c r="AE113" s="459"/>
      <c r="AF113" s="461"/>
      <c r="AG113" s="459">
        <f t="shared" si="477"/>
        <v>830.3</v>
      </c>
      <c r="AH113" s="459"/>
      <c r="AI113" s="460">
        <v>830.3</v>
      </c>
      <c r="AJ113" s="459"/>
      <c r="AK113" s="461"/>
      <c r="AL113" s="459">
        <f t="shared" si="478"/>
        <v>361</v>
      </c>
      <c r="AM113" s="459"/>
      <c r="AN113" s="460">
        <v>361</v>
      </c>
      <c r="AO113" s="459"/>
      <c r="AP113" s="461"/>
      <c r="AQ113" s="383" t="s">
        <v>476</v>
      </c>
      <c r="AR113" s="459">
        <f t="shared" si="479"/>
        <v>2468.4</v>
      </c>
      <c r="AS113" s="459"/>
      <c r="AT113" s="462">
        <v>2468.4</v>
      </c>
      <c r="AU113" s="459"/>
      <c r="AV113" s="459"/>
      <c r="AW113" s="459" t="e">
        <f t="shared" si="480"/>
        <v>#REF!</v>
      </c>
      <c r="AX113" s="459" t="e">
        <f>#REF!-AS113</f>
        <v>#REF!</v>
      </c>
      <c r="AY113" s="459" t="e">
        <f>#REF!-AT113</f>
        <v>#REF!</v>
      </c>
      <c r="AZ113" s="459" t="e">
        <f>#REF!-AU113</f>
        <v>#REF!</v>
      </c>
      <c r="BA113" s="459" t="e">
        <f>#REF!-AV113</f>
        <v>#REF!</v>
      </c>
      <c r="BB113" s="459">
        <f t="shared" si="481"/>
        <v>830.3</v>
      </c>
      <c r="BC113" s="459"/>
      <c r="BD113" s="460">
        <v>830.3</v>
      </c>
      <c r="BE113" s="459"/>
      <c r="BF113" s="459"/>
      <c r="BG113" s="459">
        <f t="shared" si="482"/>
        <v>0</v>
      </c>
      <c r="BH113" s="459"/>
      <c r="BI113" s="460"/>
      <c r="BJ113" s="459"/>
      <c r="BK113" s="459"/>
      <c r="BL113" s="459">
        <f t="shared" si="483"/>
        <v>2468.4</v>
      </c>
      <c r="BM113" s="459"/>
      <c r="BN113" s="460">
        <f>1705.838+762.562</f>
        <v>2468.4</v>
      </c>
      <c r="BO113" s="459"/>
      <c r="BP113" s="459"/>
      <c r="BQ113" s="459">
        <f t="shared" si="505"/>
        <v>2468.4</v>
      </c>
      <c r="BR113" s="459"/>
      <c r="BS113" s="460">
        <f>1705.838+762.562</f>
        <v>2468.4</v>
      </c>
      <c r="BT113" s="459"/>
      <c r="BU113" s="459"/>
      <c r="BV113" s="459">
        <f t="shared" si="484"/>
        <v>962.04480000000001</v>
      </c>
      <c r="BW113" s="459"/>
      <c r="BX113" s="459">
        <f>664.84+297.2048</f>
        <v>962.04480000000001</v>
      </c>
      <c r="BY113" s="459"/>
      <c r="BZ113" s="459"/>
      <c r="CA113" s="464">
        <f t="shared" si="485"/>
        <v>3430.4448000000002</v>
      </c>
      <c r="CB113" s="459">
        <f t="shared" si="486"/>
        <v>3430.4448000000002</v>
      </c>
      <c r="CC113" s="459">
        <f t="shared" si="487"/>
        <v>0</v>
      </c>
      <c r="CD113" s="459">
        <f t="shared" si="487"/>
        <v>3430.4448000000002</v>
      </c>
      <c r="CE113" s="459">
        <f t="shared" si="487"/>
        <v>0</v>
      </c>
      <c r="CF113" s="459">
        <f t="shared" si="487"/>
        <v>0</v>
      </c>
      <c r="CG113" s="459">
        <f t="shared" si="488"/>
        <v>0</v>
      </c>
      <c r="CH113" s="459">
        <f t="shared" si="489"/>
        <v>0</v>
      </c>
      <c r="CI113" s="459">
        <f t="shared" si="489"/>
        <v>0</v>
      </c>
      <c r="CJ113" s="459">
        <f t="shared" si="489"/>
        <v>0</v>
      </c>
      <c r="CK113" s="459">
        <f t="shared" si="489"/>
        <v>0</v>
      </c>
      <c r="CL113" s="465"/>
      <c r="CM113" s="466"/>
      <c r="CN113" s="466"/>
      <c r="CO113" s="459">
        <f t="shared" si="490"/>
        <v>0</v>
      </c>
      <c r="CP113" s="459"/>
      <c r="CQ113" s="460"/>
      <c r="CR113" s="459"/>
      <c r="CS113" s="459"/>
      <c r="CT113" s="459">
        <f t="shared" si="491"/>
        <v>0</v>
      </c>
      <c r="CU113" s="459"/>
      <c r="CV113" s="460"/>
      <c r="CW113" s="459"/>
      <c r="CX113" s="459"/>
      <c r="CY113" s="459">
        <f t="shared" si="492"/>
        <v>0</v>
      </c>
      <c r="CZ113" s="459">
        <f t="shared" si="493"/>
        <v>0</v>
      </c>
      <c r="DA113" s="459">
        <f t="shared" si="493"/>
        <v>0</v>
      </c>
      <c r="DB113" s="459">
        <f t="shared" si="493"/>
        <v>0</v>
      </c>
      <c r="DC113" s="459">
        <f t="shared" si="493"/>
        <v>0</v>
      </c>
      <c r="DD113" s="459"/>
      <c r="DE113" s="459"/>
      <c r="DF113" s="459"/>
      <c r="DG113" s="459">
        <f t="shared" si="494"/>
        <v>0</v>
      </c>
      <c r="DH113" s="467"/>
      <c r="DI113" s="459">
        <f t="shared" si="495"/>
        <v>2468.4</v>
      </c>
      <c r="DJ113" s="459">
        <f t="shared" si="496"/>
        <v>2468.4</v>
      </c>
      <c r="DK113" s="467"/>
      <c r="DL113" s="459"/>
      <c r="DM113" s="459"/>
      <c r="DN113" s="467"/>
      <c r="DO113" s="459"/>
      <c r="DP113" s="467"/>
      <c r="DQ113" s="467"/>
      <c r="DR113" s="459">
        <f t="shared" si="322"/>
        <v>2468.4</v>
      </c>
      <c r="DS113" s="459"/>
      <c r="DT113" s="460">
        <f>1705.838+762.562</f>
        <v>2468.4</v>
      </c>
      <c r="DU113" s="459"/>
      <c r="DV113" s="459"/>
      <c r="DW113" s="459">
        <f t="shared" si="323"/>
        <v>962.04480000000001</v>
      </c>
      <c r="DX113" s="459"/>
      <c r="DY113" s="459">
        <f>664.84+297.2048</f>
        <v>962.04480000000001</v>
      </c>
      <c r="DZ113" s="459"/>
      <c r="EA113" s="146"/>
      <c r="EB113" s="279"/>
      <c r="EC113" s="279"/>
      <c r="ED113" s="279"/>
      <c r="EE113" s="366"/>
      <c r="EF113" s="366"/>
      <c r="EG113" s="279"/>
      <c r="EH113" s="279"/>
      <c r="EI113" s="279"/>
      <c r="EJ113" s="366"/>
      <c r="EK113" s="366"/>
      <c r="EL113" s="366">
        <v>2.2499999999999999E-2</v>
      </c>
      <c r="EM113" s="280"/>
      <c r="EN113" s="279"/>
      <c r="EO113" s="265" t="e">
        <f t="shared" si="497"/>
        <v>#DIV/0!</v>
      </c>
      <c r="EP113" s="323">
        <f t="shared" si="335"/>
        <v>3430.4448000000002</v>
      </c>
      <c r="EQ113" s="323">
        <f t="shared" si="349"/>
        <v>2468.4</v>
      </c>
      <c r="ER113" s="323">
        <v>962.04480000000001</v>
      </c>
      <c r="ES113" s="358">
        <f t="shared" si="498"/>
        <v>0.71955683414582272</v>
      </c>
      <c r="ET113" s="358">
        <f t="shared" si="499"/>
        <v>0.28044316585417728</v>
      </c>
      <c r="EU113" s="323">
        <f t="shared" si="336"/>
        <v>3430.4448000000002</v>
      </c>
      <c r="EV113" s="323">
        <f t="shared" si="500"/>
        <v>2468.4</v>
      </c>
      <c r="EW113" s="323">
        <f t="shared" si="501"/>
        <v>962.04480000000001</v>
      </c>
      <c r="EX113" s="358">
        <f t="shared" si="502"/>
        <v>0.71955683414582272</v>
      </c>
      <c r="EY113" s="358">
        <f t="shared" si="503"/>
        <v>0.28044316585417728</v>
      </c>
      <c r="EZ113" s="358">
        <v>7.4999999999999997E-2</v>
      </c>
      <c r="FA113" s="323">
        <f t="shared" si="504"/>
        <v>2468.4</v>
      </c>
      <c r="FB113" s="323">
        <f t="shared" si="337"/>
        <v>0</v>
      </c>
      <c r="FC113" s="279"/>
      <c r="FD113" s="279"/>
      <c r="FE113" s="279"/>
      <c r="FF113" s="366"/>
      <c r="FG113" s="366"/>
      <c r="FH113" s="279"/>
      <c r="FI113" s="279"/>
      <c r="FJ113" s="279"/>
      <c r="FK113" s="366"/>
      <c r="FL113" s="366"/>
      <c r="FM113" s="366">
        <v>7.4999999999999997E-2</v>
      </c>
      <c r="FN113" s="280"/>
      <c r="FO113" s="279"/>
    </row>
    <row r="114" spans="2:171" s="119" customFormat="1" ht="15.75" customHeight="1" x14ac:dyDescent="0.2">
      <c r="B114" s="113"/>
      <c r="C114" s="114"/>
      <c r="D114" s="114"/>
      <c r="E114" s="115"/>
      <c r="F114" s="113"/>
      <c r="G114" s="114"/>
      <c r="H114" s="114"/>
      <c r="I114" s="666"/>
      <c r="J114" s="667"/>
      <c r="K114" s="667"/>
      <c r="L114" s="667"/>
      <c r="M114" s="115"/>
      <c r="N114" s="118" t="s">
        <v>18</v>
      </c>
      <c r="O114" s="118"/>
      <c r="P114" s="68">
        <f t="shared" si="334"/>
        <v>0</v>
      </c>
      <c r="Q114" s="118"/>
      <c r="R114" s="118"/>
      <c r="S114" s="118"/>
      <c r="T114" s="118"/>
      <c r="U114" s="163">
        <f>U115+U116+U117+U118+U119+U120+U121+U122+U123+U124+U125+U126+U127</f>
        <v>10</v>
      </c>
      <c r="V114" s="163">
        <f>V115+V116+V117+V118+V119+V120+V121+V122+V123+V124+V125+V126+V127</f>
        <v>10</v>
      </c>
      <c r="W114" s="452">
        <f t="shared" ref="W114:AA114" si="582">SUM(W115:W127)-W116</f>
        <v>63311.192000000003</v>
      </c>
      <c r="X114" s="452">
        <f t="shared" si="582"/>
        <v>0</v>
      </c>
      <c r="Y114" s="452">
        <f t="shared" si="582"/>
        <v>11604.599999999999</v>
      </c>
      <c r="Z114" s="452">
        <f t="shared" si="582"/>
        <v>51706.592000000004</v>
      </c>
      <c r="AA114" s="452">
        <f t="shared" si="582"/>
        <v>0</v>
      </c>
      <c r="AB114" s="452">
        <f t="shared" ref="AB114:AF114" si="583">SUM(AB115:AB127)-AB116</f>
        <v>28319.676000000003</v>
      </c>
      <c r="AC114" s="452">
        <f t="shared" si="583"/>
        <v>0</v>
      </c>
      <c r="AD114" s="452">
        <f t="shared" si="583"/>
        <v>11688.600000000002</v>
      </c>
      <c r="AE114" s="452">
        <f t="shared" si="583"/>
        <v>16631.076000000001</v>
      </c>
      <c r="AF114" s="452">
        <f t="shared" si="583"/>
        <v>0</v>
      </c>
      <c r="AG114" s="452">
        <f t="shared" ref="AG114:AK114" si="584">SUM(AG115:AG127)-AG116</f>
        <v>28319.676000000003</v>
      </c>
      <c r="AH114" s="452">
        <f t="shared" si="584"/>
        <v>0</v>
      </c>
      <c r="AI114" s="452">
        <f t="shared" si="584"/>
        <v>11688.600000000002</v>
      </c>
      <c r="AJ114" s="452">
        <f t="shared" si="584"/>
        <v>16631.076000000001</v>
      </c>
      <c r="AK114" s="452">
        <f t="shared" si="584"/>
        <v>0</v>
      </c>
      <c r="AL114" s="454">
        <f t="shared" ref="AL114:AP114" si="585">SUM(AL115:AL127)-AL116</f>
        <v>21713.076000000001</v>
      </c>
      <c r="AM114" s="452">
        <f t="shared" si="585"/>
        <v>0</v>
      </c>
      <c r="AN114" s="452">
        <f t="shared" si="585"/>
        <v>5082</v>
      </c>
      <c r="AO114" s="452">
        <f t="shared" si="585"/>
        <v>16631.076000000001</v>
      </c>
      <c r="AP114" s="452">
        <f t="shared" si="585"/>
        <v>0</v>
      </c>
      <c r="AQ114" s="453"/>
      <c r="AR114" s="452">
        <f t="shared" ref="AR114:AU114" si="586">SUM(AR115:AR127)-AR116</f>
        <v>61918.527199999997</v>
      </c>
      <c r="AS114" s="452">
        <f t="shared" si="586"/>
        <v>0</v>
      </c>
      <c r="AT114" s="452">
        <f t="shared" si="586"/>
        <v>11097.520500000001</v>
      </c>
      <c r="AU114" s="452">
        <f t="shared" si="586"/>
        <v>50821.006700000005</v>
      </c>
      <c r="AV114" s="452">
        <f>SUM(AV115:AV127)-AV116</f>
        <v>0</v>
      </c>
      <c r="AW114" s="452" t="e">
        <f t="shared" ref="AW114:BF114" si="587">SUM(AW115:AW127)-AW116</f>
        <v>#REF!</v>
      </c>
      <c r="AX114" s="452" t="e">
        <f t="shared" si="587"/>
        <v>#REF!</v>
      </c>
      <c r="AY114" s="452" t="e">
        <f t="shared" si="587"/>
        <v>#REF!</v>
      </c>
      <c r="AZ114" s="452" t="e">
        <f t="shared" si="587"/>
        <v>#REF!</v>
      </c>
      <c r="BA114" s="452" t="e">
        <f t="shared" si="587"/>
        <v>#REF!</v>
      </c>
      <c r="BB114" s="452">
        <f t="shared" si="587"/>
        <v>28952.673000000003</v>
      </c>
      <c r="BC114" s="452">
        <f t="shared" si="587"/>
        <v>0</v>
      </c>
      <c r="BD114" s="452">
        <f t="shared" si="587"/>
        <v>11687.700000000003</v>
      </c>
      <c r="BE114" s="452">
        <f t="shared" si="587"/>
        <v>17264.973000000002</v>
      </c>
      <c r="BF114" s="452">
        <f t="shared" si="587"/>
        <v>0</v>
      </c>
      <c r="BG114" s="452">
        <f t="shared" ref="BG114:CK114" si="588">SUM(BG115:BG127)-BG116</f>
        <v>0</v>
      </c>
      <c r="BH114" s="452">
        <f t="shared" si="588"/>
        <v>0</v>
      </c>
      <c r="BI114" s="452">
        <f t="shared" si="588"/>
        <v>0</v>
      </c>
      <c r="BJ114" s="452">
        <f t="shared" si="588"/>
        <v>0</v>
      </c>
      <c r="BK114" s="452">
        <f t="shared" si="588"/>
        <v>0</v>
      </c>
      <c r="BL114" s="452">
        <f t="shared" si="588"/>
        <v>61918.527199999997</v>
      </c>
      <c r="BM114" s="452">
        <f t="shared" si="588"/>
        <v>0</v>
      </c>
      <c r="BN114" s="452">
        <f t="shared" si="588"/>
        <v>11097.520500000001</v>
      </c>
      <c r="BO114" s="452">
        <f t="shared" si="588"/>
        <v>50821.006700000005</v>
      </c>
      <c r="BP114" s="452">
        <f t="shared" si="588"/>
        <v>0</v>
      </c>
      <c r="BQ114" s="452">
        <f t="shared" si="588"/>
        <v>61918.527199999997</v>
      </c>
      <c r="BR114" s="452">
        <f t="shared" si="588"/>
        <v>0</v>
      </c>
      <c r="BS114" s="452">
        <f t="shared" si="588"/>
        <v>11097.520500000001</v>
      </c>
      <c r="BT114" s="452">
        <f t="shared" si="588"/>
        <v>50821.006700000005</v>
      </c>
      <c r="BU114" s="452">
        <f t="shared" si="588"/>
        <v>0</v>
      </c>
      <c r="BV114" s="454">
        <f t="shared" si="588"/>
        <v>11986.253579999999</v>
      </c>
      <c r="BW114" s="452">
        <f t="shared" si="588"/>
        <v>0</v>
      </c>
      <c r="BX114" s="452">
        <f t="shared" si="588"/>
        <v>4837.4334699999999</v>
      </c>
      <c r="BY114" s="452">
        <f t="shared" si="588"/>
        <v>7148.8201099999987</v>
      </c>
      <c r="BZ114" s="452">
        <f t="shared" si="588"/>
        <v>0</v>
      </c>
      <c r="CA114" s="452">
        <f t="shared" si="588"/>
        <v>73904.780780000016</v>
      </c>
      <c r="CB114" s="452">
        <f t="shared" si="588"/>
        <v>73904.780780000016</v>
      </c>
      <c r="CC114" s="452">
        <f t="shared" si="588"/>
        <v>0</v>
      </c>
      <c r="CD114" s="452">
        <f t="shared" si="588"/>
        <v>15934.95397</v>
      </c>
      <c r="CE114" s="452">
        <f t="shared" si="588"/>
        <v>57969.826809999999</v>
      </c>
      <c r="CF114" s="452">
        <f t="shared" si="588"/>
        <v>0</v>
      </c>
      <c r="CG114" s="452">
        <f t="shared" si="588"/>
        <v>0</v>
      </c>
      <c r="CH114" s="452">
        <f t="shared" si="588"/>
        <v>0</v>
      </c>
      <c r="CI114" s="452">
        <f t="shared" si="588"/>
        <v>0</v>
      </c>
      <c r="CJ114" s="452">
        <f t="shared" si="588"/>
        <v>0</v>
      </c>
      <c r="CK114" s="452">
        <f t="shared" si="588"/>
        <v>0</v>
      </c>
      <c r="CL114" s="455">
        <f>CM114+CO114-BG114</f>
        <v>28952.673000000003</v>
      </c>
      <c r="CM114" s="456">
        <f t="shared" ref="CM114:DG114" si="589">SUM(CM115:CM127)-CM116</f>
        <v>28952.673000000003</v>
      </c>
      <c r="CN114" s="456">
        <f t="shared" si="589"/>
        <v>28952.673000000003</v>
      </c>
      <c r="CO114" s="452">
        <f t="shared" si="589"/>
        <v>0</v>
      </c>
      <c r="CP114" s="452">
        <f t="shared" si="589"/>
        <v>0</v>
      </c>
      <c r="CQ114" s="452">
        <f t="shared" si="589"/>
        <v>0</v>
      </c>
      <c r="CR114" s="452">
        <f t="shared" si="589"/>
        <v>0</v>
      </c>
      <c r="CS114" s="452">
        <f t="shared" si="589"/>
        <v>0</v>
      </c>
      <c r="CT114" s="452">
        <f t="shared" si="589"/>
        <v>0</v>
      </c>
      <c r="CU114" s="452">
        <f t="shared" si="589"/>
        <v>0</v>
      </c>
      <c r="CV114" s="452">
        <f t="shared" si="589"/>
        <v>0</v>
      </c>
      <c r="CW114" s="452">
        <f t="shared" si="589"/>
        <v>0</v>
      </c>
      <c r="CX114" s="452">
        <f t="shared" si="589"/>
        <v>0</v>
      </c>
      <c r="CY114" s="452">
        <f t="shared" si="589"/>
        <v>0</v>
      </c>
      <c r="CZ114" s="452">
        <f t="shared" si="589"/>
        <v>0</v>
      </c>
      <c r="DA114" s="452">
        <f t="shared" si="589"/>
        <v>0</v>
      </c>
      <c r="DB114" s="452">
        <f t="shared" si="589"/>
        <v>0</v>
      </c>
      <c r="DC114" s="452">
        <f t="shared" si="589"/>
        <v>0</v>
      </c>
      <c r="DD114" s="452">
        <f t="shared" si="589"/>
        <v>0</v>
      </c>
      <c r="DE114" s="452">
        <f t="shared" si="589"/>
        <v>0</v>
      </c>
      <c r="DF114" s="452">
        <f t="shared" si="589"/>
        <v>0</v>
      </c>
      <c r="DG114" s="452">
        <f t="shared" si="589"/>
        <v>0</v>
      </c>
      <c r="DH114" s="457"/>
      <c r="DI114" s="452">
        <f>SUM(DI115:DI127)-DI116</f>
        <v>61918.527199999997</v>
      </c>
      <c r="DJ114" s="452">
        <f>SUM(DJ115:DJ127)-DJ116</f>
        <v>61918.527199999997</v>
      </c>
      <c r="DK114" s="457"/>
      <c r="DL114" s="452">
        <f>SUM(DL115:DL127)-DL116</f>
        <v>61918.527199999997</v>
      </c>
      <c r="DM114" s="452">
        <f>SUM(DM115:DM127)-DM116</f>
        <v>0</v>
      </c>
      <c r="DN114" s="457"/>
      <c r="DO114" s="452">
        <f>SUM(DO115:DO127)-DO116</f>
        <v>-32965.854199999994</v>
      </c>
      <c r="DP114" s="457">
        <f>DG114-DO114</f>
        <v>32965.854199999994</v>
      </c>
      <c r="DQ114" s="457"/>
      <c r="DR114" s="452">
        <f t="shared" si="322"/>
        <v>61918.527200000004</v>
      </c>
      <c r="DS114" s="452">
        <f t="shared" ref="DS114:DU114" si="590">SUM(DS115:DS127)-DS116</f>
        <v>0</v>
      </c>
      <c r="DT114" s="452">
        <f t="shared" si="590"/>
        <v>11097.520500000001</v>
      </c>
      <c r="DU114" s="452">
        <f t="shared" si="590"/>
        <v>50821.006700000005</v>
      </c>
      <c r="DV114" s="452">
        <f t="shared" ref="DV114" si="591">SUM(DV115:DV127)-DV116</f>
        <v>0</v>
      </c>
      <c r="DW114" s="452">
        <f t="shared" si="323"/>
        <v>11986.253580000001</v>
      </c>
      <c r="DX114" s="452">
        <f t="shared" ref="DX114:DZ114" si="592">SUM(DX115:DX127)-DX116</f>
        <v>0</v>
      </c>
      <c r="DY114" s="452">
        <f t="shared" si="592"/>
        <v>4837.4334699999999</v>
      </c>
      <c r="DZ114" s="452">
        <f t="shared" si="592"/>
        <v>7148.8201099999997</v>
      </c>
      <c r="EA114" s="145">
        <f t="shared" ref="EA114" si="593">SUM(EA115:EA127)-EA116</f>
        <v>0</v>
      </c>
      <c r="EB114" s="57">
        <f t="shared" si="365"/>
        <v>0</v>
      </c>
      <c r="EC114" s="57">
        <f t="shared" si="366"/>
        <v>0</v>
      </c>
      <c r="ED114" s="57">
        <f t="shared" ref="ED114" si="594">SUM(ED115:ED127)-ED116</f>
        <v>0</v>
      </c>
      <c r="EE114" s="360"/>
      <c r="EF114" s="360"/>
      <c r="EG114" s="57">
        <f t="shared" si="368"/>
        <v>0</v>
      </c>
      <c r="EH114" s="57">
        <f>SUM(EH115:EH127)</f>
        <v>0</v>
      </c>
      <c r="EI114" s="57">
        <f>SUM(EI115:EI127)</f>
        <v>0</v>
      </c>
      <c r="EJ114" s="360"/>
      <c r="EK114" s="360"/>
      <c r="EL114" s="360"/>
      <c r="EM114" s="273">
        <f t="shared" ref="EM114" si="595">SUM(EM115:EM127)</f>
        <v>0</v>
      </c>
      <c r="EN114" s="57">
        <f t="shared" si="370"/>
        <v>0</v>
      </c>
      <c r="EO114" s="264"/>
      <c r="EP114" s="57">
        <f t="shared" si="335"/>
        <v>15934.95397</v>
      </c>
      <c r="EQ114" s="57">
        <f t="shared" si="349"/>
        <v>11097.520500000001</v>
      </c>
      <c r="ER114" s="57">
        <f t="shared" ref="ER114" si="596">SUM(ER115:ER127)-ER116</f>
        <v>4837.4334699999999</v>
      </c>
      <c r="ES114" s="360"/>
      <c r="ET114" s="360"/>
      <c r="EU114" s="57">
        <f t="shared" si="336"/>
        <v>15934.95397</v>
      </c>
      <c r="EV114" s="57">
        <f>SUM(EV115:EV127)</f>
        <v>11097.520500000001</v>
      </c>
      <c r="EW114" s="57">
        <f>SUM(EW115:EW127)</f>
        <v>4837.4334699999999</v>
      </c>
      <c r="EX114" s="360"/>
      <c r="EY114" s="360"/>
      <c r="EZ114" s="360"/>
      <c r="FA114" s="57">
        <f t="shared" ref="FA114" si="597">SUM(FA115:FA127)</f>
        <v>11097.520500000001</v>
      </c>
      <c r="FB114" s="57">
        <f t="shared" si="337"/>
        <v>0</v>
      </c>
      <c r="FC114" s="57">
        <f t="shared" ref="FC114" si="598">FD114+FE114+FF114</f>
        <v>57969.826810000006</v>
      </c>
      <c r="FD114" s="57">
        <f t="shared" si="350"/>
        <v>50821.006700000005</v>
      </c>
      <c r="FE114" s="57">
        <f t="shared" ref="FE114" si="599">SUM(FE115:FE127)-FE116</f>
        <v>7148.8201099999997</v>
      </c>
      <c r="FF114" s="360"/>
      <c r="FG114" s="360"/>
      <c r="FH114" s="57">
        <f t="shared" si="351"/>
        <v>57969.826810000006</v>
      </c>
      <c r="FI114" s="57">
        <f t="shared" si="446"/>
        <v>50821.006700000005</v>
      </c>
      <c r="FJ114" s="57">
        <f t="shared" si="447"/>
        <v>7148.8201099999997</v>
      </c>
      <c r="FK114" s="360"/>
      <c r="FL114" s="360"/>
      <c r="FM114" s="360"/>
      <c r="FN114" s="273">
        <f t="shared" si="581"/>
        <v>0</v>
      </c>
      <c r="FO114" s="57">
        <f t="shared" si="352"/>
        <v>50821.006700000005</v>
      </c>
    </row>
    <row r="115" spans="2:171" s="40" customFormat="1" ht="15.75" customHeight="1" x14ac:dyDescent="0.25">
      <c r="B115" s="32">
        <v>1</v>
      </c>
      <c r="C115" s="33"/>
      <c r="D115" s="33"/>
      <c r="E115" s="434">
        <v>96</v>
      </c>
      <c r="F115" s="32">
        <v>1</v>
      </c>
      <c r="G115" s="33"/>
      <c r="H115" s="33">
        <v>1</v>
      </c>
      <c r="I115" s="668"/>
      <c r="J115" s="669"/>
      <c r="K115" s="207"/>
      <c r="L115" s="53"/>
      <c r="M115" s="434">
        <v>93</v>
      </c>
      <c r="N115" s="448" t="s">
        <v>224</v>
      </c>
      <c r="O115" s="135"/>
      <c r="P115" s="2">
        <f t="shared" si="334"/>
        <v>0</v>
      </c>
      <c r="Q115" s="431" t="s">
        <v>572</v>
      </c>
      <c r="R115" s="135" t="s">
        <v>488</v>
      </c>
      <c r="S115" s="431" t="s">
        <v>491</v>
      </c>
      <c r="T115" s="135" t="s">
        <v>488</v>
      </c>
      <c r="U115" s="165">
        <v>1</v>
      </c>
      <c r="V115" s="165">
        <v>2</v>
      </c>
      <c r="W115" s="459">
        <f t="shared" ref="W115:W127" si="600">X115+Y115+Z115+AA115</f>
        <v>2816.2</v>
      </c>
      <c r="X115" s="459"/>
      <c r="Y115" s="460">
        <f>1314+1502.2</f>
        <v>2816.2</v>
      </c>
      <c r="Z115" s="459"/>
      <c r="AA115" s="464"/>
      <c r="AB115" s="459">
        <f t="shared" ref="AB115:AB127" si="601">AC115+AD115+AE115+AF115</f>
        <v>1327.1</v>
      </c>
      <c r="AC115" s="459"/>
      <c r="AD115" s="460">
        <v>1327.1</v>
      </c>
      <c r="AE115" s="459"/>
      <c r="AF115" s="464"/>
      <c r="AG115" s="459">
        <f t="shared" ref="AG115:AG127" si="602">AH115+AI115+AJ115+AK115</f>
        <v>1327.1</v>
      </c>
      <c r="AH115" s="459"/>
      <c r="AI115" s="460">
        <v>1327.1</v>
      </c>
      <c r="AJ115" s="459"/>
      <c r="AK115" s="464"/>
      <c r="AL115" s="459">
        <f t="shared" ref="AL115:AL127" si="603">AM115+AN115+AO115+AP115</f>
        <v>577</v>
      </c>
      <c r="AM115" s="459"/>
      <c r="AN115" s="460">
        <v>577</v>
      </c>
      <c r="AO115" s="459"/>
      <c r="AP115" s="459"/>
      <c r="AQ115" s="383" t="s">
        <v>555</v>
      </c>
      <c r="AR115" s="459">
        <f t="shared" ref="AR115:AR127" si="604">AS115+AT115+AU115+AV115</f>
        <v>2621.1919499999999</v>
      </c>
      <c r="AS115" s="459"/>
      <c r="AT115" s="460">
        <f>1314+1502.2-195.00805</f>
        <v>2621.1919499999999</v>
      </c>
      <c r="AU115" s="459"/>
      <c r="AV115" s="459"/>
      <c r="AW115" s="459" t="e">
        <f t="shared" ref="AW115:AW127" si="605">AX115+AY115+AZ115+BA115</f>
        <v>#REF!</v>
      </c>
      <c r="AX115" s="459" t="e">
        <f>#REF!-AS115</f>
        <v>#REF!</v>
      </c>
      <c r="AY115" s="459" t="e">
        <f>#REF!-AT115</f>
        <v>#REF!</v>
      </c>
      <c r="AZ115" s="459" t="e">
        <f>#REF!-AU115</f>
        <v>#REF!</v>
      </c>
      <c r="BA115" s="459" t="e">
        <f>#REF!-AV115</f>
        <v>#REF!</v>
      </c>
      <c r="BB115" s="459">
        <f t="shared" ref="BB115:BB127" si="606">BC115+BD115+BE115+BF115</f>
        <v>1327.1</v>
      </c>
      <c r="BC115" s="459"/>
      <c r="BD115" s="460">
        <f>577+750.1</f>
        <v>1327.1</v>
      </c>
      <c r="BE115" s="459"/>
      <c r="BF115" s="459"/>
      <c r="BG115" s="459">
        <f t="shared" ref="BG115:BG127" si="607">BH115+BI115+BJ115+BK115</f>
        <v>0</v>
      </c>
      <c r="BH115" s="459"/>
      <c r="BI115" s="460"/>
      <c r="BJ115" s="459"/>
      <c r="BK115" s="459"/>
      <c r="BL115" s="459">
        <f t="shared" ref="BL115:BL127" si="608">BM115+BN115+BO115+BP115</f>
        <v>2621.1919500000004</v>
      </c>
      <c r="BM115" s="459"/>
      <c r="BN115" s="460">
        <f>1313.99996+1307.19199</f>
        <v>2621.1919500000004</v>
      </c>
      <c r="BO115" s="459"/>
      <c r="BP115" s="459"/>
      <c r="BQ115" s="459">
        <f t="shared" ref="BQ115:BQ127" si="609">BR115+BS115+BT115+BU115</f>
        <v>2621.1919500000004</v>
      </c>
      <c r="BR115" s="459"/>
      <c r="BS115" s="460">
        <f>1313.99996+1307.19199</f>
        <v>2621.1919500000004</v>
      </c>
      <c r="BT115" s="459"/>
      <c r="BU115" s="459"/>
      <c r="BV115" s="459">
        <f t="shared" ref="BV115:BV127" si="610">BW115+BX115+BY115+BZ115</f>
        <v>1014.68138</v>
      </c>
      <c r="BW115" s="459"/>
      <c r="BX115" s="470">
        <f>499.99999+514.68139</f>
        <v>1014.68138</v>
      </c>
      <c r="BY115" s="459"/>
      <c r="BZ115" s="459"/>
      <c r="CA115" s="464">
        <f t="shared" ref="CA115:CA127" si="611">CB115</f>
        <v>3635.8733300000004</v>
      </c>
      <c r="CB115" s="459">
        <f t="shared" ref="CB115:CB127" si="612">CC115+CD115+CE115+CF115</f>
        <v>3635.8733300000004</v>
      </c>
      <c r="CC115" s="459">
        <f t="shared" ref="CC115:CF127" si="613">BR115+BW115</f>
        <v>0</v>
      </c>
      <c r="CD115" s="459">
        <f t="shared" si="613"/>
        <v>3635.8733300000004</v>
      </c>
      <c r="CE115" s="459">
        <f t="shared" si="613"/>
        <v>0</v>
      </c>
      <c r="CF115" s="459">
        <f t="shared" si="613"/>
        <v>0</v>
      </c>
      <c r="CG115" s="459">
        <f t="shared" ref="CG115:CG127" si="614">CH115+CI115+CJ115+CK115</f>
        <v>0</v>
      </c>
      <c r="CH115" s="459">
        <f t="shared" ref="CH115:CK127" si="615">BM115-BR115</f>
        <v>0</v>
      </c>
      <c r="CI115" s="459">
        <f t="shared" si="615"/>
        <v>0</v>
      </c>
      <c r="CJ115" s="459">
        <f t="shared" si="615"/>
        <v>0</v>
      </c>
      <c r="CK115" s="459">
        <f t="shared" si="615"/>
        <v>0</v>
      </c>
      <c r="CL115" s="465"/>
      <c r="CM115" s="466">
        <f>BB115</f>
        <v>1327.1</v>
      </c>
      <c r="CN115" s="466">
        <f>CM115</f>
        <v>1327.1</v>
      </c>
      <c r="CO115" s="459">
        <f t="shared" ref="CO115:CO127" si="616">CP115+CQ115+CR115+CS115</f>
        <v>0</v>
      </c>
      <c r="CP115" s="459"/>
      <c r="CQ115" s="460"/>
      <c r="CR115" s="459"/>
      <c r="CS115" s="459"/>
      <c r="CT115" s="459">
        <f t="shared" ref="CT115:CT127" si="617">CU115+CV115+CW115+CX115</f>
        <v>0</v>
      </c>
      <c r="CU115" s="459"/>
      <c r="CV115" s="460"/>
      <c r="CW115" s="459"/>
      <c r="CX115" s="459"/>
      <c r="CY115" s="459">
        <f t="shared" ref="CY115:CY127" si="618">CZ115+DA115+DB115+DC115</f>
        <v>0</v>
      </c>
      <c r="CZ115" s="459">
        <f t="shared" ref="CZ115:DC127" si="619">CP115-CU115</f>
        <v>0</v>
      </c>
      <c r="DA115" s="459">
        <f t="shared" si="619"/>
        <v>0</v>
      </c>
      <c r="DB115" s="459">
        <f t="shared" si="619"/>
        <v>0</v>
      </c>
      <c r="DC115" s="459">
        <f t="shared" si="619"/>
        <v>0</v>
      </c>
      <c r="DD115" s="459"/>
      <c r="DE115" s="459"/>
      <c r="DF115" s="459"/>
      <c r="DG115" s="459">
        <f t="shared" ref="DG115:DG127" si="620">CG115+CY115+DF115</f>
        <v>0</v>
      </c>
      <c r="DH115" s="467"/>
      <c r="DI115" s="459">
        <f t="shared" ref="DI115:DI127" si="621">BL115+CO115+DD115</f>
        <v>2621.1919500000004</v>
      </c>
      <c r="DJ115" s="459">
        <f t="shared" ref="DJ115:DJ127" si="622">BQ115+CT115+DE115</f>
        <v>2621.1919500000004</v>
      </c>
      <c r="DK115" s="467"/>
      <c r="DL115" s="459">
        <f>DJ115</f>
        <v>2621.1919500000004</v>
      </c>
      <c r="DM115" s="459">
        <f>DG115</f>
        <v>0</v>
      </c>
      <c r="DN115" s="467"/>
      <c r="DO115" s="459">
        <f>CN115-DL115</f>
        <v>-1294.0919500000005</v>
      </c>
      <c r="DP115" s="467"/>
      <c r="DQ115" s="467"/>
      <c r="DR115" s="459">
        <f t="shared" si="322"/>
        <v>2621.1919500000004</v>
      </c>
      <c r="DS115" s="459"/>
      <c r="DT115" s="460">
        <f>1313.99996+1307.19199</f>
        <v>2621.1919500000004</v>
      </c>
      <c r="DU115" s="459"/>
      <c r="DV115" s="459"/>
      <c r="DW115" s="459">
        <f t="shared" si="323"/>
        <v>1014.68138</v>
      </c>
      <c r="DX115" s="459"/>
      <c r="DY115" s="470">
        <f>499.99999+514.68139</f>
        <v>1014.68138</v>
      </c>
      <c r="DZ115" s="459"/>
      <c r="EA115" s="146"/>
      <c r="EB115" s="279"/>
      <c r="EC115" s="279"/>
      <c r="ED115" s="281"/>
      <c r="EE115" s="366"/>
      <c r="EF115" s="366"/>
      <c r="EG115" s="279"/>
      <c r="EH115" s="279"/>
      <c r="EI115" s="281"/>
      <c r="EJ115" s="366"/>
      <c r="EK115" s="366"/>
      <c r="EL115" s="366">
        <v>3.0499999999999999E-2</v>
      </c>
      <c r="EM115" s="280"/>
      <c r="EN115" s="279"/>
      <c r="EO115" s="265" t="e">
        <f t="shared" ref="EO115:EO127" si="623">EM115/EJ115</f>
        <v>#DIV/0!</v>
      </c>
      <c r="EP115" s="323">
        <f t="shared" si="335"/>
        <v>3635.8733299999999</v>
      </c>
      <c r="EQ115" s="323">
        <f t="shared" si="349"/>
        <v>2621.1919499999999</v>
      </c>
      <c r="ER115" s="324">
        <v>1014.68138</v>
      </c>
      <c r="ES115" s="358">
        <f t="shared" ref="ES115:ES127" si="624">EQ115/EP115</f>
        <v>0.72092499163055279</v>
      </c>
      <c r="ET115" s="358">
        <f t="shared" ref="ET115:ET127" si="625">ER115/EP115</f>
        <v>0.27907500836944726</v>
      </c>
      <c r="EU115" s="323">
        <f t="shared" si="336"/>
        <v>3635.8733300000004</v>
      </c>
      <c r="EV115" s="323">
        <f t="shared" ref="EV115:EV127" si="626">DT115</f>
        <v>2621.1919500000004</v>
      </c>
      <c r="EW115" s="324">
        <f t="shared" ref="EW115:EW127" si="627">DY115</f>
        <v>1014.68138</v>
      </c>
      <c r="EX115" s="358">
        <f t="shared" ref="EX115:EX127" si="628">EV115/EU115</f>
        <v>0.72092499163055279</v>
      </c>
      <c r="EY115" s="358">
        <f t="shared" ref="EY115:EY127" si="629">EW115/EU115</f>
        <v>0.27907500836944721</v>
      </c>
      <c r="EZ115" s="358">
        <v>0.1018</v>
      </c>
      <c r="FA115" s="323">
        <f t="shared" ref="FA115:FA127" si="630">EU115*ES115</f>
        <v>2621.1919500000004</v>
      </c>
      <c r="FB115" s="323">
        <f t="shared" si="337"/>
        <v>0</v>
      </c>
      <c r="FC115" s="279"/>
      <c r="FD115" s="279"/>
      <c r="FE115" s="281"/>
      <c r="FF115" s="366"/>
      <c r="FG115" s="366"/>
      <c r="FH115" s="279"/>
      <c r="FI115" s="279"/>
      <c r="FJ115" s="281"/>
      <c r="FK115" s="366"/>
      <c r="FL115" s="366"/>
      <c r="FM115" s="366">
        <v>0.1018</v>
      </c>
      <c r="FN115" s="280"/>
      <c r="FO115" s="279"/>
    </row>
    <row r="116" spans="2:171" s="40" customFormat="1" ht="15.75" customHeight="1" x14ac:dyDescent="0.25">
      <c r="B116" s="32"/>
      <c r="C116" s="33"/>
      <c r="D116" s="33"/>
      <c r="E116" s="434"/>
      <c r="F116" s="32"/>
      <c r="G116" s="33"/>
      <c r="H116" s="33"/>
      <c r="I116" s="668"/>
      <c r="J116" s="669"/>
      <c r="K116" s="207"/>
      <c r="L116" s="53"/>
      <c r="M116" s="434"/>
      <c r="N116" s="19" t="s">
        <v>251</v>
      </c>
      <c r="O116" s="133"/>
      <c r="P116" s="2">
        <f t="shared" si="334"/>
        <v>0</v>
      </c>
      <c r="Q116" s="133"/>
      <c r="R116" s="133"/>
      <c r="S116" s="133"/>
      <c r="T116" s="133"/>
      <c r="U116" s="133"/>
      <c r="V116" s="133"/>
      <c r="W116" s="459">
        <f t="shared" si="600"/>
        <v>0</v>
      </c>
      <c r="X116" s="459"/>
      <c r="Y116" s="468"/>
      <c r="Z116" s="459"/>
      <c r="AA116" s="464"/>
      <c r="AB116" s="459">
        <f t="shared" si="601"/>
        <v>0</v>
      </c>
      <c r="AC116" s="459"/>
      <c r="AD116" s="468"/>
      <c r="AE116" s="459"/>
      <c r="AF116" s="464"/>
      <c r="AG116" s="459">
        <f t="shared" si="602"/>
        <v>0</v>
      </c>
      <c r="AH116" s="459"/>
      <c r="AI116" s="468"/>
      <c r="AJ116" s="459"/>
      <c r="AK116" s="464"/>
      <c r="AL116" s="459">
        <f t="shared" si="603"/>
        <v>0</v>
      </c>
      <c r="AM116" s="459"/>
      <c r="AN116" s="468"/>
      <c r="AO116" s="459"/>
      <c r="AP116" s="459"/>
      <c r="AQ116" s="383"/>
      <c r="AR116" s="459">
        <f t="shared" si="604"/>
        <v>0</v>
      </c>
      <c r="AS116" s="459"/>
      <c r="AT116" s="493"/>
      <c r="AU116" s="459"/>
      <c r="AV116" s="459"/>
      <c r="AW116" s="459" t="e">
        <f t="shared" si="605"/>
        <v>#REF!</v>
      </c>
      <c r="AX116" s="459" t="e">
        <f>#REF!-AS116</f>
        <v>#REF!</v>
      </c>
      <c r="AY116" s="459" t="e">
        <f>#REF!-AT116</f>
        <v>#REF!</v>
      </c>
      <c r="AZ116" s="459" t="e">
        <f>#REF!-AU116</f>
        <v>#REF!</v>
      </c>
      <c r="BA116" s="459" t="e">
        <f>#REF!-AV116</f>
        <v>#REF!</v>
      </c>
      <c r="BB116" s="459">
        <f t="shared" si="606"/>
        <v>0</v>
      </c>
      <c r="BC116" s="459"/>
      <c r="BD116" s="468"/>
      <c r="BE116" s="459"/>
      <c r="BF116" s="459"/>
      <c r="BG116" s="459">
        <f t="shared" si="607"/>
        <v>0</v>
      </c>
      <c r="BH116" s="459"/>
      <c r="BI116" s="468"/>
      <c r="BJ116" s="459"/>
      <c r="BK116" s="459"/>
      <c r="BL116" s="459">
        <f t="shared" si="608"/>
        <v>0</v>
      </c>
      <c r="BM116" s="459"/>
      <c r="BN116" s="494"/>
      <c r="BO116" s="459"/>
      <c r="BP116" s="459"/>
      <c r="BQ116" s="459">
        <f t="shared" si="609"/>
        <v>0</v>
      </c>
      <c r="BR116" s="459"/>
      <c r="BS116" s="494"/>
      <c r="BT116" s="459"/>
      <c r="BU116" s="459"/>
      <c r="BV116" s="459">
        <f t="shared" si="610"/>
        <v>0</v>
      </c>
      <c r="BW116" s="459"/>
      <c r="BX116" s="459"/>
      <c r="BY116" s="459"/>
      <c r="BZ116" s="459"/>
      <c r="CA116" s="464">
        <f t="shared" si="611"/>
        <v>0</v>
      </c>
      <c r="CB116" s="459">
        <f t="shared" si="612"/>
        <v>0</v>
      </c>
      <c r="CC116" s="459">
        <f t="shared" si="613"/>
        <v>0</v>
      </c>
      <c r="CD116" s="459">
        <f t="shared" si="613"/>
        <v>0</v>
      </c>
      <c r="CE116" s="459">
        <f t="shared" si="613"/>
        <v>0</v>
      </c>
      <c r="CF116" s="459">
        <f t="shared" si="613"/>
        <v>0</v>
      </c>
      <c r="CG116" s="459">
        <f t="shared" si="614"/>
        <v>0</v>
      </c>
      <c r="CH116" s="459">
        <f t="shared" si="615"/>
        <v>0</v>
      </c>
      <c r="CI116" s="459">
        <f t="shared" si="615"/>
        <v>0</v>
      </c>
      <c r="CJ116" s="459">
        <f t="shared" si="615"/>
        <v>0</v>
      </c>
      <c r="CK116" s="459">
        <f t="shared" si="615"/>
        <v>0</v>
      </c>
      <c r="CL116" s="465"/>
      <c r="CM116" s="466"/>
      <c r="CN116" s="466"/>
      <c r="CO116" s="459">
        <f t="shared" si="616"/>
        <v>0</v>
      </c>
      <c r="CP116" s="459"/>
      <c r="CQ116" s="468"/>
      <c r="CR116" s="459"/>
      <c r="CS116" s="459"/>
      <c r="CT116" s="459">
        <f t="shared" si="617"/>
        <v>0</v>
      </c>
      <c r="CU116" s="459"/>
      <c r="CV116" s="468"/>
      <c r="CW116" s="459"/>
      <c r="CX116" s="459"/>
      <c r="CY116" s="459">
        <f t="shared" si="618"/>
        <v>0</v>
      </c>
      <c r="CZ116" s="459">
        <f t="shared" si="619"/>
        <v>0</v>
      </c>
      <c r="DA116" s="459">
        <f t="shared" si="619"/>
        <v>0</v>
      </c>
      <c r="DB116" s="459">
        <f t="shared" si="619"/>
        <v>0</v>
      </c>
      <c r="DC116" s="459">
        <f t="shared" si="619"/>
        <v>0</v>
      </c>
      <c r="DD116" s="459"/>
      <c r="DE116" s="459"/>
      <c r="DF116" s="459"/>
      <c r="DG116" s="459">
        <f t="shared" si="620"/>
        <v>0</v>
      </c>
      <c r="DH116" s="467"/>
      <c r="DI116" s="459">
        <f t="shared" si="621"/>
        <v>0</v>
      </c>
      <c r="DJ116" s="459">
        <f t="shared" si="622"/>
        <v>0</v>
      </c>
      <c r="DK116" s="467"/>
      <c r="DL116" s="459">
        <f>DJ116</f>
        <v>0</v>
      </c>
      <c r="DM116" s="459">
        <f>DG116</f>
        <v>0</v>
      </c>
      <c r="DN116" s="467"/>
      <c r="DO116" s="459"/>
      <c r="DP116" s="467"/>
      <c r="DQ116" s="467"/>
      <c r="DR116" s="459">
        <f t="shared" si="322"/>
        <v>0</v>
      </c>
      <c r="DS116" s="459"/>
      <c r="DT116" s="494"/>
      <c r="DU116" s="459"/>
      <c r="DV116" s="459"/>
      <c r="DW116" s="459">
        <f t="shared" si="323"/>
        <v>0</v>
      </c>
      <c r="DX116" s="459"/>
      <c r="DY116" s="459"/>
      <c r="DZ116" s="459"/>
      <c r="EA116" s="146"/>
      <c r="EB116" s="279"/>
      <c r="EC116" s="279"/>
      <c r="ED116" s="279"/>
      <c r="EE116" s="366"/>
      <c r="EF116" s="366"/>
      <c r="EG116" s="279"/>
      <c r="EH116" s="279"/>
      <c r="EI116" s="279"/>
      <c r="EJ116" s="366"/>
      <c r="EK116" s="366"/>
      <c r="EL116" s="366"/>
      <c r="EM116" s="280"/>
      <c r="EN116" s="279"/>
      <c r="EO116" s="265" t="e">
        <f t="shared" si="623"/>
        <v>#DIV/0!</v>
      </c>
      <c r="EP116" s="323"/>
      <c r="EQ116" s="323"/>
      <c r="ER116" s="323"/>
      <c r="ES116" s="358"/>
      <c r="ET116" s="358"/>
      <c r="EU116" s="323"/>
      <c r="EV116" s="323"/>
      <c r="EW116" s="323"/>
      <c r="EX116" s="358"/>
      <c r="EY116" s="358"/>
      <c r="EZ116" s="358"/>
      <c r="FA116" s="323"/>
      <c r="FB116" s="323">
        <f t="shared" si="337"/>
        <v>0</v>
      </c>
      <c r="FC116" s="279"/>
      <c r="FD116" s="279"/>
      <c r="FE116" s="279"/>
      <c r="FF116" s="366"/>
      <c r="FG116" s="366"/>
      <c r="FH116" s="279"/>
      <c r="FI116" s="279"/>
      <c r="FJ116" s="279"/>
      <c r="FK116" s="366"/>
      <c r="FL116" s="366"/>
      <c r="FM116" s="366"/>
      <c r="FN116" s="280"/>
      <c r="FO116" s="279"/>
    </row>
    <row r="117" spans="2:171" s="40" customFormat="1" ht="15.75" customHeight="1" x14ac:dyDescent="0.25">
      <c r="B117" s="32"/>
      <c r="C117" s="33"/>
      <c r="D117" s="33">
        <v>1</v>
      </c>
      <c r="E117" s="434">
        <v>97</v>
      </c>
      <c r="F117" s="32"/>
      <c r="G117" s="33"/>
      <c r="H117" s="33">
        <v>1</v>
      </c>
      <c r="I117" s="664"/>
      <c r="J117" s="665"/>
      <c r="K117" s="665"/>
      <c r="L117" s="159"/>
      <c r="M117" s="434">
        <v>94</v>
      </c>
      <c r="N117" s="435" t="s">
        <v>223</v>
      </c>
      <c r="O117" s="435"/>
      <c r="P117" s="24">
        <f t="shared" si="334"/>
        <v>0</v>
      </c>
      <c r="Q117" s="435" t="s">
        <v>491</v>
      </c>
      <c r="R117" s="435" t="s">
        <v>488</v>
      </c>
      <c r="S117" s="435" t="s">
        <v>490</v>
      </c>
      <c r="T117" s="435" t="s">
        <v>488</v>
      </c>
      <c r="U117" s="161">
        <v>1</v>
      </c>
      <c r="V117" s="434">
        <v>1</v>
      </c>
      <c r="W117" s="459">
        <f t="shared" si="600"/>
        <v>687.7</v>
      </c>
      <c r="X117" s="459"/>
      <c r="Y117" s="460">
        <v>687.7</v>
      </c>
      <c r="Z117" s="459"/>
      <c r="AA117" s="461"/>
      <c r="AB117" s="459">
        <f t="shared" si="601"/>
        <v>694.6</v>
      </c>
      <c r="AC117" s="459"/>
      <c r="AD117" s="460">
        <v>694.6</v>
      </c>
      <c r="AE117" s="459"/>
      <c r="AF117" s="461"/>
      <c r="AG117" s="459">
        <f t="shared" si="602"/>
        <v>694.6</v>
      </c>
      <c r="AH117" s="459"/>
      <c r="AI117" s="460">
        <v>694.6</v>
      </c>
      <c r="AJ117" s="459"/>
      <c r="AK117" s="461"/>
      <c r="AL117" s="459">
        <f t="shared" si="603"/>
        <v>302</v>
      </c>
      <c r="AM117" s="459"/>
      <c r="AN117" s="460">
        <v>302</v>
      </c>
      <c r="AO117" s="459"/>
      <c r="AP117" s="461"/>
      <c r="AQ117" s="383" t="s">
        <v>454</v>
      </c>
      <c r="AR117" s="459">
        <f t="shared" si="604"/>
        <v>687.7</v>
      </c>
      <c r="AS117" s="459"/>
      <c r="AT117" s="462">
        <v>687.7</v>
      </c>
      <c r="AU117" s="459"/>
      <c r="AV117" s="461"/>
      <c r="AW117" s="459" t="e">
        <f t="shared" si="605"/>
        <v>#REF!</v>
      </c>
      <c r="AX117" s="459" t="e">
        <f>#REF!-AS117</f>
        <v>#REF!</v>
      </c>
      <c r="AY117" s="459" t="e">
        <f>#REF!-AT117</f>
        <v>#REF!</v>
      </c>
      <c r="AZ117" s="459" t="e">
        <f>#REF!-AU117</f>
        <v>#REF!</v>
      </c>
      <c r="BA117" s="459" t="e">
        <f>#REF!-AV117</f>
        <v>#REF!</v>
      </c>
      <c r="BB117" s="459">
        <f t="shared" si="606"/>
        <v>694.6</v>
      </c>
      <c r="BC117" s="459"/>
      <c r="BD117" s="460">
        <v>694.6</v>
      </c>
      <c r="BE117" s="459"/>
      <c r="BF117" s="461"/>
      <c r="BG117" s="459">
        <f t="shared" si="607"/>
        <v>0</v>
      </c>
      <c r="BH117" s="459"/>
      <c r="BI117" s="460"/>
      <c r="BJ117" s="459"/>
      <c r="BK117" s="461"/>
      <c r="BL117" s="459">
        <f t="shared" si="608"/>
        <v>687.7</v>
      </c>
      <c r="BM117" s="459"/>
      <c r="BN117" s="462">
        <v>687.7</v>
      </c>
      <c r="BO117" s="459"/>
      <c r="BP117" s="470"/>
      <c r="BQ117" s="459">
        <f t="shared" si="609"/>
        <v>687.7</v>
      </c>
      <c r="BR117" s="459"/>
      <c r="BS117" s="462">
        <v>687.7</v>
      </c>
      <c r="BT117" s="459"/>
      <c r="BU117" s="470"/>
      <c r="BV117" s="459">
        <f t="shared" si="610"/>
        <v>1194.92146</v>
      </c>
      <c r="BW117" s="459"/>
      <c r="BX117" s="459">
        <v>1194.92146</v>
      </c>
      <c r="BY117" s="459"/>
      <c r="BZ117" s="459"/>
      <c r="CA117" s="464">
        <f t="shared" si="611"/>
        <v>1882.6214600000001</v>
      </c>
      <c r="CB117" s="459">
        <f t="shared" si="612"/>
        <v>1882.6214600000001</v>
      </c>
      <c r="CC117" s="459">
        <f t="shared" si="613"/>
        <v>0</v>
      </c>
      <c r="CD117" s="459">
        <f t="shared" si="613"/>
        <v>1882.6214600000001</v>
      </c>
      <c r="CE117" s="459">
        <f t="shared" si="613"/>
        <v>0</v>
      </c>
      <c r="CF117" s="459">
        <f t="shared" si="613"/>
        <v>0</v>
      </c>
      <c r="CG117" s="459">
        <f t="shared" si="614"/>
        <v>0</v>
      </c>
      <c r="CH117" s="459">
        <f t="shared" si="615"/>
        <v>0</v>
      </c>
      <c r="CI117" s="459">
        <f t="shared" si="615"/>
        <v>0</v>
      </c>
      <c r="CJ117" s="459">
        <f t="shared" si="615"/>
        <v>0</v>
      </c>
      <c r="CK117" s="459">
        <f t="shared" si="615"/>
        <v>0</v>
      </c>
      <c r="CL117" s="465"/>
      <c r="CM117" s="466"/>
      <c r="CN117" s="466"/>
      <c r="CO117" s="459">
        <f t="shared" si="616"/>
        <v>0</v>
      </c>
      <c r="CP117" s="459"/>
      <c r="CQ117" s="460"/>
      <c r="CR117" s="459"/>
      <c r="CS117" s="461"/>
      <c r="CT117" s="459">
        <f t="shared" si="617"/>
        <v>0</v>
      </c>
      <c r="CU117" s="459"/>
      <c r="CV117" s="460"/>
      <c r="CW117" s="459"/>
      <c r="CX117" s="461"/>
      <c r="CY117" s="459">
        <f t="shared" si="618"/>
        <v>0</v>
      </c>
      <c r="CZ117" s="459">
        <f t="shared" si="619"/>
        <v>0</v>
      </c>
      <c r="DA117" s="459">
        <f t="shared" si="619"/>
        <v>0</v>
      </c>
      <c r="DB117" s="459">
        <f t="shared" si="619"/>
        <v>0</v>
      </c>
      <c r="DC117" s="459">
        <f t="shared" si="619"/>
        <v>0</v>
      </c>
      <c r="DD117" s="459"/>
      <c r="DE117" s="459"/>
      <c r="DF117" s="459"/>
      <c r="DG117" s="459">
        <f t="shared" si="620"/>
        <v>0</v>
      </c>
      <c r="DH117" s="467"/>
      <c r="DI117" s="459">
        <f t="shared" si="621"/>
        <v>687.7</v>
      </c>
      <c r="DJ117" s="459">
        <f t="shared" si="622"/>
        <v>687.7</v>
      </c>
      <c r="DK117" s="467"/>
      <c r="DL117" s="459"/>
      <c r="DM117" s="459"/>
      <c r="DN117" s="467"/>
      <c r="DO117" s="459"/>
      <c r="DP117" s="467"/>
      <c r="DQ117" s="467"/>
      <c r="DR117" s="459">
        <f t="shared" si="322"/>
        <v>687.7</v>
      </c>
      <c r="DS117" s="459"/>
      <c r="DT117" s="460">
        <v>687.7</v>
      </c>
      <c r="DU117" s="459"/>
      <c r="DV117" s="470"/>
      <c r="DW117" s="459">
        <f t="shared" si="323"/>
        <v>1194.92146</v>
      </c>
      <c r="DX117" s="459"/>
      <c r="DY117" s="459">
        <v>1194.92146</v>
      </c>
      <c r="DZ117" s="459"/>
      <c r="EA117" s="146"/>
      <c r="EB117" s="279"/>
      <c r="EC117" s="279"/>
      <c r="ED117" s="279"/>
      <c r="EE117" s="366"/>
      <c r="EF117" s="366"/>
      <c r="EG117" s="279"/>
      <c r="EH117" s="279"/>
      <c r="EI117" s="279"/>
      <c r="EJ117" s="366"/>
      <c r="EK117" s="366"/>
      <c r="EL117" s="366">
        <v>0.10150000000000001</v>
      </c>
      <c r="EM117" s="280"/>
      <c r="EN117" s="279"/>
      <c r="EO117" s="265" t="e">
        <f t="shared" si="623"/>
        <v>#DIV/0!</v>
      </c>
      <c r="EP117" s="323">
        <f t="shared" si="335"/>
        <v>1882.6214600000001</v>
      </c>
      <c r="EQ117" s="323">
        <f t="shared" si="349"/>
        <v>687.7</v>
      </c>
      <c r="ER117" s="323">
        <v>1194.92146</v>
      </c>
      <c r="ES117" s="358">
        <f t="shared" si="624"/>
        <v>0.36528851636483523</v>
      </c>
      <c r="ET117" s="358">
        <f t="shared" si="625"/>
        <v>0.63471148363516472</v>
      </c>
      <c r="EU117" s="323">
        <f t="shared" si="336"/>
        <v>1882.6214600000001</v>
      </c>
      <c r="EV117" s="323">
        <f t="shared" si="626"/>
        <v>687.7</v>
      </c>
      <c r="EW117" s="323">
        <f t="shared" si="627"/>
        <v>1194.92146</v>
      </c>
      <c r="EX117" s="358">
        <f t="shared" si="628"/>
        <v>0.36528851636483523</v>
      </c>
      <c r="EY117" s="358">
        <f t="shared" si="629"/>
        <v>0.63471148363516472</v>
      </c>
      <c r="EZ117" s="358">
        <v>0.33829999999999999</v>
      </c>
      <c r="FA117" s="323">
        <f t="shared" si="630"/>
        <v>687.7</v>
      </c>
      <c r="FB117" s="323">
        <f t="shared" si="337"/>
        <v>0</v>
      </c>
      <c r="FC117" s="279"/>
      <c r="FD117" s="279"/>
      <c r="FE117" s="279"/>
      <c r="FF117" s="366"/>
      <c r="FG117" s="366"/>
      <c r="FH117" s="279"/>
      <c r="FI117" s="279"/>
      <c r="FJ117" s="279"/>
      <c r="FK117" s="366"/>
      <c r="FL117" s="366"/>
      <c r="FM117" s="366">
        <v>0.33829999999999999</v>
      </c>
      <c r="FN117" s="280"/>
      <c r="FO117" s="279"/>
    </row>
    <row r="118" spans="2:171" s="40" customFormat="1" ht="15.75" customHeight="1" x14ac:dyDescent="0.25">
      <c r="B118" s="32"/>
      <c r="C118" s="33"/>
      <c r="D118" s="33">
        <v>1</v>
      </c>
      <c r="E118" s="434">
        <v>98</v>
      </c>
      <c r="F118" s="32"/>
      <c r="G118" s="33"/>
      <c r="H118" s="33"/>
      <c r="I118" s="668"/>
      <c r="J118" s="669"/>
      <c r="K118" s="207"/>
      <c r="L118" s="53"/>
      <c r="M118" s="434">
        <v>95</v>
      </c>
      <c r="N118" s="435" t="s">
        <v>222</v>
      </c>
      <c r="O118" s="435"/>
      <c r="P118" s="24">
        <f t="shared" si="334"/>
        <v>0</v>
      </c>
      <c r="Q118" s="435"/>
      <c r="R118" s="435"/>
      <c r="S118" s="435"/>
      <c r="T118" s="435"/>
      <c r="U118" s="161"/>
      <c r="V118" s="434"/>
      <c r="W118" s="459">
        <f t="shared" si="600"/>
        <v>0</v>
      </c>
      <c r="X118" s="459"/>
      <c r="Y118" s="460">
        <f>777.7-777.7</f>
        <v>0</v>
      </c>
      <c r="Z118" s="459"/>
      <c r="AA118" s="461"/>
      <c r="AB118" s="459">
        <f t="shared" si="601"/>
        <v>784.3</v>
      </c>
      <c r="AC118" s="459"/>
      <c r="AD118" s="460">
        <v>784.3</v>
      </c>
      <c r="AE118" s="459"/>
      <c r="AF118" s="461"/>
      <c r="AG118" s="459">
        <f t="shared" si="602"/>
        <v>784.3</v>
      </c>
      <c r="AH118" s="459"/>
      <c r="AI118" s="460">
        <v>784.3</v>
      </c>
      <c r="AJ118" s="459"/>
      <c r="AK118" s="461"/>
      <c r="AL118" s="459">
        <f t="shared" si="603"/>
        <v>341</v>
      </c>
      <c r="AM118" s="459"/>
      <c r="AN118" s="460">
        <v>341</v>
      </c>
      <c r="AO118" s="459"/>
      <c r="AP118" s="461"/>
      <c r="AQ118" s="383"/>
      <c r="AR118" s="459">
        <f t="shared" si="604"/>
        <v>0</v>
      </c>
      <c r="AS118" s="459"/>
      <c r="AT118" s="469"/>
      <c r="AU118" s="459"/>
      <c r="AV118" s="459"/>
      <c r="AW118" s="459" t="e">
        <f t="shared" si="605"/>
        <v>#REF!</v>
      </c>
      <c r="AX118" s="459" t="e">
        <f>#REF!-AS118</f>
        <v>#REF!</v>
      </c>
      <c r="AY118" s="459" t="e">
        <f>#REF!-AT118</f>
        <v>#REF!</v>
      </c>
      <c r="AZ118" s="459" t="e">
        <f>#REF!-AU118</f>
        <v>#REF!</v>
      </c>
      <c r="BA118" s="459" t="e">
        <f>#REF!-AV118</f>
        <v>#REF!</v>
      </c>
      <c r="BB118" s="459">
        <f t="shared" si="606"/>
        <v>783.4</v>
      </c>
      <c r="BC118" s="459"/>
      <c r="BD118" s="459">
        <v>783.4</v>
      </c>
      <c r="BE118" s="459"/>
      <c r="BF118" s="459"/>
      <c r="BG118" s="459">
        <f t="shared" si="607"/>
        <v>0</v>
      </c>
      <c r="BH118" s="459"/>
      <c r="BI118" s="459"/>
      <c r="BJ118" s="459"/>
      <c r="BK118" s="459"/>
      <c r="BL118" s="459">
        <f t="shared" si="608"/>
        <v>0</v>
      </c>
      <c r="BM118" s="459"/>
      <c r="BN118" s="459"/>
      <c r="BO118" s="459"/>
      <c r="BP118" s="459"/>
      <c r="BQ118" s="459">
        <f t="shared" si="609"/>
        <v>0</v>
      </c>
      <c r="BR118" s="459"/>
      <c r="BS118" s="459"/>
      <c r="BT118" s="459"/>
      <c r="BU118" s="459"/>
      <c r="BV118" s="459">
        <f t="shared" si="610"/>
        <v>0</v>
      </c>
      <c r="BW118" s="459"/>
      <c r="BX118" s="459"/>
      <c r="BY118" s="459"/>
      <c r="BZ118" s="459"/>
      <c r="CA118" s="464">
        <f t="shared" si="611"/>
        <v>0</v>
      </c>
      <c r="CB118" s="459">
        <f t="shared" si="612"/>
        <v>0</v>
      </c>
      <c r="CC118" s="459">
        <f t="shared" si="613"/>
        <v>0</v>
      </c>
      <c r="CD118" s="459">
        <f t="shared" si="613"/>
        <v>0</v>
      </c>
      <c r="CE118" s="459">
        <f t="shared" si="613"/>
        <v>0</v>
      </c>
      <c r="CF118" s="459">
        <f t="shared" si="613"/>
        <v>0</v>
      </c>
      <c r="CG118" s="459">
        <f t="shared" si="614"/>
        <v>0</v>
      </c>
      <c r="CH118" s="459">
        <f t="shared" si="615"/>
        <v>0</v>
      </c>
      <c r="CI118" s="459">
        <f t="shared" si="615"/>
        <v>0</v>
      </c>
      <c r="CJ118" s="459">
        <f t="shared" si="615"/>
        <v>0</v>
      </c>
      <c r="CK118" s="459">
        <f t="shared" si="615"/>
        <v>0</v>
      </c>
      <c r="CL118" s="465"/>
      <c r="CM118" s="466"/>
      <c r="CN118" s="466"/>
      <c r="CO118" s="459">
        <f t="shared" si="616"/>
        <v>0</v>
      </c>
      <c r="CP118" s="459"/>
      <c r="CQ118" s="459"/>
      <c r="CR118" s="459"/>
      <c r="CS118" s="459"/>
      <c r="CT118" s="459">
        <f t="shared" si="617"/>
        <v>0</v>
      </c>
      <c r="CU118" s="459"/>
      <c r="CV118" s="459"/>
      <c r="CW118" s="459"/>
      <c r="CX118" s="459"/>
      <c r="CY118" s="459">
        <f t="shared" si="618"/>
        <v>0</v>
      </c>
      <c r="CZ118" s="459">
        <f t="shared" si="619"/>
        <v>0</v>
      </c>
      <c r="DA118" s="459">
        <f t="shared" si="619"/>
        <v>0</v>
      </c>
      <c r="DB118" s="459">
        <f t="shared" si="619"/>
        <v>0</v>
      </c>
      <c r="DC118" s="459">
        <f t="shared" si="619"/>
        <v>0</v>
      </c>
      <c r="DD118" s="459"/>
      <c r="DE118" s="459"/>
      <c r="DF118" s="459"/>
      <c r="DG118" s="459">
        <f t="shared" si="620"/>
        <v>0</v>
      </c>
      <c r="DH118" s="467"/>
      <c r="DI118" s="459">
        <f t="shared" si="621"/>
        <v>0</v>
      </c>
      <c r="DJ118" s="459">
        <f t="shared" si="622"/>
        <v>0</v>
      </c>
      <c r="DK118" s="467"/>
      <c r="DL118" s="459"/>
      <c r="DM118" s="459"/>
      <c r="DN118" s="467"/>
      <c r="DO118" s="459"/>
      <c r="DP118" s="467"/>
      <c r="DQ118" s="467"/>
      <c r="DR118" s="459">
        <f t="shared" si="322"/>
        <v>0</v>
      </c>
      <c r="DS118" s="459"/>
      <c r="DT118" s="459"/>
      <c r="DU118" s="459"/>
      <c r="DV118" s="459"/>
      <c r="DW118" s="459">
        <f t="shared" si="323"/>
        <v>0</v>
      </c>
      <c r="DX118" s="459"/>
      <c r="DY118" s="459"/>
      <c r="DZ118" s="459"/>
      <c r="EA118" s="146"/>
      <c r="EB118" s="279"/>
      <c r="EC118" s="279"/>
      <c r="ED118" s="279"/>
      <c r="EE118" s="366"/>
      <c r="EF118" s="366"/>
      <c r="EG118" s="279"/>
      <c r="EH118" s="279"/>
      <c r="EI118" s="279"/>
      <c r="EJ118" s="366"/>
      <c r="EK118" s="366"/>
      <c r="EL118" s="366">
        <v>0.1181</v>
      </c>
      <c r="EM118" s="280"/>
      <c r="EN118" s="279"/>
      <c r="EO118" s="265" t="e">
        <f t="shared" si="623"/>
        <v>#DIV/0!</v>
      </c>
      <c r="EP118" s="323"/>
      <c r="EQ118" s="323"/>
      <c r="ER118" s="323"/>
      <c r="ES118" s="358"/>
      <c r="ET118" s="358"/>
      <c r="EU118" s="323"/>
      <c r="EV118" s="323"/>
      <c r="EW118" s="323"/>
      <c r="EX118" s="358"/>
      <c r="EY118" s="358"/>
      <c r="EZ118" s="358">
        <v>0.39379999999999998</v>
      </c>
      <c r="FA118" s="323"/>
      <c r="FB118" s="323">
        <f t="shared" si="337"/>
        <v>0</v>
      </c>
      <c r="FC118" s="279"/>
      <c r="FD118" s="279"/>
      <c r="FE118" s="279"/>
      <c r="FF118" s="366"/>
      <c r="FG118" s="366"/>
      <c r="FH118" s="279"/>
      <c r="FI118" s="279"/>
      <c r="FJ118" s="279"/>
      <c r="FK118" s="366"/>
      <c r="FL118" s="366"/>
      <c r="FM118" s="366">
        <v>0.39379999999999998</v>
      </c>
      <c r="FN118" s="280"/>
      <c r="FO118" s="279"/>
    </row>
    <row r="119" spans="2:171" s="40" customFormat="1" ht="15.6" customHeight="1" x14ac:dyDescent="0.25">
      <c r="B119" s="32"/>
      <c r="C119" s="33">
        <v>1</v>
      </c>
      <c r="D119" s="33"/>
      <c r="E119" s="434">
        <v>99</v>
      </c>
      <c r="F119" s="32"/>
      <c r="G119" s="33">
        <v>1</v>
      </c>
      <c r="H119" s="33">
        <v>1</v>
      </c>
      <c r="I119" s="668"/>
      <c r="J119" s="669"/>
      <c r="K119" s="207"/>
      <c r="L119" s="53"/>
      <c r="M119" s="434">
        <v>96</v>
      </c>
      <c r="N119" s="448" t="s">
        <v>221</v>
      </c>
      <c r="O119" s="448"/>
      <c r="P119" s="24">
        <f t="shared" si="334"/>
        <v>0</v>
      </c>
      <c r="Q119" s="448" t="s">
        <v>490</v>
      </c>
      <c r="R119" s="448" t="s">
        <v>488</v>
      </c>
      <c r="S119" s="448"/>
      <c r="T119" s="448"/>
      <c r="U119" s="161">
        <v>1</v>
      </c>
      <c r="V119" s="434">
        <v>2</v>
      </c>
      <c r="W119" s="459">
        <f t="shared" si="600"/>
        <v>12442.777</v>
      </c>
      <c r="X119" s="459"/>
      <c r="Y119" s="460">
        <v>554.6</v>
      </c>
      <c r="Z119" s="459">
        <f>8960+2928.177</f>
        <v>11888.177</v>
      </c>
      <c r="AA119" s="461"/>
      <c r="AB119" s="459">
        <f t="shared" si="601"/>
        <v>5535.9</v>
      </c>
      <c r="AC119" s="459"/>
      <c r="AD119" s="460">
        <v>535.9</v>
      </c>
      <c r="AE119" s="459">
        <v>5000</v>
      </c>
      <c r="AF119" s="461"/>
      <c r="AG119" s="459">
        <f t="shared" si="602"/>
        <v>5535.9</v>
      </c>
      <c r="AH119" s="459"/>
      <c r="AI119" s="460">
        <v>535.9</v>
      </c>
      <c r="AJ119" s="459">
        <v>5000</v>
      </c>
      <c r="AK119" s="461"/>
      <c r="AL119" s="459">
        <f t="shared" si="603"/>
        <v>5233</v>
      </c>
      <c r="AM119" s="459"/>
      <c r="AN119" s="460">
        <v>233</v>
      </c>
      <c r="AO119" s="459">
        <v>5000</v>
      </c>
      <c r="AP119" s="461"/>
      <c r="AQ119" s="383" t="s">
        <v>554</v>
      </c>
      <c r="AR119" s="459">
        <f t="shared" si="604"/>
        <v>11976.1</v>
      </c>
      <c r="AS119" s="459"/>
      <c r="AT119" s="462">
        <v>554.6</v>
      </c>
      <c r="AU119" s="459">
        <f>8960+2928.177-466.677</f>
        <v>11421.5</v>
      </c>
      <c r="AV119" s="461"/>
      <c r="AW119" s="459" t="e">
        <f t="shared" si="605"/>
        <v>#REF!</v>
      </c>
      <c r="AX119" s="459" t="e">
        <f>#REF!-AS119</f>
        <v>#REF!</v>
      </c>
      <c r="AY119" s="459" t="e">
        <f>#REF!-AT119</f>
        <v>#REF!</v>
      </c>
      <c r="AZ119" s="459" t="e">
        <f>#REF!-AU119</f>
        <v>#REF!</v>
      </c>
      <c r="BA119" s="459" t="e">
        <f>#REF!-AV119</f>
        <v>#REF!</v>
      </c>
      <c r="BB119" s="459">
        <f t="shared" si="606"/>
        <v>5535.9</v>
      </c>
      <c r="BC119" s="459"/>
      <c r="BD119" s="460">
        <f>233+302.9</f>
        <v>535.9</v>
      </c>
      <c r="BE119" s="459">
        <v>5000</v>
      </c>
      <c r="BF119" s="461"/>
      <c r="BG119" s="459">
        <f t="shared" si="607"/>
        <v>0</v>
      </c>
      <c r="BH119" s="459"/>
      <c r="BI119" s="460"/>
      <c r="BJ119" s="459"/>
      <c r="BK119" s="461"/>
      <c r="BL119" s="459">
        <f t="shared" si="608"/>
        <v>11976.1</v>
      </c>
      <c r="BM119" s="459"/>
      <c r="BN119" s="462">
        <v>554.6</v>
      </c>
      <c r="BO119" s="459">
        <f>2316.286+6773.889+1239.091+1092.234</f>
        <v>11421.5</v>
      </c>
      <c r="BP119" s="470"/>
      <c r="BQ119" s="459">
        <f t="shared" si="609"/>
        <v>11976.1</v>
      </c>
      <c r="BR119" s="459"/>
      <c r="BS119" s="462">
        <v>554.6</v>
      </c>
      <c r="BT119" s="459">
        <f>2316.286+6773.889+1239.091+1092.234</f>
        <v>11421.5</v>
      </c>
      <c r="BU119" s="470"/>
      <c r="BV119" s="459">
        <f t="shared" si="610"/>
        <v>1699.8459600000001</v>
      </c>
      <c r="BW119" s="459"/>
      <c r="BX119" s="459">
        <v>818.99550999999997</v>
      </c>
      <c r="BY119" s="459">
        <f>95.562+84.236+178.6367+522.41575</f>
        <v>880.85045000000002</v>
      </c>
      <c r="BZ119" s="459"/>
      <c r="CA119" s="464">
        <f t="shared" si="611"/>
        <v>13675.945960000001</v>
      </c>
      <c r="CB119" s="459">
        <f t="shared" si="612"/>
        <v>13675.945960000001</v>
      </c>
      <c r="CC119" s="459">
        <f t="shared" si="613"/>
        <v>0</v>
      </c>
      <c r="CD119" s="459">
        <f t="shared" si="613"/>
        <v>1373.5955100000001</v>
      </c>
      <c r="CE119" s="459">
        <f t="shared" si="613"/>
        <v>12302.35045</v>
      </c>
      <c r="CF119" s="459">
        <f t="shared" si="613"/>
        <v>0</v>
      </c>
      <c r="CG119" s="459">
        <f t="shared" si="614"/>
        <v>0</v>
      </c>
      <c r="CH119" s="459">
        <f t="shared" si="615"/>
        <v>0</v>
      </c>
      <c r="CI119" s="459">
        <f t="shared" si="615"/>
        <v>0</v>
      </c>
      <c r="CJ119" s="459">
        <f t="shared" si="615"/>
        <v>0</v>
      </c>
      <c r="CK119" s="459">
        <f t="shared" si="615"/>
        <v>0</v>
      </c>
      <c r="CL119" s="465"/>
      <c r="CM119" s="559">
        <f>BB119+BB120</f>
        <v>14316.764999999999</v>
      </c>
      <c r="CN119" s="559">
        <f>CM119+CO119+CO120</f>
        <v>14316.764999999999</v>
      </c>
      <c r="CO119" s="459">
        <f t="shared" si="616"/>
        <v>0</v>
      </c>
      <c r="CP119" s="459"/>
      <c r="CQ119" s="460"/>
      <c r="CR119" s="459"/>
      <c r="CS119" s="461"/>
      <c r="CT119" s="459">
        <f t="shared" si="617"/>
        <v>0</v>
      </c>
      <c r="CU119" s="459"/>
      <c r="CV119" s="460"/>
      <c r="CW119" s="459"/>
      <c r="CX119" s="461"/>
      <c r="CY119" s="459">
        <f t="shared" si="618"/>
        <v>0</v>
      </c>
      <c r="CZ119" s="459">
        <f t="shared" si="619"/>
        <v>0</v>
      </c>
      <c r="DA119" s="459">
        <f t="shared" si="619"/>
        <v>0</v>
      </c>
      <c r="DB119" s="459">
        <f t="shared" si="619"/>
        <v>0</v>
      </c>
      <c r="DC119" s="459">
        <f t="shared" si="619"/>
        <v>0</v>
      </c>
      <c r="DD119" s="459"/>
      <c r="DE119" s="459"/>
      <c r="DF119" s="459"/>
      <c r="DG119" s="459">
        <f t="shared" si="620"/>
        <v>0</v>
      </c>
      <c r="DH119" s="467"/>
      <c r="DI119" s="459">
        <f t="shared" si="621"/>
        <v>11976.1</v>
      </c>
      <c r="DJ119" s="459">
        <f t="shared" si="622"/>
        <v>11976.1</v>
      </c>
      <c r="DK119" s="467"/>
      <c r="DL119" s="560">
        <f>DJ119+DJ120</f>
        <v>47332.399999999994</v>
      </c>
      <c r="DM119" s="560">
        <f>DG119+DG120</f>
        <v>0</v>
      </c>
      <c r="DN119" s="467"/>
      <c r="DO119" s="459">
        <f>CN119-DL119</f>
        <v>-33015.634999999995</v>
      </c>
      <c r="DP119" s="467"/>
      <c r="DQ119" s="467"/>
      <c r="DR119" s="459">
        <f t="shared" si="322"/>
        <v>11976.1</v>
      </c>
      <c r="DS119" s="459"/>
      <c r="DT119" s="462">
        <v>554.6</v>
      </c>
      <c r="DU119" s="459">
        <f>2316.286+6773.889+1239.091+1092.234</f>
        <v>11421.5</v>
      </c>
      <c r="DV119" s="470"/>
      <c r="DW119" s="459">
        <f t="shared" si="323"/>
        <v>1699.8459600000001</v>
      </c>
      <c r="DX119" s="459"/>
      <c r="DY119" s="459">
        <v>818.99550999999997</v>
      </c>
      <c r="DZ119" s="459">
        <f>178.6367+522.41575+95.562+84.236</f>
        <v>880.85045000000002</v>
      </c>
      <c r="EA119" s="146"/>
      <c r="EB119" s="279"/>
      <c r="EC119" s="279"/>
      <c r="ED119" s="279"/>
      <c r="EE119" s="366"/>
      <c r="EF119" s="366"/>
      <c r="EG119" s="279"/>
      <c r="EH119" s="279"/>
      <c r="EI119" s="279"/>
      <c r="EJ119" s="366"/>
      <c r="EK119" s="366"/>
      <c r="EL119" s="366">
        <v>2.1499999999999998E-2</v>
      </c>
      <c r="EM119" s="280"/>
      <c r="EN119" s="279"/>
      <c r="EO119" s="265" t="e">
        <f t="shared" si="623"/>
        <v>#DIV/0!</v>
      </c>
      <c r="EP119" s="323">
        <f t="shared" si="335"/>
        <v>1373.5955100000001</v>
      </c>
      <c r="EQ119" s="323">
        <f t="shared" si="349"/>
        <v>554.6</v>
      </c>
      <c r="ER119" s="323">
        <v>818.99550999999997</v>
      </c>
      <c r="ES119" s="358">
        <f t="shared" si="624"/>
        <v>0.40375787192257201</v>
      </c>
      <c r="ET119" s="358">
        <f t="shared" si="625"/>
        <v>0.59624212807742794</v>
      </c>
      <c r="EU119" s="323">
        <f t="shared" si="336"/>
        <v>1373.5955100000001</v>
      </c>
      <c r="EV119" s="323">
        <f t="shared" si="626"/>
        <v>554.6</v>
      </c>
      <c r="EW119" s="323">
        <f t="shared" si="627"/>
        <v>818.99550999999997</v>
      </c>
      <c r="EX119" s="358">
        <f t="shared" si="628"/>
        <v>0.40375787192257201</v>
      </c>
      <c r="EY119" s="358">
        <f t="shared" si="629"/>
        <v>0.59624212807742794</v>
      </c>
      <c r="EZ119" s="358">
        <v>7.1599999999999997E-2</v>
      </c>
      <c r="FA119" s="323">
        <f t="shared" si="630"/>
        <v>554.6</v>
      </c>
      <c r="FB119" s="323">
        <f t="shared" si="337"/>
        <v>0</v>
      </c>
      <c r="FC119" s="279">
        <f t="shared" ref="FC119:FC127" si="631">FD119+FE119</f>
        <v>12302.35045</v>
      </c>
      <c r="FD119" s="279">
        <f t="shared" si="350"/>
        <v>11421.5</v>
      </c>
      <c r="FE119" s="279">
        <v>880.85045000000002</v>
      </c>
      <c r="FF119" s="366">
        <f t="shared" ref="FF119:FF127" si="632">FD119/FC119</f>
        <v>0.92839982460424875</v>
      </c>
      <c r="FG119" s="366">
        <f t="shared" ref="FG119:FG127" si="633">FE119/FC119</f>
        <v>7.1600175395751309E-2</v>
      </c>
      <c r="FH119" s="279">
        <f t="shared" si="351"/>
        <v>12302.35045</v>
      </c>
      <c r="FI119" s="279">
        <f t="shared" si="446"/>
        <v>11421.5</v>
      </c>
      <c r="FJ119" s="279">
        <f t="shared" si="447"/>
        <v>880.85045000000002</v>
      </c>
      <c r="FK119" s="366">
        <f t="shared" ref="FK119:FK127" si="634">FI119/FH119</f>
        <v>0.92839982460424875</v>
      </c>
      <c r="FL119" s="366">
        <f t="shared" ref="FL119:FL127" si="635">FJ119/FH119</f>
        <v>7.1600175395751309E-2</v>
      </c>
      <c r="FM119" s="366">
        <v>7.1599999999999997E-2</v>
      </c>
      <c r="FN119" s="280">
        <f t="shared" si="581"/>
        <v>11421.5</v>
      </c>
      <c r="FO119" s="279">
        <f t="shared" si="352"/>
        <v>0</v>
      </c>
    </row>
    <row r="120" spans="2:171" s="40" customFormat="1" ht="15.75" customHeight="1" x14ac:dyDescent="0.25">
      <c r="B120" s="32"/>
      <c r="C120" s="33">
        <v>1</v>
      </c>
      <c r="D120" s="33"/>
      <c r="E120" s="434">
        <v>100</v>
      </c>
      <c r="F120" s="32"/>
      <c r="G120" s="33">
        <v>1</v>
      </c>
      <c r="H120" s="33">
        <v>1</v>
      </c>
      <c r="I120" s="664"/>
      <c r="J120" s="665"/>
      <c r="K120" s="665"/>
      <c r="L120" s="159"/>
      <c r="M120" s="434">
        <v>97</v>
      </c>
      <c r="N120" s="435" t="s">
        <v>156</v>
      </c>
      <c r="O120" s="435"/>
      <c r="P120" s="24">
        <f t="shared" si="334"/>
        <v>0</v>
      </c>
      <c r="Q120" s="435" t="s">
        <v>572</v>
      </c>
      <c r="R120" s="435" t="s">
        <v>488</v>
      </c>
      <c r="S120" s="435" t="s">
        <v>491</v>
      </c>
      <c r="T120" s="435" t="s">
        <v>488</v>
      </c>
      <c r="U120" s="161">
        <v>1</v>
      </c>
      <c r="V120" s="434"/>
      <c r="W120" s="459">
        <f t="shared" si="600"/>
        <v>35356.299999999996</v>
      </c>
      <c r="X120" s="459"/>
      <c r="Y120" s="460">
        <v>1498.2</v>
      </c>
      <c r="Z120" s="460">
        <v>33858.1</v>
      </c>
      <c r="AA120" s="460"/>
      <c r="AB120" s="459">
        <f t="shared" si="601"/>
        <v>8780.8649999999998</v>
      </c>
      <c r="AC120" s="459"/>
      <c r="AD120" s="460">
        <v>1511.1</v>
      </c>
      <c r="AE120" s="460">
        <v>7269.7650000000003</v>
      </c>
      <c r="AF120" s="460"/>
      <c r="AG120" s="459">
        <f t="shared" si="602"/>
        <v>8780.8649999999998</v>
      </c>
      <c r="AH120" s="459"/>
      <c r="AI120" s="460">
        <v>1511.1</v>
      </c>
      <c r="AJ120" s="460">
        <v>7269.7650000000003</v>
      </c>
      <c r="AK120" s="460"/>
      <c r="AL120" s="459">
        <f t="shared" si="603"/>
        <v>7926.7650000000003</v>
      </c>
      <c r="AM120" s="459"/>
      <c r="AN120" s="460">
        <v>657</v>
      </c>
      <c r="AO120" s="460">
        <v>7269.7650000000003</v>
      </c>
      <c r="AP120" s="460"/>
      <c r="AQ120" s="398" t="s">
        <v>380</v>
      </c>
      <c r="AR120" s="459">
        <f t="shared" si="604"/>
        <v>35356.299999999996</v>
      </c>
      <c r="AS120" s="459"/>
      <c r="AT120" s="462">
        <v>1498.2</v>
      </c>
      <c r="AU120" s="460">
        <v>33858.1</v>
      </c>
      <c r="AV120" s="461"/>
      <c r="AW120" s="460" t="e">
        <f t="shared" si="605"/>
        <v>#REF!</v>
      </c>
      <c r="AX120" s="459" t="e">
        <f>#REF!-AS120</f>
        <v>#REF!</v>
      </c>
      <c r="AY120" s="459" t="e">
        <f>#REF!-AT120</f>
        <v>#REF!</v>
      </c>
      <c r="AZ120" s="459" t="e">
        <f>#REF!-AU120</f>
        <v>#REF!</v>
      </c>
      <c r="BA120" s="459" t="e">
        <f>#REF!-AV120</f>
        <v>#REF!</v>
      </c>
      <c r="BB120" s="459">
        <f t="shared" si="606"/>
        <v>8780.8649999999998</v>
      </c>
      <c r="BC120" s="459"/>
      <c r="BD120" s="460">
        <f>657+854.1</f>
        <v>1511.1</v>
      </c>
      <c r="BE120" s="460">
        <v>7269.7650000000003</v>
      </c>
      <c r="BF120" s="461"/>
      <c r="BG120" s="459">
        <f t="shared" si="607"/>
        <v>0</v>
      </c>
      <c r="BH120" s="459"/>
      <c r="BI120" s="460"/>
      <c r="BJ120" s="460"/>
      <c r="BK120" s="461"/>
      <c r="BL120" s="459">
        <f t="shared" si="608"/>
        <v>35356.299999999996</v>
      </c>
      <c r="BM120" s="459"/>
      <c r="BN120" s="462">
        <v>1498.2</v>
      </c>
      <c r="BO120" s="460">
        <f>10149.53519+23708.56481</f>
        <v>33858.1</v>
      </c>
      <c r="BP120" s="470"/>
      <c r="BQ120" s="459">
        <f t="shared" si="609"/>
        <v>35356.299999999996</v>
      </c>
      <c r="BR120" s="459"/>
      <c r="BS120" s="462">
        <v>1498.2</v>
      </c>
      <c r="BT120" s="460">
        <f>10149.53519+23708.56481</f>
        <v>33858.1</v>
      </c>
      <c r="BU120" s="470"/>
      <c r="BV120" s="459">
        <f t="shared" si="610"/>
        <v>5559.641599999999</v>
      </c>
      <c r="BW120" s="459"/>
      <c r="BX120" s="459">
        <v>500.4</v>
      </c>
      <c r="BY120" s="459">
        <f>1516.59721+3542.64439</f>
        <v>5059.2415999999994</v>
      </c>
      <c r="BZ120" s="459"/>
      <c r="CA120" s="464">
        <f t="shared" si="611"/>
        <v>40915.941599999998</v>
      </c>
      <c r="CB120" s="459">
        <f t="shared" si="612"/>
        <v>40915.941599999998</v>
      </c>
      <c r="CC120" s="459">
        <f t="shared" si="613"/>
        <v>0</v>
      </c>
      <c r="CD120" s="459">
        <f t="shared" si="613"/>
        <v>1998.6</v>
      </c>
      <c r="CE120" s="459">
        <f t="shared" si="613"/>
        <v>38917.3416</v>
      </c>
      <c r="CF120" s="459">
        <f t="shared" si="613"/>
        <v>0</v>
      </c>
      <c r="CG120" s="459">
        <f t="shared" si="614"/>
        <v>0</v>
      </c>
      <c r="CH120" s="459">
        <f t="shared" si="615"/>
        <v>0</v>
      </c>
      <c r="CI120" s="459">
        <f t="shared" si="615"/>
        <v>0</v>
      </c>
      <c r="CJ120" s="459">
        <f t="shared" si="615"/>
        <v>0</v>
      </c>
      <c r="CK120" s="459">
        <f t="shared" si="615"/>
        <v>0</v>
      </c>
      <c r="CL120" s="465"/>
      <c r="CM120" s="466"/>
      <c r="CN120" s="466"/>
      <c r="CO120" s="459">
        <f t="shared" si="616"/>
        <v>0</v>
      </c>
      <c r="CP120" s="459"/>
      <c r="CQ120" s="460"/>
      <c r="CR120" s="460"/>
      <c r="CS120" s="461"/>
      <c r="CT120" s="459">
        <f t="shared" si="617"/>
        <v>0</v>
      </c>
      <c r="CU120" s="459"/>
      <c r="CV120" s="460"/>
      <c r="CW120" s="460"/>
      <c r="CX120" s="461"/>
      <c r="CY120" s="459">
        <f t="shared" si="618"/>
        <v>0</v>
      </c>
      <c r="CZ120" s="459">
        <f t="shared" si="619"/>
        <v>0</v>
      </c>
      <c r="DA120" s="459">
        <f t="shared" si="619"/>
        <v>0</v>
      </c>
      <c r="DB120" s="459">
        <f t="shared" si="619"/>
        <v>0</v>
      </c>
      <c r="DC120" s="459">
        <f t="shared" si="619"/>
        <v>0</v>
      </c>
      <c r="DD120" s="459"/>
      <c r="DE120" s="459"/>
      <c r="DF120" s="459"/>
      <c r="DG120" s="459">
        <f t="shared" si="620"/>
        <v>0</v>
      </c>
      <c r="DH120" s="467"/>
      <c r="DI120" s="459">
        <f t="shared" si="621"/>
        <v>35356.299999999996</v>
      </c>
      <c r="DJ120" s="459">
        <f t="shared" si="622"/>
        <v>35356.299999999996</v>
      </c>
      <c r="DK120" s="467"/>
      <c r="DL120" s="459"/>
      <c r="DM120" s="459"/>
      <c r="DN120" s="467"/>
      <c r="DO120" s="459"/>
      <c r="DP120" s="467"/>
      <c r="DQ120" s="467"/>
      <c r="DR120" s="459">
        <f t="shared" si="322"/>
        <v>35356.299999999996</v>
      </c>
      <c r="DS120" s="459"/>
      <c r="DT120" s="462">
        <v>1498.2</v>
      </c>
      <c r="DU120" s="460">
        <v>33858.1</v>
      </c>
      <c r="DV120" s="470"/>
      <c r="DW120" s="459">
        <f t="shared" si="323"/>
        <v>5559.6415999999999</v>
      </c>
      <c r="DX120" s="459"/>
      <c r="DY120" s="459">
        <v>500.4</v>
      </c>
      <c r="DZ120" s="459">
        <v>5059.2416000000003</v>
      </c>
      <c r="EA120" s="146"/>
      <c r="EB120" s="279"/>
      <c r="EC120" s="279"/>
      <c r="ED120" s="279"/>
      <c r="EE120" s="366"/>
      <c r="EF120" s="366"/>
      <c r="EG120" s="279"/>
      <c r="EH120" s="279"/>
      <c r="EI120" s="279"/>
      <c r="EJ120" s="366"/>
      <c r="EK120" s="366"/>
      <c r="EL120" s="366">
        <v>2.4899999999999999E-2</v>
      </c>
      <c r="EM120" s="280"/>
      <c r="EN120" s="279"/>
      <c r="EO120" s="265" t="e">
        <f t="shared" si="623"/>
        <v>#DIV/0!</v>
      </c>
      <c r="EP120" s="323">
        <f t="shared" si="335"/>
        <v>1998.6</v>
      </c>
      <c r="EQ120" s="323">
        <f t="shared" si="349"/>
        <v>1498.2</v>
      </c>
      <c r="ER120" s="323">
        <v>500.4</v>
      </c>
      <c r="ES120" s="358">
        <f t="shared" si="624"/>
        <v>0.74962473731612134</v>
      </c>
      <c r="ET120" s="358">
        <f t="shared" si="625"/>
        <v>0.25037526268387872</v>
      </c>
      <c r="EU120" s="323">
        <f t="shared" si="336"/>
        <v>1998.6</v>
      </c>
      <c r="EV120" s="323">
        <f t="shared" si="626"/>
        <v>1498.2</v>
      </c>
      <c r="EW120" s="323">
        <f t="shared" si="627"/>
        <v>500.4</v>
      </c>
      <c r="EX120" s="358">
        <f t="shared" si="628"/>
        <v>0.74962473731612134</v>
      </c>
      <c r="EY120" s="358">
        <f t="shared" si="629"/>
        <v>0.25037526268387872</v>
      </c>
      <c r="EZ120" s="358">
        <v>8.3000000000000004E-2</v>
      </c>
      <c r="FA120" s="323">
        <f t="shared" si="630"/>
        <v>1498.2</v>
      </c>
      <c r="FB120" s="323">
        <f t="shared" si="337"/>
        <v>0</v>
      </c>
      <c r="FC120" s="279">
        <f t="shared" si="631"/>
        <v>38917.3416</v>
      </c>
      <c r="FD120" s="279">
        <f t="shared" si="350"/>
        <v>33858.1</v>
      </c>
      <c r="FE120" s="279">
        <v>5059.2416000000003</v>
      </c>
      <c r="FF120" s="366">
        <f t="shared" si="632"/>
        <v>0.87000032910778258</v>
      </c>
      <c r="FG120" s="366">
        <f t="shared" si="633"/>
        <v>0.12999967089221737</v>
      </c>
      <c r="FH120" s="279">
        <f t="shared" si="351"/>
        <v>38917.3416</v>
      </c>
      <c r="FI120" s="279">
        <f t="shared" si="446"/>
        <v>33858.1</v>
      </c>
      <c r="FJ120" s="279">
        <f t="shared" si="447"/>
        <v>5059.2416000000003</v>
      </c>
      <c r="FK120" s="366">
        <f t="shared" si="634"/>
        <v>0.87000032910778258</v>
      </c>
      <c r="FL120" s="366">
        <f t="shared" si="635"/>
        <v>0.12999967089221737</v>
      </c>
      <c r="FM120" s="366">
        <v>8.3000000000000004E-2</v>
      </c>
      <c r="FN120" s="280">
        <f t="shared" si="581"/>
        <v>33858.1</v>
      </c>
      <c r="FO120" s="279">
        <f t="shared" si="352"/>
        <v>0</v>
      </c>
    </row>
    <row r="121" spans="2:171" s="40" customFormat="1" ht="15.6" customHeight="1" x14ac:dyDescent="0.25">
      <c r="B121" s="32"/>
      <c r="C121" s="33"/>
      <c r="D121" s="33">
        <v>1</v>
      </c>
      <c r="E121" s="434">
        <v>101</v>
      </c>
      <c r="F121" s="32"/>
      <c r="G121" s="33"/>
      <c r="H121" s="33">
        <v>1</v>
      </c>
      <c r="I121" s="657" t="s">
        <v>265</v>
      </c>
      <c r="J121" s="658"/>
      <c r="K121" s="658"/>
      <c r="L121" s="658"/>
      <c r="M121" s="434">
        <v>98</v>
      </c>
      <c r="N121" s="435" t="s">
        <v>220</v>
      </c>
      <c r="O121" s="435"/>
      <c r="P121" s="24">
        <f t="shared" si="334"/>
        <v>0</v>
      </c>
      <c r="Q121" s="435" t="s">
        <v>490</v>
      </c>
      <c r="R121" s="435" t="s">
        <v>488</v>
      </c>
      <c r="S121" s="435" t="s">
        <v>491</v>
      </c>
      <c r="T121" s="435" t="s">
        <v>488</v>
      </c>
      <c r="U121" s="161">
        <v>1</v>
      </c>
      <c r="V121" s="434">
        <v>1</v>
      </c>
      <c r="W121" s="459">
        <f t="shared" si="600"/>
        <v>3036.3360000000002</v>
      </c>
      <c r="X121" s="459"/>
      <c r="Y121" s="460">
        <v>2294.3000000000002</v>
      </c>
      <c r="Z121" s="459">
        <v>742.03599999999994</v>
      </c>
      <c r="AA121" s="461"/>
      <c r="AB121" s="459">
        <f t="shared" si="601"/>
        <v>3947.1759999999999</v>
      </c>
      <c r="AC121" s="459"/>
      <c r="AD121" s="460">
        <v>2316.1</v>
      </c>
      <c r="AE121" s="459">
        <v>1631.076</v>
      </c>
      <c r="AF121" s="461"/>
      <c r="AG121" s="459">
        <f t="shared" si="602"/>
        <v>3947.1759999999999</v>
      </c>
      <c r="AH121" s="459"/>
      <c r="AI121" s="460">
        <v>2316.1</v>
      </c>
      <c r="AJ121" s="459">
        <v>1631.076</v>
      </c>
      <c r="AK121" s="461"/>
      <c r="AL121" s="459">
        <f t="shared" si="603"/>
        <v>2638.076</v>
      </c>
      <c r="AM121" s="459"/>
      <c r="AN121" s="460">
        <v>1007</v>
      </c>
      <c r="AO121" s="459">
        <v>1631.076</v>
      </c>
      <c r="AP121" s="461"/>
      <c r="AQ121" s="398" t="s">
        <v>516</v>
      </c>
      <c r="AR121" s="459">
        <f t="shared" si="604"/>
        <v>2992.4780500000002</v>
      </c>
      <c r="AS121" s="459"/>
      <c r="AT121" s="462">
        <f>2294.3-43.85795</f>
        <v>2250.4420500000001</v>
      </c>
      <c r="AU121" s="459">
        <v>742.03599999999994</v>
      </c>
      <c r="AV121" s="461"/>
      <c r="AW121" s="459" t="e">
        <f t="shared" si="605"/>
        <v>#REF!</v>
      </c>
      <c r="AX121" s="459" t="e">
        <f>#REF!-AS121</f>
        <v>#REF!</v>
      </c>
      <c r="AY121" s="459" t="e">
        <f>#REF!-AT121</f>
        <v>#REF!</v>
      </c>
      <c r="AZ121" s="459" t="e">
        <f>#REF!-AU121</f>
        <v>#REF!</v>
      </c>
      <c r="BA121" s="459" t="e">
        <f>#REF!-AV121</f>
        <v>#REF!</v>
      </c>
      <c r="BB121" s="459">
        <f t="shared" si="606"/>
        <v>3947.1759999999999</v>
      </c>
      <c r="BC121" s="459"/>
      <c r="BD121" s="460">
        <f>1007+1309.1</f>
        <v>2316.1</v>
      </c>
      <c r="BE121" s="459">
        <v>1631.076</v>
      </c>
      <c r="BF121" s="461"/>
      <c r="BG121" s="459">
        <f t="shared" si="607"/>
        <v>0</v>
      </c>
      <c r="BH121" s="459"/>
      <c r="BI121" s="460"/>
      <c r="BJ121" s="459"/>
      <c r="BK121" s="461"/>
      <c r="BL121" s="459">
        <f t="shared" si="608"/>
        <v>2992.4780500000002</v>
      </c>
      <c r="BM121" s="459"/>
      <c r="BN121" s="460">
        <v>2250.4420500000001</v>
      </c>
      <c r="BO121" s="459">
        <v>742.03599999999994</v>
      </c>
      <c r="BP121" s="470"/>
      <c r="BQ121" s="459">
        <f t="shared" si="609"/>
        <v>2992.4780500000002</v>
      </c>
      <c r="BR121" s="459"/>
      <c r="BS121" s="460">
        <v>2250.4420500000001</v>
      </c>
      <c r="BT121" s="459">
        <v>742.03599999999994</v>
      </c>
      <c r="BU121" s="470"/>
      <c r="BV121" s="459">
        <f t="shared" si="610"/>
        <v>545.90115000000003</v>
      </c>
      <c r="BW121" s="459"/>
      <c r="BX121" s="459">
        <v>360.39314999999999</v>
      </c>
      <c r="BY121" s="459">
        <v>185.50800000000001</v>
      </c>
      <c r="BZ121" s="459"/>
      <c r="CA121" s="464">
        <f t="shared" si="611"/>
        <v>3538.3791999999999</v>
      </c>
      <c r="CB121" s="459">
        <f t="shared" si="612"/>
        <v>3538.3791999999999</v>
      </c>
      <c r="CC121" s="459">
        <f t="shared" si="613"/>
        <v>0</v>
      </c>
      <c r="CD121" s="459">
        <f t="shared" si="613"/>
        <v>2610.8352</v>
      </c>
      <c r="CE121" s="459">
        <f t="shared" si="613"/>
        <v>927.54399999999998</v>
      </c>
      <c r="CF121" s="459">
        <f t="shared" si="613"/>
        <v>0</v>
      </c>
      <c r="CG121" s="459">
        <f t="shared" si="614"/>
        <v>0</v>
      </c>
      <c r="CH121" s="459">
        <f t="shared" si="615"/>
        <v>0</v>
      </c>
      <c r="CI121" s="459">
        <f t="shared" si="615"/>
        <v>0</v>
      </c>
      <c r="CJ121" s="459">
        <f t="shared" si="615"/>
        <v>0</v>
      </c>
      <c r="CK121" s="459">
        <f t="shared" si="615"/>
        <v>0</v>
      </c>
      <c r="CL121" s="465"/>
      <c r="CM121" s="466">
        <f>BB114-CM115-CM119</f>
        <v>13308.808000000005</v>
      </c>
      <c r="CN121" s="466">
        <f>CM121</f>
        <v>13308.808000000005</v>
      </c>
      <c r="CO121" s="459">
        <f t="shared" si="616"/>
        <v>0</v>
      </c>
      <c r="CP121" s="459"/>
      <c r="CQ121" s="460"/>
      <c r="CR121" s="459"/>
      <c r="CS121" s="461"/>
      <c r="CT121" s="459">
        <f t="shared" si="617"/>
        <v>0</v>
      </c>
      <c r="CU121" s="459"/>
      <c r="CV121" s="460"/>
      <c r="CW121" s="459"/>
      <c r="CX121" s="461"/>
      <c r="CY121" s="459">
        <f t="shared" si="618"/>
        <v>0</v>
      </c>
      <c r="CZ121" s="459">
        <f t="shared" si="619"/>
        <v>0</v>
      </c>
      <c r="DA121" s="459">
        <f t="shared" si="619"/>
        <v>0</v>
      </c>
      <c r="DB121" s="459">
        <f t="shared" si="619"/>
        <v>0</v>
      </c>
      <c r="DC121" s="459">
        <f t="shared" si="619"/>
        <v>0</v>
      </c>
      <c r="DD121" s="459"/>
      <c r="DE121" s="459"/>
      <c r="DF121" s="459"/>
      <c r="DG121" s="459">
        <f t="shared" si="620"/>
        <v>0</v>
      </c>
      <c r="DH121" s="467"/>
      <c r="DI121" s="459">
        <f t="shared" si="621"/>
        <v>2992.4780500000002</v>
      </c>
      <c r="DJ121" s="459">
        <f t="shared" si="622"/>
        <v>2992.4780500000002</v>
      </c>
      <c r="DK121" s="467"/>
      <c r="DL121" s="459">
        <f>DJ117+DJ118+DJ121+DJ122+DJ123+DJ124+DJ125+DJ126+DJ127</f>
        <v>11964.93525</v>
      </c>
      <c r="DM121" s="459">
        <f>DG117+DG118+DG121+DG122+DG123+DG124+DG125+DG126+DG127</f>
        <v>0</v>
      </c>
      <c r="DN121" s="467"/>
      <c r="DO121" s="459">
        <f>CN121-DL121</f>
        <v>1343.8727500000041</v>
      </c>
      <c r="DP121" s="467"/>
      <c r="DQ121" s="467"/>
      <c r="DR121" s="459">
        <f t="shared" si="322"/>
        <v>2992.4780500000002</v>
      </c>
      <c r="DS121" s="459"/>
      <c r="DT121" s="460">
        <v>2250.4420500000001</v>
      </c>
      <c r="DU121" s="459">
        <v>742.03599999999994</v>
      </c>
      <c r="DV121" s="470"/>
      <c r="DW121" s="459">
        <f t="shared" si="323"/>
        <v>545.90115000000003</v>
      </c>
      <c r="DX121" s="459"/>
      <c r="DY121" s="459">
        <f>208.82955+75.7818+75.7818</f>
        <v>360.39314999999999</v>
      </c>
      <c r="DZ121" s="459">
        <v>185.50800000000001</v>
      </c>
      <c r="EA121" s="146"/>
      <c r="EB121" s="279"/>
      <c r="EC121" s="279"/>
      <c r="ED121" s="279"/>
      <c r="EE121" s="366"/>
      <c r="EF121" s="366"/>
      <c r="EG121" s="279"/>
      <c r="EH121" s="279"/>
      <c r="EI121" s="279"/>
      <c r="EJ121" s="366"/>
      <c r="EK121" s="366"/>
      <c r="EL121" s="366">
        <v>2.4199999999999999E-2</v>
      </c>
      <c r="EM121" s="280"/>
      <c r="EN121" s="279"/>
      <c r="EO121" s="265" t="e">
        <f t="shared" si="623"/>
        <v>#DIV/0!</v>
      </c>
      <c r="EP121" s="323">
        <f t="shared" si="335"/>
        <v>2610.8352</v>
      </c>
      <c r="EQ121" s="323">
        <f t="shared" si="349"/>
        <v>2250.4420500000001</v>
      </c>
      <c r="ER121" s="323">
        <v>360.39314999999999</v>
      </c>
      <c r="ES121" s="358">
        <f t="shared" si="624"/>
        <v>0.86196250533162722</v>
      </c>
      <c r="ET121" s="358">
        <f t="shared" si="625"/>
        <v>0.13803749466837278</v>
      </c>
      <c r="EU121" s="323">
        <f t="shared" si="336"/>
        <v>2610.8352</v>
      </c>
      <c r="EV121" s="323">
        <f t="shared" si="626"/>
        <v>2250.4420500000001</v>
      </c>
      <c r="EW121" s="323">
        <f t="shared" si="627"/>
        <v>360.39314999999999</v>
      </c>
      <c r="EX121" s="358">
        <f t="shared" si="628"/>
        <v>0.86196250533162722</v>
      </c>
      <c r="EY121" s="358">
        <f t="shared" si="629"/>
        <v>0.13803749466837278</v>
      </c>
      <c r="EZ121" s="358">
        <v>8.0699999999999994E-2</v>
      </c>
      <c r="FA121" s="323">
        <f t="shared" si="630"/>
        <v>2250.4420500000001</v>
      </c>
      <c r="FB121" s="323">
        <f t="shared" si="337"/>
        <v>0</v>
      </c>
      <c r="FC121" s="279">
        <f t="shared" ref="FC121" si="636">FD121+FE121</f>
        <v>927.54399999999998</v>
      </c>
      <c r="FD121" s="279">
        <f t="shared" ref="FD121" si="637">AU121</f>
        <v>742.03599999999994</v>
      </c>
      <c r="FE121" s="279">
        <v>185.50800000000001</v>
      </c>
      <c r="FF121" s="366">
        <f t="shared" ref="FF121" si="638">FD121/FC121</f>
        <v>0.80000086249277658</v>
      </c>
      <c r="FG121" s="366">
        <f t="shared" ref="FG121" si="639">FE121/FC121</f>
        <v>0.1999991375072234</v>
      </c>
      <c r="FH121" s="279">
        <f t="shared" ref="FH121" si="640">FI121+FJ121</f>
        <v>927.54399999999998</v>
      </c>
      <c r="FI121" s="279">
        <f t="shared" ref="FI121" si="641">DU121</f>
        <v>742.03599999999994</v>
      </c>
      <c r="FJ121" s="279">
        <f t="shared" ref="FJ121" si="642">DZ121</f>
        <v>185.50800000000001</v>
      </c>
      <c r="FK121" s="366">
        <f t="shared" ref="FK121" si="643">FI121/FH121</f>
        <v>0.80000086249277658</v>
      </c>
      <c r="FL121" s="366">
        <f t="shared" ref="FL121" si="644">FJ121/FH121</f>
        <v>0.1999991375072234</v>
      </c>
      <c r="FM121" s="366">
        <v>8.0699999999999994E-2</v>
      </c>
      <c r="FN121" s="280">
        <f t="shared" ref="FN121" si="645">FH121*FF121</f>
        <v>742.03599999999994</v>
      </c>
      <c r="FO121" s="279">
        <f t="shared" ref="FO121" si="646">FI121-FN121</f>
        <v>0</v>
      </c>
    </row>
    <row r="122" spans="2:171" s="40" customFormat="1" ht="15.6" customHeight="1" x14ac:dyDescent="0.25">
      <c r="B122" s="32"/>
      <c r="C122" s="33"/>
      <c r="D122" s="33">
        <v>1</v>
      </c>
      <c r="E122" s="434">
        <v>102</v>
      </c>
      <c r="F122" s="32"/>
      <c r="G122" s="33"/>
      <c r="H122" s="33"/>
      <c r="I122" s="434">
        <v>6</v>
      </c>
      <c r="J122" s="435" t="s">
        <v>265</v>
      </c>
      <c r="K122" s="207" t="s">
        <v>278</v>
      </c>
      <c r="L122" s="53"/>
      <c r="M122" s="434">
        <v>99</v>
      </c>
      <c r="N122" s="435" t="s">
        <v>219</v>
      </c>
      <c r="O122" s="435"/>
      <c r="P122" s="24">
        <f t="shared" si="334"/>
        <v>0</v>
      </c>
      <c r="Q122" s="435"/>
      <c r="R122" s="435"/>
      <c r="S122" s="435"/>
      <c r="T122" s="435"/>
      <c r="U122" s="161"/>
      <c r="V122" s="434"/>
      <c r="W122" s="459">
        <f t="shared" si="600"/>
        <v>0</v>
      </c>
      <c r="X122" s="459"/>
      <c r="Y122" s="460">
        <f>724.5-724.5</f>
        <v>0</v>
      </c>
      <c r="Z122" s="459"/>
      <c r="AA122" s="472"/>
      <c r="AB122" s="459">
        <f t="shared" si="601"/>
        <v>731.4</v>
      </c>
      <c r="AC122" s="459"/>
      <c r="AD122" s="460">
        <v>731.4</v>
      </c>
      <c r="AE122" s="459"/>
      <c r="AF122" s="472"/>
      <c r="AG122" s="459">
        <f t="shared" si="602"/>
        <v>731.4</v>
      </c>
      <c r="AH122" s="459"/>
      <c r="AI122" s="460">
        <v>731.4</v>
      </c>
      <c r="AJ122" s="459"/>
      <c r="AK122" s="472"/>
      <c r="AL122" s="459">
        <f t="shared" si="603"/>
        <v>318</v>
      </c>
      <c r="AM122" s="459"/>
      <c r="AN122" s="460">
        <v>318</v>
      </c>
      <c r="AO122" s="459"/>
      <c r="AP122" s="472"/>
      <c r="AQ122" s="398"/>
      <c r="AR122" s="459">
        <f t="shared" si="604"/>
        <v>0</v>
      </c>
      <c r="AS122" s="459"/>
      <c r="AT122" s="462"/>
      <c r="AU122" s="459"/>
      <c r="AV122" s="459"/>
      <c r="AW122" s="459" t="e">
        <f t="shared" si="605"/>
        <v>#REF!</v>
      </c>
      <c r="AX122" s="459" t="e">
        <f>#REF!-AS122</f>
        <v>#REF!</v>
      </c>
      <c r="AY122" s="459" t="e">
        <f>#REF!-AT122</f>
        <v>#REF!</v>
      </c>
      <c r="AZ122" s="459" t="e">
        <f>#REF!-AU122</f>
        <v>#REF!</v>
      </c>
      <c r="BA122" s="459" t="e">
        <f>#REF!-AV122</f>
        <v>#REF!</v>
      </c>
      <c r="BB122" s="459">
        <f t="shared" si="606"/>
        <v>731.4</v>
      </c>
      <c r="BC122" s="459"/>
      <c r="BD122" s="460">
        <v>731.4</v>
      </c>
      <c r="BE122" s="459"/>
      <c r="BF122" s="459"/>
      <c r="BG122" s="459">
        <f t="shared" si="607"/>
        <v>0</v>
      </c>
      <c r="BH122" s="459"/>
      <c r="BI122" s="459"/>
      <c r="BJ122" s="459"/>
      <c r="BK122" s="459"/>
      <c r="BL122" s="459">
        <f t="shared" si="608"/>
        <v>0</v>
      </c>
      <c r="BM122" s="459"/>
      <c r="BN122" s="460"/>
      <c r="BO122" s="459"/>
      <c r="BP122" s="459"/>
      <c r="BQ122" s="459">
        <f t="shared" si="609"/>
        <v>0</v>
      </c>
      <c r="BR122" s="459"/>
      <c r="BS122" s="459"/>
      <c r="BT122" s="459"/>
      <c r="BU122" s="459"/>
      <c r="BV122" s="459">
        <f t="shared" si="610"/>
        <v>0</v>
      </c>
      <c r="BW122" s="459"/>
      <c r="BX122" s="459"/>
      <c r="BY122" s="459"/>
      <c r="BZ122" s="459"/>
      <c r="CA122" s="464">
        <f t="shared" si="611"/>
        <v>0</v>
      </c>
      <c r="CB122" s="459">
        <f t="shared" si="612"/>
        <v>0</v>
      </c>
      <c r="CC122" s="459">
        <f t="shared" si="613"/>
        <v>0</v>
      </c>
      <c r="CD122" s="459">
        <f t="shared" si="613"/>
        <v>0</v>
      </c>
      <c r="CE122" s="459">
        <f t="shared" si="613"/>
        <v>0</v>
      </c>
      <c r="CF122" s="459">
        <f t="shared" si="613"/>
        <v>0</v>
      </c>
      <c r="CG122" s="459">
        <f t="shared" si="614"/>
        <v>0</v>
      </c>
      <c r="CH122" s="459">
        <f t="shared" si="615"/>
        <v>0</v>
      </c>
      <c r="CI122" s="459">
        <f t="shared" si="615"/>
        <v>0</v>
      </c>
      <c r="CJ122" s="459">
        <f t="shared" si="615"/>
        <v>0</v>
      </c>
      <c r="CK122" s="459">
        <f t="shared" si="615"/>
        <v>0</v>
      </c>
      <c r="CL122" s="465"/>
      <c r="CM122" s="466"/>
      <c r="CN122" s="466"/>
      <c r="CO122" s="459">
        <f t="shared" si="616"/>
        <v>0</v>
      </c>
      <c r="CP122" s="459"/>
      <c r="CQ122" s="459"/>
      <c r="CR122" s="459"/>
      <c r="CS122" s="459"/>
      <c r="CT122" s="459">
        <f t="shared" si="617"/>
        <v>0</v>
      </c>
      <c r="CU122" s="459"/>
      <c r="CV122" s="459"/>
      <c r="CW122" s="459"/>
      <c r="CX122" s="459"/>
      <c r="CY122" s="459">
        <f t="shared" si="618"/>
        <v>0</v>
      </c>
      <c r="CZ122" s="459">
        <f t="shared" si="619"/>
        <v>0</v>
      </c>
      <c r="DA122" s="459">
        <f t="shared" si="619"/>
        <v>0</v>
      </c>
      <c r="DB122" s="459">
        <f t="shared" si="619"/>
        <v>0</v>
      </c>
      <c r="DC122" s="459">
        <f t="shared" si="619"/>
        <v>0</v>
      </c>
      <c r="DD122" s="459"/>
      <c r="DE122" s="459"/>
      <c r="DF122" s="459"/>
      <c r="DG122" s="459">
        <f t="shared" si="620"/>
        <v>0</v>
      </c>
      <c r="DH122" s="467"/>
      <c r="DI122" s="459">
        <f t="shared" si="621"/>
        <v>0</v>
      </c>
      <c r="DJ122" s="459">
        <f t="shared" si="622"/>
        <v>0</v>
      </c>
      <c r="DK122" s="467"/>
      <c r="DL122" s="459"/>
      <c r="DM122" s="459"/>
      <c r="DN122" s="467"/>
      <c r="DO122" s="459"/>
      <c r="DP122" s="467"/>
      <c r="DQ122" s="467"/>
      <c r="DR122" s="459">
        <f t="shared" si="322"/>
        <v>0</v>
      </c>
      <c r="DS122" s="459"/>
      <c r="DT122" s="459"/>
      <c r="DU122" s="459"/>
      <c r="DV122" s="459"/>
      <c r="DW122" s="459">
        <f t="shared" si="323"/>
        <v>0</v>
      </c>
      <c r="DX122" s="459"/>
      <c r="DY122" s="459"/>
      <c r="DZ122" s="459"/>
      <c r="EA122" s="146"/>
      <c r="EB122" s="279"/>
      <c r="EC122" s="279"/>
      <c r="ED122" s="279"/>
      <c r="EE122" s="366"/>
      <c r="EF122" s="366"/>
      <c r="EG122" s="279"/>
      <c r="EH122" s="279"/>
      <c r="EI122" s="279"/>
      <c r="EJ122" s="366"/>
      <c r="EK122" s="366"/>
      <c r="EL122" s="366">
        <v>2.53E-2</v>
      </c>
      <c r="EM122" s="280"/>
      <c r="EN122" s="279"/>
      <c r="EO122" s="265" t="e">
        <f t="shared" si="623"/>
        <v>#DIV/0!</v>
      </c>
      <c r="EP122" s="323"/>
      <c r="EQ122" s="323"/>
      <c r="ER122" s="323"/>
      <c r="ES122" s="358"/>
      <c r="ET122" s="358"/>
      <c r="EU122" s="323"/>
      <c r="EV122" s="323"/>
      <c r="EW122" s="323"/>
      <c r="EX122" s="358"/>
      <c r="EY122" s="358"/>
      <c r="EZ122" s="358">
        <v>8.4400000000000003E-2</v>
      </c>
      <c r="FA122" s="323"/>
      <c r="FB122" s="323">
        <f t="shared" si="337"/>
        <v>0</v>
      </c>
      <c r="FC122" s="279"/>
      <c r="FD122" s="279"/>
      <c r="FE122" s="279"/>
      <c r="FF122" s="366"/>
      <c r="FG122" s="366"/>
      <c r="FH122" s="279"/>
      <c r="FI122" s="279"/>
      <c r="FJ122" s="279"/>
      <c r="FK122" s="366"/>
      <c r="FL122" s="366"/>
      <c r="FM122" s="366">
        <v>8.4400000000000003E-2</v>
      </c>
      <c r="FN122" s="280"/>
      <c r="FO122" s="279"/>
    </row>
    <row r="123" spans="2:171" s="40" customFormat="1" ht="15.6" customHeight="1" x14ac:dyDescent="0.25">
      <c r="B123" s="32"/>
      <c r="C123" s="33"/>
      <c r="D123" s="33">
        <v>1</v>
      </c>
      <c r="E123" s="434">
        <v>103</v>
      </c>
      <c r="F123" s="32"/>
      <c r="G123" s="33"/>
      <c r="H123" s="33">
        <v>1</v>
      </c>
      <c r="I123" s="664" t="s">
        <v>271</v>
      </c>
      <c r="J123" s="665"/>
      <c r="K123" s="665"/>
      <c r="L123" s="159"/>
      <c r="M123" s="434">
        <v>100</v>
      </c>
      <c r="N123" s="435" t="s">
        <v>181</v>
      </c>
      <c r="O123" s="435"/>
      <c r="P123" s="24">
        <f t="shared" si="334"/>
        <v>0</v>
      </c>
      <c r="Q123" s="435" t="s">
        <v>491</v>
      </c>
      <c r="R123" s="435" t="s">
        <v>488</v>
      </c>
      <c r="S123" s="435" t="s">
        <v>491</v>
      </c>
      <c r="T123" s="435" t="s">
        <v>488</v>
      </c>
      <c r="U123" s="161">
        <v>1</v>
      </c>
      <c r="V123" s="434">
        <v>1</v>
      </c>
      <c r="W123" s="459">
        <f t="shared" si="600"/>
        <v>3983.7710000000002</v>
      </c>
      <c r="X123" s="459"/>
      <c r="Y123" s="460">
        <v>761.4</v>
      </c>
      <c r="Z123" s="459">
        <v>3222.3710000000001</v>
      </c>
      <c r="AA123" s="472"/>
      <c r="AB123" s="459">
        <f t="shared" si="601"/>
        <v>768.2</v>
      </c>
      <c r="AC123" s="459"/>
      <c r="AD123" s="460">
        <v>768.2</v>
      </c>
      <c r="AE123" s="459"/>
      <c r="AF123" s="472"/>
      <c r="AG123" s="459">
        <f t="shared" si="602"/>
        <v>768.2</v>
      </c>
      <c r="AH123" s="459"/>
      <c r="AI123" s="460">
        <v>768.2</v>
      </c>
      <c r="AJ123" s="459"/>
      <c r="AK123" s="472"/>
      <c r="AL123" s="459">
        <f t="shared" si="603"/>
        <v>334</v>
      </c>
      <c r="AM123" s="459"/>
      <c r="AN123" s="460">
        <v>334</v>
      </c>
      <c r="AO123" s="459"/>
      <c r="AP123" s="472"/>
      <c r="AQ123" s="383" t="s">
        <v>523</v>
      </c>
      <c r="AR123" s="459">
        <f t="shared" si="604"/>
        <v>3299.2687000000001</v>
      </c>
      <c r="AS123" s="459"/>
      <c r="AT123" s="462">
        <f>761.4-265.594</f>
        <v>495.80599999999998</v>
      </c>
      <c r="AU123" s="459">
        <f>3222.371-418.9083</f>
        <v>2803.4627</v>
      </c>
      <c r="AV123" s="459"/>
      <c r="AW123" s="459" t="e">
        <f t="shared" si="605"/>
        <v>#REF!</v>
      </c>
      <c r="AX123" s="459" t="e">
        <f>#REF!-AS123</f>
        <v>#REF!</v>
      </c>
      <c r="AY123" s="459" t="e">
        <f>#REF!-AT123</f>
        <v>#REF!</v>
      </c>
      <c r="AZ123" s="459" t="e">
        <f>#REF!-AU123</f>
        <v>#REF!</v>
      </c>
      <c r="BA123" s="459" t="e">
        <f>#REF!-AV123</f>
        <v>#REF!</v>
      </c>
      <c r="BB123" s="459">
        <f t="shared" si="606"/>
        <v>768.2</v>
      </c>
      <c r="BC123" s="459"/>
      <c r="BD123" s="460">
        <f>334+434.2</f>
        <v>768.2</v>
      </c>
      <c r="BE123" s="459"/>
      <c r="BF123" s="459"/>
      <c r="BG123" s="459">
        <f t="shared" si="607"/>
        <v>0</v>
      </c>
      <c r="BH123" s="459"/>
      <c r="BI123" s="460"/>
      <c r="BJ123" s="459"/>
      <c r="BK123" s="459"/>
      <c r="BL123" s="459">
        <f t="shared" si="608"/>
        <v>3299.2687000000001</v>
      </c>
      <c r="BM123" s="459"/>
      <c r="BN123" s="460">
        <v>495.80599999999998</v>
      </c>
      <c r="BO123" s="459">
        <v>2803.4627</v>
      </c>
      <c r="BP123" s="459"/>
      <c r="BQ123" s="459">
        <f t="shared" si="609"/>
        <v>3299.2687000000001</v>
      </c>
      <c r="BR123" s="459"/>
      <c r="BS123" s="460">
        <v>495.80599999999998</v>
      </c>
      <c r="BT123" s="459">
        <v>2803.4627</v>
      </c>
      <c r="BU123" s="459"/>
      <c r="BV123" s="459">
        <f t="shared" si="610"/>
        <v>415.61198999999999</v>
      </c>
      <c r="BW123" s="459"/>
      <c r="BX123" s="459">
        <v>57.694000000000003</v>
      </c>
      <c r="BY123" s="459">
        <v>357.91798999999997</v>
      </c>
      <c r="BZ123" s="459"/>
      <c r="CA123" s="464">
        <f t="shared" si="611"/>
        <v>3714.88069</v>
      </c>
      <c r="CB123" s="459">
        <f t="shared" si="612"/>
        <v>3714.88069</v>
      </c>
      <c r="CC123" s="459">
        <f t="shared" si="613"/>
        <v>0</v>
      </c>
      <c r="CD123" s="459">
        <f t="shared" si="613"/>
        <v>553.5</v>
      </c>
      <c r="CE123" s="459">
        <f t="shared" si="613"/>
        <v>3161.38069</v>
      </c>
      <c r="CF123" s="459">
        <f t="shared" si="613"/>
        <v>0</v>
      </c>
      <c r="CG123" s="459">
        <f t="shared" si="614"/>
        <v>0</v>
      </c>
      <c r="CH123" s="459">
        <f t="shared" si="615"/>
        <v>0</v>
      </c>
      <c r="CI123" s="459">
        <f t="shared" si="615"/>
        <v>0</v>
      </c>
      <c r="CJ123" s="459">
        <f t="shared" si="615"/>
        <v>0</v>
      </c>
      <c r="CK123" s="459">
        <f t="shared" si="615"/>
        <v>0</v>
      </c>
      <c r="CL123" s="465"/>
      <c r="CM123" s="466"/>
      <c r="CN123" s="466"/>
      <c r="CO123" s="459">
        <f t="shared" si="616"/>
        <v>0</v>
      </c>
      <c r="CP123" s="459"/>
      <c r="CQ123" s="460"/>
      <c r="CR123" s="459"/>
      <c r="CS123" s="459"/>
      <c r="CT123" s="459">
        <f t="shared" si="617"/>
        <v>0</v>
      </c>
      <c r="CU123" s="459"/>
      <c r="CV123" s="460"/>
      <c r="CW123" s="459"/>
      <c r="CX123" s="459"/>
      <c r="CY123" s="459">
        <f t="shared" si="618"/>
        <v>0</v>
      </c>
      <c r="CZ123" s="459">
        <f t="shared" si="619"/>
        <v>0</v>
      </c>
      <c r="DA123" s="459">
        <f t="shared" si="619"/>
        <v>0</v>
      </c>
      <c r="DB123" s="459">
        <f t="shared" si="619"/>
        <v>0</v>
      </c>
      <c r="DC123" s="459">
        <f t="shared" si="619"/>
        <v>0</v>
      </c>
      <c r="DD123" s="459"/>
      <c r="DE123" s="459"/>
      <c r="DF123" s="459"/>
      <c r="DG123" s="459">
        <f t="shared" si="620"/>
        <v>0</v>
      </c>
      <c r="DH123" s="467"/>
      <c r="DI123" s="459">
        <f t="shared" si="621"/>
        <v>3299.2687000000001</v>
      </c>
      <c r="DJ123" s="459">
        <f t="shared" si="622"/>
        <v>3299.2687000000001</v>
      </c>
      <c r="DK123" s="467"/>
      <c r="DL123" s="459"/>
      <c r="DM123" s="459"/>
      <c r="DN123" s="467"/>
      <c r="DO123" s="459"/>
      <c r="DP123" s="467"/>
      <c r="DQ123" s="467"/>
      <c r="DR123" s="459">
        <f t="shared" si="322"/>
        <v>3299.2687000000001</v>
      </c>
      <c r="DS123" s="459"/>
      <c r="DT123" s="460">
        <v>495.80599999999998</v>
      </c>
      <c r="DU123" s="459">
        <v>2803.4627</v>
      </c>
      <c r="DV123" s="459"/>
      <c r="DW123" s="459">
        <f t="shared" si="323"/>
        <v>415.61198999999999</v>
      </c>
      <c r="DX123" s="459"/>
      <c r="DY123" s="459">
        <v>57.694000000000003</v>
      </c>
      <c r="DZ123" s="459">
        <v>357.91798999999997</v>
      </c>
      <c r="EA123" s="146"/>
      <c r="EB123" s="279"/>
      <c r="EC123" s="279"/>
      <c r="ED123" s="279"/>
      <c r="EE123" s="366"/>
      <c r="EF123" s="366"/>
      <c r="EG123" s="279"/>
      <c r="EH123" s="279"/>
      <c r="EI123" s="279"/>
      <c r="EJ123" s="366"/>
      <c r="EK123" s="366"/>
      <c r="EL123" s="366">
        <v>2.6700000000000002E-2</v>
      </c>
      <c r="EM123" s="280"/>
      <c r="EN123" s="279"/>
      <c r="EO123" s="265" t="e">
        <f t="shared" si="623"/>
        <v>#DIV/0!</v>
      </c>
      <c r="EP123" s="323">
        <f t="shared" si="335"/>
        <v>553.5</v>
      </c>
      <c r="EQ123" s="323">
        <f t="shared" si="349"/>
        <v>495.80599999999998</v>
      </c>
      <c r="ER123" s="323">
        <v>57.694000000000003</v>
      </c>
      <c r="ES123" s="358">
        <f t="shared" si="624"/>
        <v>0.89576513098464317</v>
      </c>
      <c r="ET123" s="358">
        <f t="shared" si="625"/>
        <v>0.10423486901535682</v>
      </c>
      <c r="EU123" s="323">
        <f t="shared" si="336"/>
        <v>553.5</v>
      </c>
      <c r="EV123" s="323">
        <f t="shared" si="626"/>
        <v>495.80599999999998</v>
      </c>
      <c r="EW123" s="323">
        <f t="shared" si="627"/>
        <v>57.694000000000003</v>
      </c>
      <c r="EX123" s="358">
        <f t="shared" si="628"/>
        <v>0.89576513098464317</v>
      </c>
      <c r="EY123" s="358">
        <f t="shared" si="629"/>
        <v>0.10423486901535682</v>
      </c>
      <c r="EZ123" s="358">
        <v>8.8900000000000007E-2</v>
      </c>
      <c r="FA123" s="323">
        <f t="shared" si="630"/>
        <v>495.80599999999998</v>
      </c>
      <c r="FB123" s="323">
        <f t="shared" si="337"/>
        <v>0</v>
      </c>
      <c r="FC123" s="279">
        <f t="shared" ref="FC123" si="647">FD123+FE123</f>
        <v>3161.38069</v>
      </c>
      <c r="FD123" s="279">
        <f t="shared" ref="FD123" si="648">AU123</f>
        <v>2803.4627</v>
      </c>
      <c r="FE123" s="279">
        <v>357.91798999999997</v>
      </c>
      <c r="FF123" s="366">
        <f t="shared" ref="FF123" si="649">FD123/FC123</f>
        <v>0.88678428032025469</v>
      </c>
      <c r="FG123" s="366">
        <f t="shared" ref="FG123" si="650">FE123/FC123</f>
        <v>0.11321571967974536</v>
      </c>
      <c r="FH123" s="279">
        <f t="shared" ref="FH123" si="651">FI123+FJ123</f>
        <v>3161.38069</v>
      </c>
      <c r="FI123" s="279">
        <f t="shared" ref="FI123" si="652">DU123</f>
        <v>2803.4627</v>
      </c>
      <c r="FJ123" s="279">
        <f t="shared" ref="FJ123" si="653">DZ123</f>
        <v>357.91798999999997</v>
      </c>
      <c r="FK123" s="366">
        <f t="shared" ref="FK123" si="654">FI123/FH123</f>
        <v>0.88678428032025469</v>
      </c>
      <c r="FL123" s="366">
        <f t="shared" ref="FL123" si="655">FJ123/FH123</f>
        <v>0.11321571967974536</v>
      </c>
      <c r="FM123" s="366">
        <v>8.8900000000000007E-2</v>
      </c>
      <c r="FN123" s="280">
        <f t="shared" ref="FN123" si="656">FH123*FF123</f>
        <v>2803.4627</v>
      </c>
      <c r="FO123" s="279">
        <f t="shared" ref="FO123" si="657">FI123-FN123</f>
        <v>0</v>
      </c>
    </row>
    <row r="124" spans="2:171" s="40" customFormat="1" ht="15.75" customHeight="1" x14ac:dyDescent="0.25">
      <c r="B124" s="32"/>
      <c r="C124" s="33"/>
      <c r="D124" s="33">
        <v>1</v>
      </c>
      <c r="E124" s="434">
        <v>104</v>
      </c>
      <c r="F124" s="32"/>
      <c r="G124" s="33"/>
      <c r="H124" s="33">
        <v>1</v>
      </c>
      <c r="I124" s="657" t="s">
        <v>266</v>
      </c>
      <c r="J124" s="658"/>
      <c r="K124" s="658"/>
      <c r="L124" s="658"/>
      <c r="M124" s="434">
        <v>101</v>
      </c>
      <c r="N124" s="435" t="s">
        <v>218</v>
      </c>
      <c r="O124" s="435"/>
      <c r="P124" s="24">
        <f t="shared" si="334"/>
        <v>0</v>
      </c>
      <c r="Q124" s="435" t="s">
        <v>490</v>
      </c>
      <c r="R124" s="435" t="s">
        <v>488</v>
      </c>
      <c r="S124" s="435" t="s">
        <v>490</v>
      </c>
      <c r="T124" s="435" t="s">
        <v>488</v>
      </c>
      <c r="U124" s="161">
        <v>1</v>
      </c>
      <c r="V124" s="434"/>
      <c r="W124" s="459">
        <f t="shared" si="600"/>
        <v>2714.308</v>
      </c>
      <c r="X124" s="459"/>
      <c r="Y124" s="460">
        <v>718.4</v>
      </c>
      <c r="Z124" s="459">
        <v>1995.9079999999999</v>
      </c>
      <c r="AA124" s="461"/>
      <c r="AB124" s="459">
        <f t="shared" si="601"/>
        <v>3454.7350000000001</v>
      </c>
      <c r="AC124" s="459"/>
      <c r="AD124" s="460">
        <v>724.5</v>
      </c>
      <c r="AE124" s="459">
        <v>2730.2350000000001</v>
      </c>
      <c r="AF124" s="461"/>
      <c r="AG124" s="459">
        <f t="shared" si="602"/>
        <v>3454.7350000000001</v>
      </c>
      <c r="AH124" s="459"/>
      <c r="AI124" s="460">
        <v>724.5</v>
      </c>
      <c r="AJ124" s="459">
        <v>2730.2350000000001</v>
      </c>
      <c r="AK124" s="461"/>
      <c r="AL124" s="459">
        <f t="shared" si="603"/>
        <v>3045.2350000000001</v>
      </c>
      <c r="AM124" s="459"/>
      <c r="AN124" s="460">
        <v>315</v>
      </c>
      <c r="AO124" s="459">
        <v>2730.2350000000001</v>
      </c>
      <c r="AP124" s="461"/>
      <c r="AQ124" s="383" t="s">
        <v>379</v>
      </c>
      <c r="AR124" s="459">
        <f t="shared" si="604"/>
        <v>2714.308</v>
      </c>
      <c r="AS124" s="459"/>
      <c r="AT124" s="462">
        <v>718.4</v>
      </c>
      <c r="AU124" s="459">
        <v>1995.9079999999999</v>
      </c>
      <c r="AV124" s="459"/>
      <c r="AW124" s="459" t="e">
        <f t="shared" si="605"/>
        <v>#REF!</v>
      </c>
      <c r="AX124" s="459" t="e">
        <f>#REF!-AS124</f>
        <v>#REF!</v>
      </c>
      <c r="AY124" s="459" t="e">
        <f>#REF!-AT124</f>
        <v>#REF!</v>
      </c>
      <c r="AZ124" s="459" t="e">
        <f>#REF!-AU124</f>
        <v>#REF!</v>
      </c>
      <c r="BA124" s="459" t="e">
        <f>#REF!-AV124</f>
        <v>#REF!</v>
      </c>
      <c r="BB124" s="459">
        <f t="shared" si="606"/>
        <v>4088.6320000000001</v>
      </c>
      <c r="BC124" s="459"/>
      <c r="BD124" s="460">
        <f>315+409.5</f>
        <v>724.5</v>
      </c>
      <c r="BE124" s="459">
        <f>2730.235+633.897</f>
        <v>3364.1320000000001</v>
      </c>
      <c r="BF124" s="459"/>
      <c r="BG124" s="459">
        <f t="shared" si="607"/>
        <v>0</v>
      </c>
      <c r="BH124" s="459"/>
      <c r="BI124" s="460"/>
      <c r="BJ124" s="459"/>
      <c r="BK124" s="459"/>
      <c r="BL124" s="459">
        <f t="shared" si="608"/>
        <v>2714.308</v>
      </c>
      <c r="BM124" s="459"/>
      <c r="BN124" s="462">
        <v>718.4</v>
      </c>
      <c r="BO124" s="459">
        <v>1995.9079999999999</v>
      </c>
      <c r="BP124" s="459"/>
      <c r="BQ124" s="459">
        <f t="shared" si="609"/>
        <v>2714.308</v>
      </c>
      <c r="BR124" s="459"/>
      <c r="BS124" s="462">
        <v>718.4</v>
      </c>
      <c r="BT124" s="459">
        <v>1995.9079999999999</v>
      </c>
      <c r="BU124" s="459"/>
      <c r="BV124" s="459">
        <f t="shared" si="610"/>
        <v>754.76366999999993</v>
      </c>
      <c r="BW124" s="459"/>
      <c r="BX124" s="459">
        <v>89.461600000000004</v>
      </c>
      <c r="BY124" s="459">
        <f>331.80207+333.5</f>
        <v>665.30206999999996</v>
      </c>
      <c r="BZ124" s="459"/>
      <c r="CA124" s="464">
        <f t="shared" si="611"/>
        <v>3469.0716700000003</v>
      </c>
      <c r="CB124" s="459">
        <f t="shared" si="612"/>
        <v>3469.0716700000003</v>
      </c>
      <c r="CC124" s="459">
        <f t="shared" si="613"/>
        <v>0</v>
      </c>
      <c r="CD124" s="459">
        <f t="shared" si="613"/>
        <v>807.86159999999995</v>
      </c>
      <c r="CE124" s="459">
        <f t="shared" si="613"/>
        <v>2661.2100700000001</v>
      </c>
      <c r="CF124" s="459">
        <f t="shared" si="613"/>
        <v>0</v>
      </c>
      <c r="CG124" s="459">
        <f t="shared" si="614"/>
        <v>0</v>
      </c>
      <c r="CH124" s="459">
        <f t="shared" si="615"/>
        <v>0</v>
      </c>
      <c r="CI124" s="459">
        <f t="shared" si="615"/>
        <v>0</v>
      </c>
      <c r="CJ124" s="459">
        <f t="shared" si="615"/>
        <v>0</v>
      </c>
      <c r="CK124" s="459">
        <f t="shared" si="615"/>
        <v>0</v>
      </c>
      <c r="CL124" s="465"/>
      <c r="CM124" s="466"/>
      <c r="CN124" s="466"/>
      <c r="CO124" s="459">
        <f t="shared" si="616"/>
        <v>0</v>
      </c>
      <c r="CP124" s="459"/>
      <c r="CQ124" s="460"/>
      <c r="CR124" s="459"/>
      <c r="CS124" s="459"/>
      <c r="CT124" s="459">
        <f t="shared" si="617"/>
        <v>0</v>
      </c>
      <c r="CU124" s="459"/>
      <c r="CV124" s="460"/>
      <c r="CW124" s="459"/>
      <c r="CX124" s="459"/>
      <c r="CY124" s="459">
        <f t="shared" si="618"/>
        <v>0</v>
      </c>
      <c r="CZ124" s="459">
        <f t="shared" si="619"/>
        <v>0</v>
      </c>
      <c r="DA124" s="459">
        <f t="shared" si="619"/>
        <v>0</v>
      </c>
      <c r="DB124" s="459">
        <f t="shared" si="619"/>
        <v>0</v>
      </c>
      <c r="DC124" s="459">
        <f t="shared" si="619"/>
        <v>0</v>
      </c>
      <c r="DD124" s="459"/>
      <c r="DE124" s="459"/>
      <c r="DF124" s="459"/>
      <c r="DG124" s="459">
        <f t="shared" si="620"/>
        <v>0</v>
      </c>
      <c r="DH124" s="467"/>
      <c r="DI124" s="459">
        <f t="shared" si="621"/>
        <v>2714.308</v>
      </c>
      <c r="DJ124" s="459">
        <f t="shared" si="622"/>
        <v>2714.308</v>
      </c>
      <c r="DK124" s="467"/>
      <c r="DL124" s="459"/>
      <c r="DM124" s="459"/>
      <c r="DN124" s="467"/>
      <c r="DO124" s="459"/>
      <c r="DP124" s="467"/>
      <c r="DQ124" s="467"/>
      <c r="DR124" s="459">
        <f t="shared" si="322"/>
        <v>2714.308</v>
      </c>
      <c r="DS124" s="459"/>
      <c r="DT124" s="470">
        <v>718.4</v>
      </c>
      <c r="DU124" s="459">
        <v>1995.9079999999999</v>
      </c>
      <c r="DV124" s="459"/>
      <c r="DW124" s="459">
        <f t="shared" si="323"/>
        <v>754.76366999999993</v>
      </c>
      <c r="DX124" s="459"/>
      <c r="DY124" s="459">
        <v>89.461600000000004</v>
      </c>
      <c r="DZ124" s="459">
        <v>665.30206999999996</v>
      </c>
      <c r="EA124" s="146"/>
      <c r="EB124" s="279"/>
      <c r="EC124" s="279"/>
      <c r="ED124" s="279"/>
      <c r="EE124" s="366"/>
      <c r="EF124" s="366"/>
      <c r="EG124" s="279"/>
      <c r="EH124" s="279"/>
      <c r="EI124" s="279"/>
      <c r="EJ124" s="366"/>
      <c r="EK124" s="366"/>
      <c r="EL124" s="366">
        <v>2.9399999999999999E-2</v>
      </c>
      <c r="EM124" s="280"/>
      <c r="EN124" s="279"/>
      <c r="EO124" s="265" t="e">
        <f t="shared" si="623"/>
        <v>#DIV/0!</v>
      </c>
      <c r="EP124" s="323">
        <f t="shared" ref="EP124" si="658">EQ124+ER124</f>
        <v>807.86159999999995</v>
      </c>
      <c r="EQ124" s="323">
        <f t="shared" ref="EQ124" si="659">AT124</f>
        <v>718.4</v>
      </c>
      <c r="ER124" s="323">
        <v>89.461600000000004</v>
      </c>
      <c r="ES124" s="358">
        <f t="shared" ref="ES124" si="660">EQ124/EP124</f>
        <v>0.88926122989383327</v>
      </c>
      <c r="ET124" s="358">
        <f t="shared" ref="ET124" si="661">ER124/EP124</f>
        <v>0.11073877010616671</v>
      </c>
      <c r="EU124" s="323">
        <f t="shared" ref="EU124" si="662">EV124+EW124</f>
        <v>807.86159999999995</v>
      </c>
      <c r="EV124" s="323">
        <f t="shared" ref="EV124" si="663">DT124</f>
        <v>718.4</v>
      </c>
      <c r="EW124" s="323">
        <f t="shared" ref="EW124" si="664">DY124</f>
        <v>89.461600000000004</v>
      </c>
      <c r="EX124" s="358">
        <f t="shared" ref="EX124" si="665">EV124/EU124</f>
        <v>0.88926122989383327</v>
      </c>
      <c r="EY124" s="358">
        <f t="shared" ref="EY124" si="666">EW124/EU124</f>
        <v>0.11073877010616671</v>
      </c>
      <c r="EZ124" s="358">
        <v>9.7900000000000001E-2</v>
      </c>
      <c r="FA124" s="323">
        <f t="shared" ref="FA124" si="667">EU124*ES124</f>
        <v>718.4</v>
      </c>
      <c r="FB124" s="323">
        <f t="shared" si="337"/>
        <v>0</v>
      </c>
      <c r="FC124" s="279">
        <f t="shared" ref="FC124" si="668">FD124+FE124</f>
        <v>2661.2100700000001</v>
      </c>
      <c r="FD124" s="279">
        <f t="shared" ref="FD124" si="669">AU124</f>
        <v>1995.9079999999999</v>
      </c>
      <c r="FE124" s="279">
        <v>665.30206999999996</v>
      </c>
      <c r="FF124" s="366">
        <f t="shared" ref="FF124" si="670">FD124/FC124</f>
        <v>0.75000016815658599</v>
      </c>
      <c r="FG124" s="366">
        <f t="shared" ref="FG124" si="671">FE124/FC124</f>
        <v>0.24999983184341398</v>
      </c>
      <c r="FH124" s="279">
        <f t="shared" ref="FH124" si="672">FI124+FJ124</f>
        <v>2661.2100700000001</v>
      </c>
      <c r="FI124" s="279">
        <f t="shared" ref="FI124" si="673">DU124</f>
        <v>1995.9079999999999</v>
      </c>
      <c r="FJ124" s="279">
        <f t="shared" ref="FJ124" si="674">DZ124</f>
        <v>665.30206999999996</v>
      </c>
      <c r="FK124" s="366">
        <f t="shared" ref="FK124" si="675">FI124/FH124</f>
        <v>0.75000016815658599</v>
      </c>
      <c r="FL124" s="366">
        <f t="shared" ref="FL124" si="676">FJ124/FH124</f>
        <v>0.24999983184341398</v>
      </c>
      <c r="FM124" s="366">
        <v>9.7900000000000001E-2</v>
      </c>
      <c r="FN124" s="280">
        <f t="shared" ref="FN124" si="677">FH124*FF124</f>
        <v>1995.9080000000001</v>
      </c>
      <c r="FO124" s="279">
        <f t="shared" ref="FO124" si="678">FI124-FN124</f>
        <v>0</v>
      </c>
    </row>
    <row r="125" spans="2:171" s="40" customFormat="1" ht="15.6" customHeight="1" x14ac:dyDescent="0.25">
      <c r="B125" s="32"/>
      <c r="C125" s="33"/>
      <c r="D125" s="33">
        <v>1</v>
      </c>
      <c r="E125" s="434">
        <v>105</v>
      </c>
      <c r="F125" s="32"/>
      <c r="G125" s="33"/>
      <c r="H125" s="33">
        <v>1</v>
      </c>
      <c r="I125" s="668">
        <v>7</v>
      </c>
      <c r="J125" s="668" t="s">
        <v>266</v>
      </c>
      <c r="K125" s="207" t="s">
        <v>279</v>
      </c>
      <c r="L125" s="53">
        <v>5724.6031400000002</v>
      </c>
      <c r="M125" s="434">
        <v>102</v>
      </c>
      <c r="N125" s="435" t="s">
        <v>217</v>
      </c>
      <c r="O125" s="435"/>
      <c r="P125" s="24">
        <f t="shared" si="334"/>
        <v>0</v>
      </c>
      <c r="Q125" s="435" t="s">
        <v>490</v>
      </c>
      <c r="R125" s="435" t="s">
        <v>488</v>
      </c>
      <c r="S125" s="435" t="s">
        <v>490</v>
      </c>
      <c r="T125" s="435" t="s">
        <v>488</v>
      </c>
      <c r="U125" s="161">
        <v>1</v>
      </c>
      <c r="V125" s="434">
        <v>1</v>
      </c>
      <c r="W125" s="459">
        <f t="shared" si="600"/>
        <v>771.6</v>
      </c>
      <c r="X125" s="459"/>
      <c r="Y125" s="460">
        <v>771.6</v>
      </c>
      <c r="Z125" s="459"/>
      <c r="AA125" s="472"/>
      <c r="AB125" s="459">
        <f t="shared" si="601"/>
        <v>779.7</v>
      </c>
      <c r="AC125" s="459"/>
      <c r="AD125" s="460">
        <v>779.7</v>
      </c>
      <c r="AE125" s="459"/>
      <c r="AF125" s="472"/>
      <c r="AG125" s="459">
        <f t="shared" si="602"/>
        <v>779.7</v>
      </c>
      <c r="AH125" s="459"/>
      <c r="AI125" s="460">
        <v>779.7</v>
      </c>
      <c r="AJ125" s="459"/>
      <c r="AK125" s="472"/>
      <c r="AL125" s="459">
        <f t="shared" si="603"/>
        <v>339</v>
      </c>
      <c r="AM125" s="459"/>
      <c r="AN125" s="460">
        <v>339</v>
      </c>
      <c r="AO125" s="459"/>
      <c r="AP125" s="472"/>
      <c r="AQ125" s="383" t="s">
        <v>507</v>
      </c>
      <c r="AR125" s="459">
        <f t="shared" si="604"/>
        <v>771.6</v>
      </c>
      <c r="AS125" s="459"/>
      <c r="AT125" s="462">
        <v>771.6</v>
      </c>
      <c r="AU125" s="459"/>
      <c r="AV125" s="459"/>
      <c r="AW125" s="459" t="e">
        <f t="shared" si="605"/>
        <v>#REF!</v>
      </c>
      <c r="AX125" s="459" t="e">
        <f>#REF!-AS125</f>
        <v>#REF!</v>
      </c>
      <c r="AY125" s="459" t="e">
        <f>#REF!-AT125</f>
        <v>#REF!</v>
      </c>
      <c r="AZ125" s="459" t="e">
        <f>#REF!-AU125</f>
        <v>#REF!</v>
      </c>
      <c r="BA125" s="459" t="e">
        <f>#REF!-AV125</f>
        <v>#REF!</v>
      </c>
      <c r="BB125" s="459">
        <f t="shared" si="606"/>
        <v>779.7</v>
      </c>
      <c r="BC125" s="459"/>
      <c r="BD125" s="460">
        <f>339+440.7</f>
        <v>779.7</v>
      </c>
      <c r="BE125" s="459"/>
      <c r="BF125" s="459"/>
      <c r="BG125" s="459">
        <f t="shared" si="607"/>
        <v>0</v>
      </c>
      <c r="BH125" s="459"/>
      <c r="BI125" s="461"/>
      <c r="BJ125" s="459"/>
      <c r="BK125" s="459"/>
      <c r="BL125" s="459">
        <f t="shared" si="608"/>
        <v>771.6</v>
      </c>
      <c r="BM125" s="459"/>
      <c r="BN125" s="462">
        <v>771.6</v>
      </c>
      <c r="BO125" s="459"/>
      <c r="BP125" s="459"/>
      <c r="BQ125" s="459">
        <f t="shared" si="609"/>
        <v>771.6</v>
      </c>
      <c r="BR125" s="459"/>
      <c r="BS125" s="462">
        <v>771.6</v>
      </c>
      <c r="BT125" s="459"/>
      <c r="BU125" s="459"/>
      <c r="BV125" s="459">
        <f t="shared" si="610"/>
        <v>499.4</v>
      </c>
      <c r="BW125" s="459"/>
      <c r="BX125" s="459">
        <f>364.8+134.6</f>
        <v>499.4</v>
      </c>
      <c r="BY125" s="459"/>
      <c r="BZ125" s="459"/>
      <c r="CA125" s="464">
        <f t="shared" si="611"/>
        <v>1271</v>
      </c>
      <c r="CB125" s="459">
        <f t="shared" si="612"/>
        <v>1271</v>
      </c>
      <c r="CC125" s="459">
        <f t="shared" si="613"/>
        <v>0</v>
      </c>
      <c r="CD125" s="459">
        <f t="shared" si="613"/>
        <v>1271</v>
      </c>
      <c r="CE125" s="459">
        <f t="shared" si="613"/>
        <v>0</v>
      </c>
      <c r="CF125" s="459">
        <f t="shared" si="613"/>
        <v>0</v>
      </c>
      <c r="CG125" s="459">
        <f t="shared" si="614"/>
        <v>0</v>
      </c>
      <c r="CH125" s="459">
        <f t="shared" si="615"/>
        <v>0</v>
      </c>
      <c r="CI125" s="459">
        <f t="shared" si="615"/>
        <v>0</v>
      </c>
      <c r="CJ125" s="459">
        <f t="shared" si="615"/>
        <v>0</v>
      </c>
      <c r="CK125" s="459">
        <f t="shared" si="615"/>
        <v>0</v>
      </c>
      <c r="CL125" s="465"/>
      <c r="CM125" s="466"/>
      <c r="CN125" s="466"/>
      <c r="CO125" s="459">
        <f t="shared" si="616"/>
        <v>0</v>
      </c>
      <c r="CP125" s="459"/>
      <c r="CQ125" s="461"/>
      <c r="CR125" s="459"/>
      <c r="CS125" s="459"/>
      <c r="CT125" s="459">
        <f t="shared" si="617"/>
        <v>0</v>
      </c>
      <c r="CU125" s="459"/>
      <c r="CV125" s="461"/>
      <c r="CW125" s="459"/>
      <c r="CX125" s="459"/>
      <c r="CY125" s="459">
        <f t="shared" si="618"/>
        <v>0</v>
      </c>
      <c r="CZ125" s="459">
        <f t="shared" si="619"/>
        <v>0</v>
      </c>
      <c r="DA125" s="459">
        <f t="shared" si="619"/>
        <v>0</v>
      </c>
      <c r="DB125" s="459">
        <f t="shared" si="619"/>
        <v>0</v>
      </c>
      <c r="DC125" s="459">
        <f t="shared" si="619"/>
        <v>0</v>
      </c>
      <c r="DD125" s="459"/>
      <c r="DE125" s="459"/>
      <c r="DF125" s="459"/>
      <c r="DG125" s="459">
        <f t="shared" si="620"/>
        <v>0</v>
      </c>
      <c r="DH125" s="467"/>
      <c r="DI125" s="459">
        <f t="shared" si="621"/>
        <v>771.6</v>
      </c>
      <c r="DJ125" s="459">
        <f t="shared" si="622"/>
        <v>771.6</v>
      </c>
      <c r="DK125" s="467"/>
      <c r="DL125" s="459"/>
      <c r="DM125" s="459"/>
      <c r="DN125" s="467"/>
      <c r="DO125" s="459"/>
      <c r="DP125" s="467"/>
      <c r="DQ125" s="467"/>
      <c r="DR125" s="459">
        <f t="shared" si="322"/>
        <v>771.6</v>
      </c>
      <c r="DS125" s="459"/>
      <c r="DT125" s="462">
        <v>771.6</v>
      </c>
      <c r="DU125" s="459"/>
      <c r="DV125" s="459"/>
      <c r="DW125" s="459">
        <f t="shared" si="323"/>
        <v>499.4</v>
      </c>
      <c r="DX125" s="459"/>
      <c r="DY125" s="459">
        <v>499.4</v>
      </c>
      <c r="DZ125" s="459"/>
      <c r="EA125" s="146"/>
      <c r="EB125" s="279"/>
      <c r="EC125" s="279"/>
      <c r="ED125" s="279"/>
      <c r="EE125" s="366"/>
      <c r="EF125" s="366"/>
      <c r="EG125" s="279"/>
      <c r="EH125" s="279"/>
      <c r="EI125" s="279"/>
      <c r="EJ125" s="366"/>
      <c r="EK125" s="366"/>
      <c r="EL125" s="366">
        <v>2.4E-2</v>
      </c>
      <c r="EM125" s="280"/>
      <c r="EN125" s="279"/>
      <c r="EO125" s="265" t="e">
        <f t="shared" si="623"/>
        <v>#DIV/0!</v>
      </c>
      <c r="EP125" s="323">
        <f t="shared" si="335"/>
        <v>1271</v>
      </c>
      <c r="EQ125" s="323">
        <f t="shared" si="349"/>
        <v>771.6</v>
      </c>
      <c r="ER125" s="323">
        <v>499.4</v>
      </c>
      <c r="ES125" s="358">
        <f t="shared" si="624"/>
        <v>0.60708103855232098</v>
      </c>
      <c r="ET125" s="358">
        <f t="shared" si="625"/>
        <v>0.39291896144767896</v>
      </c>
      <c r="EU125" s="323">
        <f t="shared" si="336"/>
        <v>1271</v>
      </c>
      <c r="EV125" s="323">
        <f t="shared" si="626"/>
        <v>771.6</v>
      </c>
      <c r="EW125" s="323">
        <f t="shared" si="627"/>
        <v>499.4</v>
      </c>
      <c r="EX125" s="358">
        <f t="shared" si="628"/>
        <v>0.60708103855232098</v>
      </c>
      <c r="EY125" s="358">
        <f t="shared" si="629"/>
        <v>0.39291896144767896</v>
      </c>
      <c r="EZ125" s="358">
        <v>0.08</v>
      </c>
      <c r="FA125" s="323">
        <f t="shared" si="630"/>
        <v>771.6</v>
      </c>
      <c r="FB125" s="323">
        <f t="shared" si="337"/>
        <v>0</v>
      </c>
      <c r="FC125" s="279"/>
      <c r="FD125" s="279"/>
      <c r="FE125" s="279"/>
      <c r="FF125" s="366"/>
      <c r="FG125" s="366"/>
      <c r="FH125" s="279"/>
      <c r="FI125" s="279"/>
      <c r="FJ125" s="279"/>
      <c r="FK125" s="366"/>
      <c r="FL125" s="366"/>
      <c r="FM125" s="366">
        <v>0.08</v>
      </c>
      <c r="FN125" s="280"/>
      <c r="FO125" s="279"/>
    </row>
    <row r="126" spans="2:171" s="40" customFormat="1" ht="15.6" customHeight="1" x14ac:dyDescent="0.25">
      <c r="B126" s="32"/>
      <c r="C126" s="33"/>
      <c r="D126" s="33">
        <v>1</v>
      </c>
      <c r="E126" s="434">
        <v>106</v>
      </c>
      <c r="F126" s="32"/>
      <c r="G126" s="33"/>
      <c r="H126" s="33"/>
      <c r="I126" s="668"/>
      <c r="J126" s="668"/>
      <c r="K126" s="207" t="s">
        <v>280</v>
      </c>
      <c r="L126" s="53">
        <v>9110.3080000000009</v>
      </c>
      <c r="M126" s="434">
        <v>103</v>
      </c>
      <c r="N126" s="435" t="s">
        <v>216</v>
      </c>
      <c r="O126" s="435"/>
      <c r="P126" s="24">
        <f t="shared" si="334"/>
        <v>0</v>
      </c>
      <c r="Q126" s="435" t="s">
        <v>490</v>
      </c>
      <c r="R126" s="435" t="s">
        <v>488</v>
      </c>
      <c r="S126" s="435"/>
      <c r="T126" s="435"/>
      <c r="U126" s="161">
        <v>1</v>
      </c>
      <c r="V126" s="434">
        <v>1</v>
      </c>
      <c r="W126" s="459">
        <f t="shared" si="600"/>
        <v>978.3</v>
      </c>
      <c r="X126" s="459"/>
      <c r="Y126" s="460">
        <v>978.3</v>
      </c>
      <c r="Z126" s="459"/>
      <c r="AA126" s="461"/>
      <c r="AB126" s="459">
        <f t="shared" si="601"/>
        <v>986.7</v>
      </c>
      <c r="AC126" s="459"/>
      <c r="AD126" s="460">
        <v>986.7</v>
      </c>
      <c r="AE126" s="459"/>
      <c r="AF126" s="461"/>
      <c r="AG126" s="459">
        <f t="shared" si="602"/>
        <v>986.7</v>
      </c>
      <c r="AH126" s="459"/>
      <c r="AI126" s="460">
        <v>986.7</v>
      </c>
      <c r="AJ126" s="459"/>
      <c r="AK126" s="461"/>
      <c r="AL126" s="459">
        <f t="shared" si="603"/>
        <v>429</v>
      </c>
      <c r="AM126" s="459"/>
      <c r="AN126" s="460">
        <v>429</v>
      </c>
      <c r="AO126" s="459"/>
      <c r="AP126" s="461"/>
      <c r="AQ126" s="383" t="s">
        <v>466</v>
      </c>
      <c r="AR126" s="459">
        <f t="shared" si="604"/>
        <v>978.3</v>
      </c>
      <c r="AS126" s="459"/>
      <c r="AT126" s="462">
        <v>978.3</v>
      </c>
      <c r="AU126" s="459"/>
      <c r="AV126" s="459"/>
      <c r="AW126" s="459" t="e">
        <f t="shared" si="605"/>
        <v>#REF!</v>
      </c>
      <c r="AX126" s="459" t="e">
        <f>#REF!-AS126</f>
        <v>#REF!</v>
      </c>
      <c r="AY126" s="459" t="e">
        <f>#REF!-AT126</f>
        <v>#REF!</v>
      </c>
      <c r="AZ126" s="459" t="e">
        <f>#REF!-AU126</f>
        <v>#REF!</v>
      </c>
      <c r="BA126" s="459" t="e">
        <f>#REF!-AV126</f>
        <v>#REF!</v>
      </c>
      <c r="BB126" s="459">
        <f t="shared" si="606"/>
        <v>986.7</v>
      </c>
      <c r="BC126" s="459"/>
      <c r="BD126" s="460">
        <f>429+557.7</f>
        <v>986.7</v>
      </c>
      <c r="BE126" s="459"/>
      <c r="BF126" s="459"/>
      <c r="BG126" s="459">
        <f t="shared" si="607"/>
        <v>0</v>
      </c>
      <c r="BH126" s="459"/>
      <c r="BI126" s="459"/>
      <c r="BJ126" s="459"/>
      <c r="BK126" s="459"/>
      <c r="BL126" s="459">
        <f t="shared" si="608"/>
        <v>978.3</v>
      </c>
      <c r="BM126" s="459"/>
      <c r="BN126" s="460">
        <v>978.3</v>
      </c>
      <c r="BO126" s="459"/>
      <c r="BP126" s="459"/>
      <c r="BQ126" s="459">
        <f t="shared" si="609"/>
        <v>978.3</v>
      </c>
      <c r="BR126" s="459"/>
      <c r="BS126" s="460">
        <v>978.3</v>
      </c>
      <c r="BT126" s="459"/>
      <c r="BU126" s="459"/>
      <c r="BV126" s="459">
        <f t="shared" si="610"/>
        <v>241.80945</v>
      </c>
      <c r="BW126" s="459"/>
      <c r="BX126" s="459">
        <v>241.80945</v>
      </c>
      <c r="BY126" s="459"/>
      <c r="BZ126" s="459"/>
      <c r="CA126" s="464">
        <f t="shared" si="611"/>
        <v>1220.1094499999999</v>
      </c>
      <c r="CB126" s="459">
        <f t="shared" si="612"/>
        <v>1220.1094499999999</v>
      </c>
      <c r="CC126" s="459">
        <f t="shared" si="613"/>
        <v>0</v>
      </c>
      <c r="CD126" s="459">
        <f t="shared" si="613"/>
        <v>1220.1094499999999</v>
      </c>
      <c r="CE126" s="459">
        <f t="shared" si="613"/>
        <v>0</v>
      </c>
      <c r="CF126" s="459">
        <f t="shared" si="613"/>
        <v>0</v>
      </c>
      <c r="CG126" s="459">
        <f t="shared" si="614"/>
        <v>0</v>
      </c>
      <c r="CH126" s="459">
        <f t="shared" si="615"/>
        <v>0</v>
      </c>
      <c r="CI126" s="459">
        <f t="shared" si="615"/>
        <v>0</v>
      </c>
      <c r="CJ126" s="459">
        <f t="shared" si="615"/>
        <v>0</v>
      </c>
      <c r="CK126" s="459">
        <f t="shared" si="615"/>
        <v>0</v>
      </c>
      <c r="CL126" s="465"/>
      <c r="CM126" s="466"/>
      <c r="CN126" s="466"/>
      <c r="CO126" s="459">
        <f t="shared" si="616"/>
        <v>0</v>
      </c>
      <c r="CP126" s="459"/>
      <c r="CQ126" s="459"/>
      <c r="CR126" s="459"/>
      <c r="CS126" s="459"/>
      <c r="CT126" s="459">
        <f t="shared" si="617"/>
        <v>0</v>
      </c>
      <c r="CU126" s="459"/>
      <c r="CV126" s="459"/>
      <c r="CW126" s="459"/>
      <c r="CX126" s="459"/>
      <c r="CY126" s="459">
        <f t="shared" si="618"/>
        <v>0</v>
      </c>
      <c r="CZ126" s="459">
        <f t="shared" si="619"/>
        <v>0</v>
      </c>
      <c r="DA126" s="459">
        <f t="shared" si="619"/>
        <v>0</v>
      </c>
      <c r="DB126" s="459">
        <f t="shared" si="619"/>
        <v>0</v>
      </c>
      <c r="DC126" s="459">
        <f t="shared" si="619"/>
        <v>0</v>
      </c>
      <c r="DD126" s="459"/>
      <c r="DE126" s="459"/>
      <c r="DF126" s="459"/>
      <c r="DG126" s="459">
        <f t="shared" si="620"/>
        <v>0</v>
      </c>
      <c r="DH126" s="467"/>
      <c r="DI126" s="459">
        <f t="shared" si="621"/>
        <v>978.3</v>
      </c>
      <c r="DJ126" s="459">
        <f t="shared" si="622"/>
        <v>978.3</v>
      </c>
      <c r="DK126" s="467"/>
      <c r="DL126" s="459"/>
      <c r="DM126" s="459"/>
      <c r="DN126" s="467"/>
      <c r="DO126" s="459"/>
      <c r="DP126" s="467"/>
      <c r="DQ126" s="467"/>
      <c r="DR126" s="459">
        <f t="shared" si="322"/>
        <v>978.3</v>
      </c>
      <c r="DS126" s="459"/>
      <c r="DT126" s="460">
        <v>978.3</v>
      </c>
      <c r="DU126" s="459"/>
      <c r="DV126" s="459"/>
      <c r="DW126" s="459">
        <f t="shared" si="323"/>
        <v>241.80945</v>
      </c>
      <c r="DX126" s="459"/>
      <c r="DY126" s="459">
        <v>241.80945</v>
      </c>
      <c r="DZ126" s="459"/>
      <c r="EA126" s="146"/>
      <c r="EB126" s="279"/>
      <c r="EC126" s="279"/>
      <c r="ED126" s="279"/>
      <c r="EE126" s="366"/>
      <c r="EF126" s="366"/>
      <c r="EG126" s="279"/>
      <c r="EH126" s="279"/>
      <c r="EI126" s="279"/>
      <c r="EJ126" s="366"/>
      <c r="EK126" s="366"/>
      <c r="EL126" s="366">
        <v>3.1699999999999999E-2</v>
      </c>
      <c r="EM126" s="280"/>
      <c r="EN126" s="279"/>
      <c r="EO126" s="265" t="e">
        <f t="shared" si="623"/>
        <v>#DIV/0!</v>
      </c>
      <c r="EP126" s="323">
        <f t="shared" si="335"/>
        <v>1220.1094499999999</v>
      </c>
      <c r="EQ126" s="323">
        <f t="shared" si="349"/>
        <v>978.3</v>
      </c>
      <c r="ER126" s="323">
        <v>241.80945</v>
      </c>
      <c r="ES126" s="358">
        <f t="shared" si="624"/>
        <v>0.80181331273190293</v>
      </c>
      <c r="ET126" s="358">
        <f t="shared" si="625"/>
        <v>0.19818668726809716</v>
      </c>
      <c r="EU126" s="323">
        <f t="shared" si="336"/>
        <v>1220.1094499999999</v>
      </c>
      <c r="EV126" s="323">
        <f t="shared" si="626"/>
        <v>978.3</v>
      </c>
      <c r="EW126" s="323">
        <f t="shared" si="627"/>
        <v>241.80945</v>
      </c>
      <c r="EX126" s="358">
        <f t="shared" si="628"/>
        <v>0.80181331273190293</v>
      </c>
      <c r="EY126" s="358">
        <f t="shared" si="629"/>
        <v>0.19818668726809716</v>
      </c>
      <c r="EZ126" s="358">
        <v>0.1057</v>
      </c>
      <c r="FA126" s="323">
        <f t="shared" si="630"/>
        <v>978.30000000000007</v>
      </c>
      <c r="FB126" s="323">
        <f t="shared" si="337"/>
        <v>0</v>
      </c>
      <c r="FC126" s="279"/>
      <c r="FD126" s="279"/>
      <c r="FE126" s="279"/>
      <c r="FF126" s="366"/>
      <c r="FG126" s="366"/>
      <c r="FH126" s="279"/>
      <c r="FI126" s="279"/>
      <c r="FJ126" s="279"/>
      <c r="FK126" s="366"/>
      <c r="FL126" s="366"/>
      <c r="FM126" s="366">
        <v>0.1057</v>
      </c>
      <c r="FN126" s="280"/>
      <c r="FO126" s="279"/>
    </row>
    <row r="127" spans="2:171" s="40" customFormat="1" ht="15.75" customHeight="1" x14ac:dyDescent="0.25">
      <c r="B127" s="32"/>
      <c r="C127" s="33"/>
      <c r="D127" s="33">
        <v>1</v>
      </c>
      <c r="E127" s="434">
        <v>107</v>
      </c>
      <c r="F127" s="32"/>
      <c r="G127" s="33"/>
      <c r="H127" s="33">
        <v>1</v>
      </c>
      <c r="I127" s="670" t="s">
        <v>271</v>
      </c>
      <c r="J127" s="671"/>
      <c r="K127" s="671"/>
      <c r="L127" s="55">
        <f>L126+L125</f>
        <v>14834.91114</v>
      </c>
      <c r="M127" s="434">
        <v>104</v>
      </c>
      <c r="N127" s="435" t="s">
        <v>215</v>
      </c>
      <c r="O127" s="435"/>
      <c r="P127" s="24">
        <f t="shared" si="334"/>
        <v>0</v>
      </c>
      <c r="Q127" s="435" t="s">
        <v>491</v>
      </c>
      <c r="R127" s="435" t="s">
        <v>488</v>
      </c>
      <c r="S127" s="435" t="s">
        <v>491</v>
      </c>
      <c r="T127" s="435" t="s">
        <v>488</v>
      </c>
      <c r="U127" s="161">
        <v>1</v>
      </c>
      <c r="V127" s="434">
        <v>1</v>
      </c>
      <c r="W127" s="459">
        <f t="shared" si="600"/>
        <v>523.9</v>
      </c>
      <c r="X127" s="459"/>
      <c r="Y127" s="460">
        <v>523.9</v>
      </c>
      <c r="Z127" s="459"/>
      <c r="AA127" s="461"/>
      <c r="AB127" s="459">
        <f t="shared" si="601"/>
        <v>529</v>
      </c>
      <c r="AC127" s="459"/>
      <c r="AD127" s="460">
        <v>529</v>
      </c>
      <c r="AE127" s="459"/>
      <c r="AF127" s="461"/>
      <c r="AG127" s="459">
        <f t="shared" si="602"/>
        <v>529</v>
      </c>
      <c r="AH127" s="459"/>
      <c r="AI127" s="460">
        <v>529</v>
      </c>
      <c r="AJ127" s="459"/>
      <c r="AK127" s="461"/>
      <c r="AL127" s="459">
        <f t="shared" si="603"/>
        <v>230</v>
      </c>
      <c r="AM127" s="459"/>
      <c r="AN127" s="460">
        <v>230</v>
      </c>
      <c r="AO127" s="459"/>
      <c r="AP127" s="461"/>
      <c r="AQ127" s="383" t="s">
        <v>521</v>
      </c>
      <c r="AR127" s="459">
        <f t="shared" si="604"/>
        <v>521.28049999999996</v>
      </c>
      <c r="AS127" s="459"/>
      <c r="AT127" s="462">
        <f>523.9-2.6195</f>
        <v>521.28049999999996</v>
      </c>
      <c r="AU127" s="459"/>
      <c r="AV127" s="461"/>
      <c r="AW127" s="459" t="e">
        <f t="shared" si="605"/>
        <v>#REF!</v>
      </c>
      <c r="AX127" s="459" t="e">
        <f>#REF!-AS127</f>
        <v>#REF!</v>
      </c>
      <c r="AY127" s="459" t="e">
        <f>#REF!-AT127</f>
        <v>#REF!</v>
      </c>
      <c r="AZ127" s="459" t="e">
        <f>#REF!-AU127</f>
        <v>#REF!</v>
      </c>
      <c r="BA127" s="459" t="e">
        <f>#REF!-AV127</f>
        <v>#REF!</v>
      </c>
      <c r="BB127" s="459">
        <f t="shared" si="606"/>
        <v>529</v>
      </c>
      <c r="BC127" s="459"/>
      <c r="BD127" s="460">
        <f>230+299</f>
        <v>529</v>
      </c>
      <c r="BE127" s="459"/>
      <c r="BF127" s="461"/>
      <c r="BG127" s="459">
        <f t="shared" si="607"/>
        <v>0</v>
      </c>
      <c r="BH127" s="459"/>
      <c r="BI127" s="460"/>
      <c r="BJ127" s="459"/>
      <c r="BK127" s="461"/>
      <c r="BL127" s="459">
        <f t="shared" si="608"/>
        <v>521.28049999999996</v>
      </c>
      <c r="BM127" s="459"/>
      <c r="BN127" s="460">
        <v>521.28049999999996</v>
      </c>
      <c r="BO127" s="459"/>
      <c r="BP127" s="470"/>
      <c r="BQ127" s="459">
        <f t="shared" si="609"/>
        <v>521.28049999999996</v>
      </c>
      <c r="BR127" s="459"/>
      <c r="BS127" s="460">
        <v>521.28049999999996</v>
      </c>
      <c r="BT127" s="459"/>
      <c r="BU127" s="470"/>
      <c r="BV127" s="459">
        <f t="shared" si="610"/>
        <v>59.676920000000003</v>
      </c>
      <c r="BW127" s="459"/>
      <c r="BX127" s="459">
        <v>59.676920000000003</v>
      </c>
      <c r="BY127" s="459"/>
      <c r="BZ127" s="459"/>
      <c r="CA127" s="464">
        <f t="shared" si="611"/>
        <v>580.95741999999996</v>
      </c>
      <c r="CB127" s="459">
        <f t="shared" si="612"/>
        <v>580.95741999999996</v>
      </c>
      <c r="CC127" s="459">
        <f t="shared" si="613"/>
        <v>0</v>
      </c>
      <c r="CD127" s="459">
        <f t="shared" si="613"/>
        <v>580.95741999999996</v>
      </c>
      <c r="CE127" s="459">
        <f t="shared" si="613"/>
        <v>0</v>
      </c>
      <c r="CF127" s="459">
        <f t="shared" si="613"/>
        <v>0</v>
      </c>
      <c r="CG127" s="459">
        <f t="shared" si="614"/>
        <v>0</v>
      </c>
      <c r="CH127" s="459">
        <f t="shared" si="615"/>
        <v>0</v>
      </c>
      <c r="CI127" s="459">
        <f t="shared" si="615"/>
        <v>0</v>
      </c>
      <c r="CJ127" s="459">
        <f t="shared" si="615"/>
        <v>0</v>
      </c>
      <c r="CK127" s="459">
        <f t="shared" si="615"/>
        <v>0</v>
      </c>
      <c r="CL127" s="465"/>
      <c r="CM127" s="466"/>
      <c r="CN127" s="466"/>
      <c r="CO127" s="459">
        <f t="shared" si="616"/>
        <v>0</v>
      </c>
      <c r="CP127" s="459"/>
      <c r="CQ127" s="460"/>
      <c r="CR127" s="459"/>
      <c r="CS127" s="461"/>
      <c r="CT127" s="459">
        <f t="shared" si="617"/>
        <v>0</v>
      </c>
      <c r="CU127" s="459"/>
      <c r="CV127" s="460"/>
      <c r="CW127" s="459"/>
      <c r="CX127" s="461"/>
      <c r="CY127" s="459">
        <f t="shared" si="618"/>
        <v>0</v>
      </c>
      <c r="CZ127" s="459">
        <f t="shared" si="619"/>
        <v>0</v>
      </c>
      <c r="DA127" s="459">
        <f t="shared" si="619"/>
        <v>0</v>
      </c>
      <c r="DB127" s="459">
        <f t="shared" si="619"/>
        <v>0</v>
      </c>
      <c r="DC127" s="459">
        <f t="shared" si="619"/>
        <v>0</v>
      </c>
      <c r="DD127" s="459"/>
      <c r="DE127" s="459"/>
      <c r="DF127" s="459"/>
      <c r="DG127" s="459">
        <f t="shared" si="620"/>
        <v>0</v>
      </c>
      <c r="DH127" s="467"/>
      <c r="DI127" s="459">
        <f t="shared" si="621"/>
        <v>521.28049999999996</v>
      </c>
      <c r="DJ127" s="459">
        <f t="shared" si="622"/>
        <v>521.28049999999996</v>
      </c>
      <c r="DK127" s="467"/>
      <c r="DL127" s="459"/>
      <c r="DM127" s="459"/>
      <c r="DN127" s="467"/>
      <c r="DO127" s="459"/>
      <c r="DP127" s="467"/>
      <c r="DQ127" s="467"/>
      <c r="DR127" s="459">
        <f t="shared" si="322"/>
        <v>521.28049999999996</v>
      </c>
      <c r="DS127" s="459"/>
      <c r="DT127" s="460">
        <v>521.28049999999996</v>
      </c>
      <c r="DU127" s="459"/>
      <c r="DV127" s="470"/>
      <c r="DW127" s="459">
        <f t="shared" si="323"/>
        <v>59.676920000000003</v>
      </c>
      <c r="DX127" s="459"/>
      <c r="DY127" s="459">
        <v>59.676920000000003</v>
      </c>
      <c r="DZ127" s="459"/>
      <c r="EA127" s="146"/>
      <c r="EB127" s="279"/>
      <c r="EC127" s="279"/>
      <c r="ED127" s="279"/>
      <c r="EE127" s="366"/>
      <c r="EF127" s="366"/>
      <c r="EG127" s="279"/>
      <c r="EH127" s="279"/>
      <c r="EI127" s="279"/>
      <c r="EJ127" s="366"/>
      <c r="EK127" s="366"/>
      <c r="EL127" s="366">
        <v>2.2200000000000001E-2</v>
      </c>
      <c r="EM127" s="280"/>
      <c r="EN127" s="279"/>
      <c r="EO127" s="265" t="e">
        <f t="shared" si="623"/>
        <v>#DIV/0!</v>
      </c>
      <c r="EP127" s="323">
        <f t="shared" si="335"/>
        <v>580.95741999999996</v>
      </c>
      <c r="EQ127" s="323">
        <f t="shared" si="349"/>
        <v>521.28049999999996</v>
      </c>
      <c r="ER127" s="323">
        <v>59.676920000000003</v>
      </c>
      <c r="ES127" s="358">
        <f t="shared" si="624"/>
        <v>0.89727832377112937</v>
      </c>
      <c r="ET127" s="358">
        <f t="shared" si="625"/>
        <v>0.10272167622887063</v>
      </c>
      <c r="EU127" s="323">
        <f t="shared" si="336"/>
        <v>580.95741999999996</v>
      </c>
      <c r="EV127" s="323">
        <f t="shared" si="626"/>
        <v>521.28049999999996</v>
      </c>
      <c r="EW127" s="323">
        <f t="shared" si="627"/>
        <v>59.676920000000003</v>
      </c>
      <c r="EX127" s="358">
        <f t="shared" si="628"/>
        <v>0.89727832377112937</v>
      </c>
      <c r="EY127" s="358">
        <f t="shared" si="629"/>
        <v>0.10272167622887063</v>
      </c>
      <c r="EZ127" s="358">
        <v>7.3999999999999996E-2</v>
      </c>
      <c r="FA127" s="323">
        <f t="shared" si="630"/>
        <v>521.28049999999996</v>
      </c>
      <c r="FB127" s="323">
        <f t="shared" si="337"/>
        <v>0</v>
      </c>
      <c r="FC127" s="279">
        <f t="shared" si="631"/>
        <v>0</v>
      </c>
      <c r="FD127" s="279">
        <f t="shared" si="350"/>
        <v>0</v>
      </c>
      <c r="FE127" s="279"/>
      <c r="FF127" s="366" t="e">
        <f t="shared" si="632"/>
        <v>#DIV/0!</v>
      </c>
      <c r="FG127" s="366" t="e">
        <f t="shared" si="633"/>
        <v>#DIV/0!</v>
      </c>
      <c r="FH127" s="279">
        <f t="shared" si="351"/>
        <v>0</v>
      </c>
      <c r="FI127" s="279">
        <f t="shared" si="446"/>
        <v>0</v>
      </c>
      <c r="FJ127" s="279">
        <f t="shared" si="447"/>
        <v>0</v>
      </c>
      <c r="FK127" s="366" t="e">
        <f t="shared" si="634"/>
        <v>#DIV/0!</v>
      </c>
      <c r="FL127" s="366" t="e">
        <f t="shared" si="635"/>
        <v>#DIV/0!</v>
      </c>
      <c r="FM127" s="366">
        <v>7.3999999999999996E-2</v>
      </c>
      <c r="FN127" s="280" t="e">
        <f t="shared" si="581"/>
        <v>#DIV/0!</v>
      </c>
      <c r="FO127" s="279" t="e">
        <f t="shared" si="352"/>
        <v>#DIV/0!</v>
      </c>
    </row>
    <row r="128" spans="2:171" s="119" customFormat="1" ht="16.149999999999999" customHeight="1" x14ac:dyDescent="0.2">
      <c r="B128" s="113"/>
      <c r="C128" s="114"/>
      <c r="D128" s="114"/>
      <c r="E128" s="115"/>
      <c r="F128" s="113"/>
      <c r="G128" s="114"/>
      <c r="H128" s="114"/>
      <c r="I128" s="666" t="s">
        <v>4</v>
      </c>
      <c r="J128" s="667"/>
      <c r="K128" s="667"/>
      <c r="L128" s="667"/>
      <c r="M128" s="115"/>
      <c r="N128" s="118" t="s">
        <v>19</v>
      </c>
      <c r="O128" s="118"/>
      <c r="P128" s="68">
        <f t="shared" si="334"/>
        <v>0</v>
      </c>
      <c r="Q128" s="118"/>
      <c r="R128" s="118"/>
      <c r="S128" s="118"/>
      <c r="T128" s="118"/>
      <c r="U128" s="163">
        <f>U129+U130+U131+U132+U133+U134+U135+U136</f>
        <v>3</v>
      </c>
      <c r="V128" s="163">
        <f>V129+V130+V131+V132+V133+V134+V135+V136</f>
        <v>4</v>
      </c>
      <c r="W128" s="452">
        <f t="shared" ref="W128:AA128" si="679">SUM(W129:W136)-W130</f>
        <v>4996</v>
      </c>
      <c r="X128" s="452">
        <f t="shared" si="679"/>
        <v>0</v>
      </c>
      <c r="Y128" s="452">
        <f t="shared" si="679"/>
        <v>4996</v>
      </c>
      <c r="Z128" s="452">
        <f t="shared" si="679"/>
        <v>0</v>
      </c>
      <c r="AA128" s="452">
        <f t="shared" si="679"/>
        <v>0</v>
      </c>
      <c r="AB128" s="452">
        <f t="shared" ref="AB128:AF128" si="680">SUM(AB129:AB136)-AB130</f>
        <v>9125.5</v>
      </c>
      <c r="AC128" s="452">
        <f t="shared" si="680"/>
        <v>0</v>
      </c>
      <c r="AD128" s="452">
        <f t="shared" si="680"/>
        <v>5025.5</v>
      </c>
      <c r="AE128" s="452">
        <f t="shared" si="680"/>
        <v>4100</v>
      </c>
      <c r="AF128" s="452">
        <f t="shared" si="680"/>
        <v>0</v>
      </c>
      <c r="AG128" s="452">
        <f t="shared" ref="AG128:AK128" si="681">SUM(AG129:AG136)-AG130</f>
        <v>9125.5</v>
      </c>
      <c r="AH128" s="452">
        <f t="shared" si="681"/>
        <v>0</v>
      </c>
      <c r="AI128" s="452">
        <f t="shared" si="681"/>
        <v>5025.5</v>
      </c>
      <c r="AJ128" s="452">
        <f t="shared" si="681"/>
        <v>4100</v>
      </c>
      <c r="AK128" s="452">
        <f t="shared" si="681"/>
        <v>0</v>
      </c>
      <c r="AL128" s="454">
        <f t="shared" ref="AL128:AP128" si="682">SUM(AL129:AL136)-AL130</f>
        <v>6285</v>
      </c>
      <c r="AM128" s="452">
        <f t="shared" si="682"/>
        <v>0</v>
      </c>
      <c r="AN128" s="452">
        <f t="shared" si="682"/>
        <v>2185</v>
      </c>
      <c r="AO128" s="452">
        <f t="shared" si="682"/>
        <v>4100</v>
      </c>
      <c r="AP128" s="452">
        <f t="shared" si="682"/>
        <v>0</v>
      </c>
      <c r="AQ128" s="453"/>
      <c r="AR128" s="452">
        <f t="shared" ref="AR128:AU128" si="683">SUM(AR129:AR136)-AR130</f>
        <v>4993.1235999999999</v>
      </c>
      <c r="AS128" s="452">
        <f t="shared" si="683"/>
        <v>0</v>
      </c>
      <c r="AT128" s="452">
        <f t="shared" si="683"/>
        <v>4993.1235999999999</v>
      </c>
      <c r="AU128" s="452">
        <f t="shared" si="683"/>
        <v>0</v>
      </c>
      <c r="AV128" s="452">
        <f>SUM(AV129:AV136)-AV130</f>
        <v>0</v>
      </c>
      <c r="AW128" s="452" t="e">
        <f t="shared" ref="AW128:BF128" si="684">SUM(AW129:AW136)-AW130</f>
        <v>#REF!</v>
      </c>
      <c r="AX128" s="452" t="e">
        <f t="shared" si="684"/>
        <v>#REF!</v>
      </c>
      <c r="AY128" s="452" t="e">
        <f t="shared" si="684"/>
        <v>#REF!</v>
      </c>
      <c r="AZ128" s="452" t="e">
        <f t="shared" si="684"/>
        <v>#REF!</v>
      </c>
      <c r="BA128" s="452" t="e">
        <f t="shared" si="684"/>
        <v>#REF!</v>
      </c>
      <c r="BB128" s="452">
        <f t="shared" si="684"/>
        <v>9125.5</v>
      </c>
      <c r="BC128" s="452">
        <f t="shared" si="684"/>
        <v>0</v>
      </c>
      <c r="BD128" s="452">
        <f t="shared" si="684"/>
        <v>5025.5</v>
      </c>
      <c r="BE128" s="452">
        <f t="shared" si="684"/>
        <v>4100</v>
      </c>
      <c r="BF128" s="452">
        <f t="shared" si="684"/>
        <v>0</v>
      </c>
      <c r="BG128" s="452">
        <f t="shared" ref="BG128:CK128" si="685">SUM(BG129:BG136)-BG130</f>
        <v>0</v>
      </c>
      <c r="BH128" s="452">
        <f t="shared" si="685"/>
        <v>0</v>
      </c>
      <c r="BI128" s="452">
        <f t="shared" si="685"/>
        <v>0</v>
      </c>
      <c r="BJ128" s="452">
        <f t="shared" si="685"/>
        <v>0</v>
      </c>
      <c r="BK128" s="452">
        <f t="shared" si="685"/>
        <v>0</v>
      </c>
      <c r="BL128" s="452">
        <f t="shared" si="685"/>
        <v>4993.1235999999999</v>
      </c>
      <c r="BM128" s="452">
        <f t="shared" si="685"/>
        <v>0</v>
      </c>
      <c r="BN128" s="452">
        <f t="shared" si="685"/>
        <v>4993.1235999999999</v>
      </c>
      <c r="BO128" s="452">
        <f t="shared" si="685"/>
        <v>0</v>
      </c>
      <c r="BP128" s="452">
        <f t="shared" si="685"/>
        <v>0</v>
      </c>
      <c r="BQ128" s="452">
        <f t="shared" si="685"/>
        <v>4993.1235999999999</v>
      </c>
      <c r="BR128" s="452">
        <f t="shared" si="685"/>
        <v>0</v>
      </c>
      <c r="BS128" s="452">
        <f t="shared" si="685"/>
        <v>4993.1235999999999</v>
      </c>
      <c r="BT128" s="452">
        <f t="shared" si="685"/>
        <v>0</v>
      </c>
      <c r="BU128" s="452">
        <f t="shared" si="685"/>
        <v>0</v>
      </c>
      <c r="BV128" s="454">
        <f t="shared" si="685"/>
        <v>500.92559999999997</v>
      </c>
      <c r="BW128" s="452">
        <f t="shared" si="685"/>
        <v>0</v>
      </c>
      <c r="BX128" s="452">
        <f t="shared" si="685"/>
        <v>500.92559999999997</v>
      </c>
      <c r="BY128" s="452">
        <f t="shared" si="685"/>
        <v>0</v>
      </c>
      <c r="BZ128" s="452">
        <f t="shared" si="685"/>
        <v>0</v>
      </c>
      <c r="CA128" s="452">
        <f t="shared" si="685"/>
        <v>5494.0491999999995</v>
      </c>
      <c r="CB128" s="452">
        <f t="shared" si="685"/>
        <v>5494.0491999999995</v>
      </c>
      <c r="CC128" s="452">
        <f t="shared" si="685"/>
        <v>0</v>
      </c>
      <c r="CD128" s="452">
        <f t="shared" si="685"/>
        <v>5494.0491999999995</v>
      </c>
      <c r="CE128" s="452">
        <f t="shared" si="685"/>
        <v>0</v>
      </c>
      <c r="CF128" s="452">
        <f t="shared" si="685"/>
        <v>0</v>
      </c>
      <c r="CG128" s="452">
        <f t="shared" si="685"/>
        <v>0</v>
      </c>
      <c r="CH128" s="452">
        <f t="shared" si="685"/>
        <v>0</v>
      </c>
      <c r="CI128" s="452">
        <f t="shared" si="685"/>
        <v>0</v>
      </c>
      <c r="CJ128" s="452">
        <f t="shared" si="685"/>
        <v>0</v>
      </c>
      <c r="CK128" s="452">
        <f t="shared" si="685"/>
        <v>0</v>
      </c>
      <c r="CL128" s="455">
        <f>CM128+CO128-BG128</f>
        <v>9125.5</v>
      </c>
      <c r="CM128" s="456">
        <f t="shared" ref="CM128:DG128" si="686">SUM(CM129:CM136)-CM130</f>
        <v>9125.5</v>
      </c>
      <c r="CN128" s="456">
        <f t="shared" si="686"/>
        <v>9125.5</v>
      </c>
      <c r="CO128" s="452">
        <f t="shared" si="686"/>
        <v>0</v>
      </c>
      <c r="CP128" s="452">
        <f t="shared" si="686"/>
        <v>0</v>
      </c>
      <c r="CQ128" s="452">
        <f t="shared" si="686"/>
        <v>0</v>
      </c>
      <c r="CR128" s="452">
        <f t="shared" si="686"/>
        <v>0</v>
      </c>
      <c r="CS128" s="452">
        <f t="shared" si="686"/>
        <v>0</v>
      </c>
      <c r="CT128" s="452">
        <f t="shared" si="686"/>
        <v>0</v>
      </c>
      <c r="CU128" s="452">
        <f t="shared" si="686"/>
        <v>0</v>
      </c>
      <c r="CV128" s="452">
        <f t="shared" si="686"/>
        <v>0</v>
      </c>
      <c r="CW128" s="452">
        <f t="shared" si="686"/>
        <v>0</v>
      </c>
      <c r="CX128" s="452">
        <f t="shared" si="686"/>
        <v>0</v>
      </c>
      <c r="CY128" s="452">
        <f t="shared" si="686"/>
        <v>0</v>
      </c>
      <c r="CZ128" s="452">
        <f t="shared" si="686"/>
        <v>0</v>
      </c>
      <c r="DA128" s="452">
        <f t="shared" si="686"/>
        <v>0</v>
      </c>
      <c r="DB128" s="452">
        <f t="shared" si="686"/>
        <v>0</v>
      </c>
      <c r="DC128" s="452">
        <f t="shared" si="686"/>
        <v>0</v>
      </c>
      <c r="DD128" s="452">
        <f t="shared" si="686"/>
        <v>0</v>
      </c>
      <c r="DE128" s="452">
        <f t="shared" si="686"/>
        <v>0</v>
      </c>
      <c r="DF128" s="452">
        <f t="shared" si="686"/>
        <v>0</v>
      </c>
      <c r="DG128" s="452">
        <f t="shared" si="686"/>
        <v>0</v>
      </c>
      <c r="DH128" s="457"/>
      <c r="DI128" s="452">
        <f>SUM(DI129:DI136)-DI130</f>
        <v>4993.1235999999999</v>
      </c>
      <c r="DJ128" s="452">
        <f>SUM(DJ129:DJ136)-DJ130</f>
        <v>4993.1235999999999</v>
      </c>
      <c r="DK128" s="457"/>
      <c r="DL128" s="452">
        <f>SUM(DL129:DL136)-DL130</f>
        <v>4993.1235999999999</v>
      </c>
      <c r="DM128" s="452">
        <f>SUM(DM129:DM136)-DM130</f>
        <v>0</v>
      </c>
      <c r="DN128" s="457"/>
      <c r="DO128" s="452">
        <f>SUM(DO129:DO136)-DO130</f>
        <v>4132.3764000000001</v>
      </c>
      <c r="DP128" s="457">
        <f>DG128-DO128</f>
        <v>-4132.3764000000001</v>
      </c>
      <c r="DQ128" s="457"/>
      <c r="DR128" s="452">
        <f t="shared" si="322"/>
        <v>4993.1235999999999</v>
      </c>
      <c r="DS128" s="452">
        <f t="shared" ref="DS128:DU128" si="687">SUM(DS129:DS136)-DS130</f>
        <v>0</v>
      </c>
      <c r="DT128" s="452">
        <f t="shared" si="687"/>
        <v>4993.1235999999999</v>
      </c>
      <c r="DU128" s="452">
        <f t="shared" si="687"/>
        <v>0</v>
      </c>
      <c r="DV128" s="452">
        <f t="shared" ref="DV128" si="688">SUM(DV129:DV136)-DV130</f>
        <v>0</v>
      </c>
      <c r="DW128" s="452">
        <f t="shared" si="323"/>
        <v>500.92559999999997</v>
      </c>
      <c r="DX128" s="452">
        <f t="shared" ref="DX128:DZ128" si="689">SUM(DX129:DX136)-DX130</f>
        <v>0</v>
      </c>
      <c r="DY128" s="452">
        <f t="shared" si="689"/>
        <v>500.92559999999997</v>
      </c>
      <c r="DZ128" s="452">
        <f t="shared" si="689"/>
        <v>0</v>
      </c>
      <c r="EA128" s="145">
        <f t="shared" ref="EA128" si="690">SUM(EA129:EA136)-EA130</f>
        <v>0</v>
      </c>
      <c r="EB128" s="57">
        <f t="shared" si="365"/>
        <v>0</v>
      </c>
      <c r="EC128" s="57">
        <f t="shared" si="366"/>
        <v>0</v>
      </c>
      <c r="ED128" s="57">
        <f t="shared" ref="ED128" si="691">SUM(ED129:ED136)-ED130</f>
        <v>0</v>
      </c>
      <c r="EE128" s="360"/>
      <c r="EF128" s="360"/>
      <c r="EG128" s="57">
        <f t="shared" si="368"/>
        <v>0</v>
      </c>
      <c r="EH128" s="57">
        <f>SUM(EH129:EH136)</f>
        <v>0</v>
      </c>
      <c r="EI128" s="57">
        <f>SUM(EI129:EI136)</f>
        <v>0</v>
      </c>
      <c r="EJ128" s="360"/>
      <c r="EK128" s="360"/>
      <c r="EL128" s="360"/>
      <c r="EM128" s="273">
        <f t="shared" ref="EM128" si="692">SUM(EM129:EM136)</f>
        <v>0</v>
      </c>
      <c r="EN128" s="57">
        <f t="shared" si="370"/>
        <v>0</v>
      </c>
      <c r="EO128" s="264"/>
      <c r="EP128" s="57">
        <f t="shared" si="335"/>
        <v>5494.0491999999995</v>
      </c>
      <c r="EQ128" s="57">
        <f t="shared" si="349"/>
        <v>4993.1235999999999</v>
      </c>
      <c r="ER128" s="57">
        <f t="shared" ref="ER128" si="693">SUM(ER129:ER136)-ER130</f>
        <v>500.92559999999997</v>
      </c>
      <c r="ES128" s="360"/>
      <c r="ET128" s="360"/>
      <c r="EU128" s="57">
        <f t="shared" si="336"/>
        <v>5494.0491999999995</v>
      </c>
      <c r="EV128" s="57">
        <f>SUM(EV129:EV136)</f>
        <v>4993.1235999999999</v>
      </c>
      <c r="EW128" s="57">
        <f>SUM(EW129:EW136)</f>
        <v>500.92559999999997</v>
      </c>
      <c r="EX128" s="360"/>
      <c r="EY128" s="360"/>
      <c r="EZ128" s="360"/>
      <c r="FA128" s="57">
        <f t="shared" ref="FA128" si="694">SUM(FA129:FA136)</f>
        <v>4993.1235999999999</v>
      </c>
      <c r="FB128" s="57">
        <f t="shared" si="337"/>
        <v>0</v>
      </c>
      <c r="FC128" s="57">
        <f t="shared" ref="FC128" si="695">FD128+FE128+FF128</f>
        <v>0</v>
      </c>
      <c r="FD128" s="57">
        <f t="shared" si="350"/>
        <v>0</v>
      </c>
      <c r="FE128" s="57">
        <f t="shared" ref="FE128" si="696">SUM(FE129:FE136)-FE130</f>
        <v>0</v>
      </c>
      <c r="FF128" s="360"/>
      <c r="FG128" s="360"/>
      <c r="FH128" s="57">
        <f t="shared" si="351"/>
        <v>0</v>
      </c>
      <c r="FI128" s="57">
        <f t="shared" si="446"/>
        <v>0</v>
      </c>
      <c r="FJ128" s="57">
        <f t="shared" si="447"/>
        <v>0</v>
      </c>
      <c r="FK128" s="360"/>
      <c r="FL128" s="360"/>
      <c r="FM128" s="360"/>
      <c r="FN128" s="273">
        <f t="shared" si="581"/>
        <v>0</v>
      </c>
      <c r="FO128" s="57">
        <f t="shared" si="352"/>
        <v>0</v>
      </c>
    </row>
    <row r="129" spans="2:171" s="40" customFormat="1" ht="16.149999999999999" customHeight="1" x14ac:dyDescent="0.25">
      <c r="B129" s="32">
        <v>1</v>
      </c>
      <c r="C129" s="33"/>
      <c r="D129" s="33"/>
      <c r="E129" s="434">
        <v>108</v>
      </c>
      <c r="F129" s="32"/>
      <c r="G129" s="33"/>
      <c r="H129" s="33"/>
      <c r="I129" s="434">
        <v>8</v>
      </c>
      <c r="J129" s="434" t="s">
        <v>270</v>
      </c>
      <c r="K129" s="207" t="s">
        <v>281</v>
      </c>
      <c r="L129" s="53">
        <v>8075</v>
      </c>
      <c r="M129" s="434">
        <v>105</v>
      </c>
      <c r="N129" s="435" t="s">
        <v>228</v>
      </c>
      <c r="O129" s="132"/>
      <c r="P129" s="2">
        <f t="shared" si="334"/>
        <v>0</v>
      </c>
      <c r="Q129" s="132"/>
      <c r="R129" s="132"/>
      <c r="S129" s="132"/>
      <c r="T129" s="132"/>
      <c r="U129" s="132"/>
      <c r="V129" s="447"/>
      <c r="W129" s="459">
        <f t="shared" ref="W129:W136" si="697">X129+Y129+Z129+AA129</f>
        <v>0</v>
      </c>
      <c r="X129" s="461"/>
      <c r="Y129" s="464"/>
      <c r="Z129" s="459"/>
      <c r="AA129" s="464"/>
      <c r="AB129" s="459">
        <f t="shared" ref="AB129:AB136" si="698">AC129+AD129+AE129+AF129</f>
        <v>0</v>
      </c>
      <c r="AC129" s="461"/>
      <c r="AD129" s="464"/>
      <c r="AE129" s="459"/>
      <c r="AF129" s="464"/>
      <c r="AG129" s="459">
        <f t="shared" ref="AG129:AG136" si="699">AH129+AI129+AJ129+AK129</f>
        <v>0</v>
      </c>
      <c r="AH129" s="461"/>
      <c r="AI129" s="464"/>
      <c r="AJ129" s="459"/>
      <c r="AK129" s="464"/>
      <c r="AL129" s="459">
        <f t="shared" ref="AL129:AL136" si="700">AM129+AN129+AO129+AP129</f>
        <v>0</v>
      </c>
      <c r="AM129" s="461"/>
      <c r="AN129" s="464"/>
      <c r="AO129" s="459"/>
      <c r="AP129" s="459"/>
      <c r="AQ129" s="383"/>
      <c r="AR129" s="459">
        <f t="shared" ref="AR129:AR136" si="701">AS129+AT129+AU129+AV129</f>
        <v>0</v>
      </c>
      <c r="AS129" s="461"/>
      <c r="AT129" s="459"/>
      <c r="AU129" s="459"/>
      <c r="AV129" s="459"/>
      <c r="AW129" s="459" t="e">
        <f t="shared" ref="AW129:AW136" si="702">AX129+AY129+AZ129+BA129</f>
        <v>#REF!</v>
      </c>
      <c r="AX129" s="459" t="e">
        <f>#REF!-AS129</f>
        <v>#REF!</v>
      </c>
      <c r="AY129" s="459" t="e">
        <f>#REF!-AT129</f>
        <v>#REF!</v>
      </c>
      <c r="AZ129" s="459" t="e">
        <f>#REF!-AU129</f>
        <v>#REF!</v>
      </c>
      <c r="BA129" s="459" t="e">
        <f>#REF!-AV129</f>
        <v>#REF!</v>
      </c>
      <c r="BB129" s="459">
        <f t="shared" ref="BB129:BB136" si="703">BC129+BD129+BE129+BF129</f>
        <v>0</v>
      </c>
      <c r="BC129" s="461"/>
      <c r="BD129" s="459"/>
      <c r="BE129" s="459"/>
      <c r="BF129" s="459"/>
      <c r="BG129" s="459">
        <f t="shared" ref="BG129:BG136" si="704">BH129+BI129+BJ129+BK129</f>
        <v>0</v>
      </c>
      <c r="BH129" s="461"/>
      <c r="BI129" s="459"/>
      <c r="BJ129" s="459"/>
      <c r="BK129" s="459"/>
      <c r="BL129" s="459">
        <f t="shared" ref="BL129:BL136" si="705">BM129+BN129+BO129+BP129</f>
        <v>0</v>
      </c>
      <c r="BM129" s="461"/>
      <c r="BN129" s="459"/>
      <c r="BO129" s="459"/>
      <c r="BP129" s="459"/>
      <c r="BQ129" s="459">
        <f t="shared" ref="BQ129:BQ136" si="706">BR129+BS129+BT129+BU129</f>
        <v>0</v>
      </c>
      <c r="BR129" s="470"/>
      <c r="BS129" s="459"/>
      <c r="BT129" s="459"/>
      <c r="BU129" s="459"/>
      <c r="BV129" s="459">
        <f t="shared" ref="BV129:BV136" si="707">BW129+BX129+BY129+BZ129</f>
        <v>0</v>
      </c>
      <c r="BW129" s="459"/>
      <c r="BX129" s="459"/>
      <c r="BY129" s="459"/>
      <c r="BZ129" s="459"/>
      <c r="CA129" s="464">
        <f t="shared" ref="CA129:CA136" si="708">CB129</f>
        <v>0</v>
      </c>
      <c r="CB129" s="459">
        <f t="shared" ref="CB129:CB136" si="709">CC129+CD129+CE129+CF129</f>
        <v>0</v>
      </c>
      <c r="CC129" s="459">
        <f t="shared" ref="CC129:CF136" si="710">BR129+BW129</f>
        <v>0</v>
      </c>
      <c r="CD129" s="459">
        <f t="shared" si="710"/>
        <v>0</v>
      </c>
      <c r="CE129" s="459">
        <f t="shared" si="710"/>
        <v>0</v>
      </c>
      <c r="CF129" s="459">
        <f t="shared" si="710"/>
        <v>0</v>
      </c>
      <c r="CG129" s="459">
        <f t="shared" ref="CG129:CG136" si="711">CH129+CI129+CJ129+CK129</f>
        <v>0</v>
      </c>
      <c r="CH129" s="459">
        <f t="shared" ref="CH129:CK136" si="712">BM129-BR129</f>
        <v>0</v>
      </c>
      <c r="CI129" s="459">
        <f t="shared" si="712"/>
        <v>0</v>
      </c>
      <c r="CJ129" s="459">
        <f t="shared" si="712"/>
        <v>0</v>
      </c>
      <c r="CK129" s="459">
        <f t="shared" si="712"/>
        <v>0</v>
      </c>
      <c r="CL129" s="465"/>
      <c r="CM129" s="466">
        <f>BB129</f>
        <v>0</v>
      </c>
      <c r="CN129" s="466">
        <f>CM129</f>
        <v>0</v>
      </c>
      <c r="CO129" s="459">
        <f t="shared" ref="CO129:CO136" si="713">CP129+CQ129+CR129+CS129</f>
        <v>0</v>
      </c>
      <c r="CP129" s="461"/>
      <c r="CQ129" s="459"/>
      <c r="CR129" s="459"/>
      <c r="CS129" s="459"/>
      <c r="CT129" s="459">
        <f t="shared" ref="CT129:CT136" si="714">CU129+CV129+CW129+CX129</f>
        <v>0</v>
      </c>
      <c r="CU129" s="461"/>
      <c r="CV129" s="459"/>
      <c r="CW129" s="459"/>
      <c r="CX129" s="459"/>
      <c r="CY129" s="459">
        <f t="shared" ref="CY129:CY136" si="715">CZ129+DA129+DB129+DC129</f>
        <v>0</v>
      </c>
      <c r="CZ129" s="459">
        <f t="shared" ref="CZ129:DC136" si="716">CP129-CU129</f>
        <v>0</v>
      </c>
      <c r="DA129" s="459">
        <f t="shared" si="716"/>
        <v>0</v>
      </c>
      <c r="DB129" s="459">
        <f t="shared" si="716"/>
        <v>0</v>
      </c>
      <c r="DC129" s="459">
        <f t="shared" si="716"/>
        <v>0</v>
      </c>
      <c r="DD129" s="459"/>
      <c r="DE129" s="459"/>
      <c r="DF129" s="459"/>
      <c r="DG129" s="459">
        <f t="shared" ref="DG129:DG136" si="717">CG129+CY129+DF129</f>
        <v>0</v>
      </c>
      <c r="DH129" s="467"/>
      <c r="DI129" s="459">
        <f t="shared" ref="DI129:DI136" si="718">BL129+CO129+DD129</f>
        <v>0</v>
      </c>
      <c r="DJ129" s="459">
        <f t="shared" ref="DJ129:DJ136" si="719">BQ129+CT129+DE129</f>
        <v>0</v>
      </c>
      <c r="DK129" s="467"/>
      <c r="DL129" s="459">
        <f>DJ129</f>
        <v>0</v>
      </c>
      <c r="DM129" s="459">
        <f>DG129</f>
        <v>0</v>
      </c>
      <c r="DN129" s="467"/>
      <c r="DO129" s="459">
        <f>CN129-DL129</f>
        <v>0</v>
      </c>
      <c r="DP129" s="467"/>
      <c r="DQ129" s="467"/>
      <c r="DR129" s="459">
        <f t="shared" si="322"/>
        <v>0</v>
      </c>
      <c r="DS129" s="470"/>
      <c r="DT129" s="459"/>
      <c r="DU129" s="459"/>
      <c r="DV129" s="459"/>
      <c r="DW129" s="459">
        <f t="shared" si="323"/>
        <v>0</v>
      </c>
      <c r="DX129" s="459"/>
      <c r="DY129" s="459"/>
      <c r="DZ129" s="459"/>
      <c r="EA129" s="146"/>
      <c r="EB129" s="279"/>
      <c r="EC129" s="279"/>
      <c r="ED129" s="279"/>
      <c r="EE129" s="366"/>
      <c r="EF129" s="366"/>
      <c r="EG129" s="279"/>
      <c r="EH129" s="279"/>
      <c r="EI129" s="279"/>
      <c r="EJ129" s="366"/>
      <c r="EK129" s="366"/>
      <c r="EL129" s="366">
        <v>2.9700000000000001E-2</v>
      </c>
      <c r="EM129" s="280"/>
      <c r="EN129" s="279"/>
      <c r="EO129" s="265" t="e">
        <f t="shared" ref="EO129:EO136" si="720">EM129/EJ129</f>
        <v>#DIV/0!</v>
      </c>
      <c r="EP129" s="323"/>
      <c r="EQ129" s="323"/>
      <c r="ER129" s="323"/>
      <c r="ES129" s="358"/>
      <c r="ET129" s="358"/>
      <c r="EU129" s="323"/>
      <c r="EV129" s="323"/>
      <c r="EW129" s="323"/>
      <c r="EX129" s="358"/>
      <c r="EY129" s="358"/>
      <c r="EZ129" s="358">
        <v>0.1</v>
      </c>
      <c r="FA129" s="323"/>
      <c r="FB129" s="323">
        <f t="shared" si="337"/>
        <v>0</v>
      </c>
      <c r="FC129" s="279"/>
      <c r="FD129" s="279"/>
      <c r="FE129" s="279"/>
      <c r="FF129" s="366"/>
      <c r="FG129" s="366"/>
      <c r="FH129" s="279"/>
      <c r="FI129" s="279"/>
      <c r="FJ129" s="279"/>
      <c r="FK129" s="366"/>
      <c r="FL129" s="366"/>
      <c r="FM129" s="366">
        <v>0.1</v>
      </c>
      <c r="FN129" s="280"/>
      <c r="FO129" s="279"/>
    </row>
    <row r="130" spans="2:171" s="40" customFormat="1" ht="16.149999999999999" customHeight="1" x14ac:dyDescent="0.25">
      <c r="B130" s="32"/>
      <c r="C130" s="33"/>
      <c r="D130" s="33"/>
      <c r="E130" s="434"/>
      <c r="F130" s="32"/>
      <c r="G130" s="33"/>
      <c r="H130" s="33"/>
      <c r="I130" s="664" t="s">
        <v>271</v>
      </c>
      <c r="J130" s="665"/>
      <c r="K130" s="665"/>
      <c r="L130" s="159">
        <f>L129</f>
        <v>8075</v>
      </c>
      <c r="M130" s="434"/>
      <c r="N130" s="19" t="s">
        <v>251</v>
      </c>
      <c r="O130" s="133"/>
      <c r="P130" s="2">
        <f t="shared" si="334"/>
        <v>0</v>
      </c>
      <c r="Q130" s="133"/>
      <c r="R130" s="133"/>
      <c r="S130" s="133"/>
      <c r="T130" s="133"/>
      <c r="U130" s="133"/>
      <c r="V130" s="133"/>
      <c r="W130" s="459">
        <f t="shared" si="697"/>
        <v>0</v>
      </c>
      <c r="X130" s="459"/>
      <c r="Y130" s="464"/>
      <c r="Z130" s="459"/>
      <c r="AA130" s="464"/>
      <c r="AB130" s="459">
        <f t="shared" si="698"/>
        <v>0</v>
      </c>
      <c r="AC130" s="459"/>
      <c r="AD130" s="464"/>
      <c r="AE130" s="459"/>
      <c r="AF130" s="464"/>
      <c r="AG130" s="459">
        <f t="shared" si="699"/>
        <v>0</v>
      </c>
      <c r="AH130" s="459"/>
      <c r="AI130" s="464"/>
      <c r="AJ130" s="459"/>
      <c r="AK130" s="464"/>
      <c r="AL130" s="459">
        <f t="shared" si="700"/>
        <v>0</v>
      </c>
      <c r="AM130" s="459"/>
      <c r="AN130" s="464"/>
      <c r="AO130" s="459"/>
      <c r="AP130" s="459"/>
      <c r="AQ130" s="398"/>
      <c r="AR130" s="459">
        <f t="shared" si="701"/>
        <v>0</v>
      </c>
      <c r="AS130" s="459"/>
      <c r="AT130" s="469"/>
      <c r="AU130" s="459"/>
      <c r="AV130" s="459"/>
      <c r="AW130" s="459" t="e">
        <f t="shared" si="702"/>
        <v>#REF!</v>
      </c>
      <c r="AX130" s="459" t="e">
        <f>#REF!-AS130</f>
        <v>#REF!</v>
      </c>
      <c r="AY130" s="459" t="e">
        <f>#REF!-AT130</f>
        <v>#REF!</v>
      </c>
      <c r="AZ130" s="459" t="e">
        <f>#REF!-AU130</f>
        <v>#REF!</v>
      </c>
      <c r="BA130" s="459" t="e">
        <f>#REF!-AV130</f>
        <v>#REF!</v>
      </c>
      <c r="BB130" s="459">
        <f t="shared" si="703"/>
        <v>0</v>
      </c>
      <c r="BC130" s="459"/>
      <c r="BD130" s="459"/>
      <c r="BE130" s="459"/>
      <c r="BF130" s="459"/>
      <c r="BG130" s="459">
        <f t="shared" si="704"/>
        <v>0</v>
      </c>
      <c r="BH130" s="459"/>
      <c r="BI130" s="459"/>
      <c r="BJ130" s="459"/>
      <c r="BK130" s="459"/>
      <c r="BL130" s="459">
        <f t="shared" si="705"/>
        <v>0</v>
      </c>
      <c r="BM130" s="459"/>
      <c r="BN130" s="459"/>
      <c r="BO130" s="459"/>
      <c r="BP130" s="459"/>
      <c r="BQ130" s="459">
        <f t="shared" si="706"/>
        <v>0</v>
      </c>
      <c r="BR130" s="459"/>
      <c r="BS130" s="459"/>
      <c r="BT130" s="459"/>
      <c r="BU130" s="459"/>
      <c r="BV130" s="459">
        <f t="shared" si="707"/>
        <v>0</v>
      </c>
      <c r="BW130" s="459"/>
      <c r="BX130" s="459"/>
      <c r="BY130" s="459"/>
      <c r="BZ130" s="459"/>
      <c r="CA130" s="464">
        <f t="shared" si="708"/>
        <v>0</v>
      </c>
      <c r="CB130" s="459">
        <f t="shared" si="709"/>
        <v>0</v>
      </c>
      <c r="CC130" s="459">
        <f t="shared" si="710"/>
        <v>0</v>
      </c>
      <c r="CD130" s="459">
        <f t="shared" si="710"/>
        <v>0</v>
      </c>
      <c r="CE130" s="459">
        <f t="shared" si="710"/>
        <v>0</v>
      </c>
      <c r="CF130" s="459">
        <f t="shared" si="710"/>
        <v>0</v>
      </c>
      <c r="CG130" s="459">
        <f t="shared" si="711"/>
        <v>0</v>
      </c>
      <c r="CH130" s="459">
        <f t="shared" si="712"/>
        <v>0</v>
      </c>
      <c r="CI130" s="459">
        <f t="shared" si="712"/>
        <v>0</v>
      </c>
      <c r="CJ130" s="459">
        <f t="shared" si="712"/>
        <v>0</v>
      </c>
      <c r="CK130" s="459">
        <f t="shared" si="712"/>
        <v>0</v>
      </c>
      <c r="CL130" s="465"/>
      <c r="CM130" s="466"/>
      <c r="CN130" s="466"/>
      <c r="CO130" s="459">
        <f t="shared" si="713"/>
        <v>0</v>
      </c>
      <c r="CP130" s="459"/>
      <c r="CQ130" s="459"/>
      <c r="CR130" s="459"/>
      <c r="CS130" s="459"/>
      <c r="CT130" s="459">
        <f t="shared" si="714"/>
        <v>0</v>
      </c>
      <c r="CU130" s="459"/>
      <c r="CV130" s="459"/>
      <c r="CW130" s="459"/>
      <c r="CX130" s="459"/>
      <c r="CY130" s="459">
        <f t="shared" si="715"/>
        <v>0</v>
      </c>
      <c r="CZ130" s="459">
        <f t="shared" si="716"/>
        <v>0</v>
      </c>
      <c r="DA130" s="459">
        <f t="shared" si="716"/>
        <v>0</v>
      </c>
      <c r="DB130" s="459">
        <f t="shared" si="716"/>
        <v>0</v>
      </c>
      <c r="DC130" s="459">
        <f t="shared" si="716"/>
        <v>0</v>
      </c>
      <c r="DD130" s="459"/>
      <c r="DE130" s="459"/>
      <c r="DF130" s="459"/>
      <c r="DG130" s="459">
        <f t="shared" si="717"/>
        <v>0</v>
      </c>
      <c r="DH130" s="467"/>
      <c r="DI130" s="459">
        <f t="shared" si="718"/>
        <v>0</v>
      </c>
      <c r="DJ130" s="459">
        <f t="shared" si="719"/>
        <v>0</v>
      </c>
      <c r="DK130" s="467"/>
      <c r="DL130" s="459">
        <f>DJ130</f>
        <v>0</v>
      </c>
      <c r="DM130" s="459">
        <f>DG130</f>
        <v>0</v>
      </c>
      <c r="DN130" s="467"/>
      <c r="DO130" s="459"/>
      <c r="DP130" s="467"/>
      <c r="DQ130" s="467"/>
      <c r="DR130" s="459">
        <f t="shared" si="322"/>
        <v>0</v>
      </c>
      <c r="DS130" s="459"/>
      <c r="DT130" s="459"/>
      <c r="DU130" s="459"/>
      <c r="DV130" s="459"/>
      <c r="DW130" s="459">
        <f t="shared" si="323"/>
        <v>0</v>
      </c>
      <c r="DX130" s="459"/>
      <c r="DY130" s="459"/>
      <c r="DZ130" s="459"/>
      <c r="EA130" s="146"/>
      <c r="EB130" s="279"/>
      <c r="EC130" s="279"/>
      <c r="ED130" s="279"/>
      <c r="EE130" s="366"/>
      <c r="EF130" s="366"/>
      <c r="EG130" s="279"/>
      <c r="EH130" s="279"/>
      <c r="EI130" s="279"/>
      <c r="EJ130" s="366"/>
      <c r="EK130" s="366"/>
      <c r="EL130" s="366"/>
      <c r="EM130" s="280"/>
      <c r="EN130" s="279"/>
      <c r="EO130" s="265" t="e">
        <f t="shared" si="720"/>
        <v>#DIV/0!</v>
      </c>
      <c r="EP130" s="323"/>
      <c r="EQ130" s="323"/>
      <c r="ER130" s="323"/>
      <c r="ES130" s="358"/>
      <c r="ET130" s="358"/>
      <c r="EU130" s="323"/>
      <c r="EV130" s="323"/>
      <c r="EW130" s="323"/>
      <c r="EX130" s="358"/>
      <c r="EY130" s="358"/>
      <c r="EZ130" s="358"/>
      <c r="FA130" s="323"/>
      <c r="FB130" s="323">
        <f t="shared" si="337"/>
        <v>0</v>
      </c>
      <c r="FC130" s="279"/>
      <c r="FD130" s="279"/>
      <c r="FE130" s="279"/>
      <c r="FF130" s="366"/>
      <c r="FG130" s="366"/>
      <c r="FH130" s="279"/>
      <c r="FI130" s="279"/>
      <c r="FJ130" s="279"/>
      <c r="FK130" s="366"/>
      <c r="FL130" s="366"/>
      <c r="FM130" s="366"/>
      <c r="FN130" s="280"/>
      <c r="FO130" s="279"/>
    </row>
    <row r="131" spans="2:171" s="40" customFormat="1" ht="16.149999999999999" customHeight="1" x14ac:dyDescent="0.25">
      <c r="B131" s="32"/>
      <c r="C131" s="33">
        <v>1</v>
      </c>
      <c r="D131" s="33"/>
      <c r="E131" s="434">
        <v>109</v>
      </c>
      <c r="F131" s="32"/>
      <c r="G131" s="33">
        <v>1</v>
      </c>
      <c r="H131" s="33">
        <v>1</v>
      </c>
      <c r="I131" s="676" t="s">
        <v>25</v>
      </c>
      <c r="J131" s="677"/>
      <c r="K131" s="677"/>
      <c r="L131" s="159">
        <f>L41+L44+L47+L117+L120+L123+L127+L130</f>
        <v>22909.91114</v>
      </c>
      <c r="M131" s="434">
        <v>106</v>
      </c>
      <c r="N131" s="435" t="s">
        <v>50</v>
      </c>
      <c r="O131" s="435"/>
      <c r="P131" s="24">
        <f t="shared" si="334"/>
        <v>0</v>
      </c>
      <c r="Q131" s="435" t="s">
        <v>544</v>
      </c>
      <c r="R131" s="435" t="s">
        <v>488</v>
      </c>
      <c r="S131" s="435" t="s">
        <v>491</v>
      </c>
      <c r="T131" s="435" t="s">
        <v>488</v>
      </c>
      <c r="U131" s="161">
        <v>1</v>
      </c>
      <c r="V131" s="161">
        <v>3</v>
      </c>
      <c r="W131" s="459">
        <f t="shared" si="697"/>
        <v>3196</v>
      </c>
      <c r="X131" s="459"/>
      <c r="Y131" s="460">
        <v>3196</v>
      </c>
      <c r="Z131" s="459"/>
      <c r="AA131" s="461"/>
      <c r="AB131" s="459">
        <f t="shared" si="698"/>
        <v>1837.7</v>
      </c>
      <c r="AC131" s="459"/>
      <c r="AD131" s="460">
        <v>1837.7</v>
      </c>
      <c r="AE131" s="459"/>
      <c r="AF131" s="461"/>
      <c r="AG131" s="459">
        <f t="shared" si="699"/>
        <v>1837.7</v>
      </c>
      <c r="AH131" s="459"/>
      <c r="AI131" s="460">
        <v>1837.7</v>
      </c>
      <c r="AJ131" s="459"/>
      <c r="AK131" s="461"/>
      <c r="AL131" s="459">
        <f t="shared" si="700"/>
        <v>799</v>
      </c>
      <c r="AM131" s="459"/>
      <c r="AN131" s="460">
        <v>799</v>
      </c>
      <c r="AO131" s="459"/>
      <c r="AP131" s="461"/>
      <c r="AQ131" s="398" t="s">
        <v>550</v>
      </c>
      <c r="AR131" s="459">
        <f t="shared" si="701"/>
        <v>3193.1235999999999</v>
      </c>
      <c r="AS131" s="459"/>
      <c r="AT131" s="462">
        <f>3196-2.8764</f>
        <v>3193.1235999999999</v>
      </c>
      <c r="AU131" s="459"/>
      <c r="AV131" s="459"/>
      <c r="AW131" s="459" t="e">
        <f t="shared" si="702"/>
        <v>#REF!</v>
      </c>
      <c r="AX131" s="459" t="e">
        <f>#REF!-AS131</f>
        <v>#REF!</v>
      </c>
      <c r="AY131" s="459" t="e">
        <f>#REF!-AT131</f>
        <v>#REF!</v>
      </c>
      <c r="AZ131" s="459" t="e">
        <f>#REF!-AU131</f>
        <v>#REF!</v>
      </c>
      <c r="BA131" s="459" t="e">
        <f>#REF!-AV131</f>
        <v>#REF!</v>
      </c>
      <c r="BB131" s="459">
        <f t="shared" si="703"/>
        <v>1837.7</v>
      </c>
      <c r="BC131" s="459"/>
      <c r="BD131" s="460">
        <v>1837.7</v>
      </c>
      <c r="BE131" s="459"/>
      <c r="BF131" s="459"/>
      <c r="BG131" s="459">
        <f t="shared" si="704"/>
        <v>0</v>
      </c>
      <c r="BH131" s="459"/>
      <c r="BI131" s="459"/>
      <c r="BJ131" s="459"/>
      <c r="BK131" s="459"/>
      <c r="BL131" s="459">
        <f>BM131+BN131+BO131+BP131</f>
        <v>3193.1235999999999</v>
      </c>
      <c r="BM131" s="459"/>
      <c r="BN131" s="460">
        <f>2620.72+572.4036</f>
        <v>3193.1235999999999</v>
      </c>
      <c r="BO131" s="459"/>
      <c r="BP131" s="459"/>
      <c r="BQ131" s="459">
        <f t="shared" si="706"/>
        <v>3193.1235999999999</v>
      </c>
      <c r="BR131" s="459"/>
      <c r="BS131" s="460">
        <f>2620.72+572.4036</f>
        <v>3193.1235999999999</v>
      </c>
      <c r="BT131" s="459"/>
      <c r="BU131" s="459"/>
      <c r="BV131" s="459">
        <f t="shared" si="707"/>
        <v>355.67959999999999</v>
      </c>
      <c r="BW131" s="459"/>
      <c r="BX131" s="459">
        <f>291.92+63.7596</f>
        <v>355.67959999999999</v>
      </c>
      <c r="BY131" s="459"/>
      <c r="BZ131" s="459"/>
      <c r="CA131" s="464">
        <f t="shared" si="708"/>
        <v>3548.8031999999998</v>
      </c>
      <c r="CB131" s="459">
        <f t="shared" si="709"/>
        <v>3548.8031999999998</v>
      </c>
      <c r="CC131" s="459">
        <f t="shared" si="710"/>
        <v>0</v>
      </c>
      <c r="CD131" s="459">
        <f t="shared" si="710"/>
        <v>3548.8031999999998</v>
      </c>
      <c r="CE131" s="459">
        <f t="shared" si="710"/>
        <v>0</v>
      </c>
      <c r="CF131" s="459">
        <f t="shared" si="710"/>
        <v>0</v>
      </c>
      <c r="CG131" s="459">
        <f t="shared" si="711"/>
        <v>0</v>
      </c>
      <c r="CH131" s="459">
        <f t="shared" si="712"/>
        <v>0</v>
      </c>
      <c r="CI131" s="459">
        <f t="shared" si="712"/>
        <v>0</v>
      </c>
      <c r="CJ131" s="459">
        <f t="shared" si="712"/>
        <v>0</v>
      </c>
      <c r="CK131" s="459">
        <f t="shared" si="712"/>
        <v>0</v>
      </c>
      <c r="CL131" s="465"/>
      <c r="CM131" s="559">
        <f>BB131+BB133</f>
        <v>5937.7</v>
      </c>
      <c r="CN131" s="559">
        <f>CM131-BG133</f>
        <v>5937.7</v>
      </c>
      <c r="CO131" s="459">
        <f t="shared" si="713"/>
        <v>0</v>
      </c>
      <c r="CP131" s="459"/>
      <c r="CQ131" s="459"/>
      <c r="CR131" s="459"/>
      <c r="CS131" s="459"/>
      <c r="CT131" s="459">
        <f t="shared" si="714"/>
        <v>0</v>
      </c>
      <c r="CU131" s="459"/>
      <c r="CV131" s="459"/>
      <c r="CW131" s="459"/>
      <c r="CX131" s="459"/>
      <c r="CY131" s="459">
        <f t="shared" si="715"/>
        <v>0</v>
      </c>
      <c r="CZ131" s="459">
        <f t="shared" si="716"/>
        <v>0</v>
      </c>
      <c r="DA131" s="459">
        <f t="shared" si="716"/>
        <v>0</v>
      </c>
      <c r="DB131" s="459">
        <f t="shared" si="716"/>
        <v>0</v>
      </c>
      <c r="DC131" s="459">
        <f t="shared" si="716"/>
        <v>0</v>
      </c>
      <c r="DD131" s="459"/>
      <c r="DE131" s="459"/>
      <c r="DF131" s="459"/>
      <c r="DG131" s="459">
        <f t="shared" si="717"/>
        <v>0</v>
      </c>
      <c r="DH131" s="467"/>
      <c r="DI131" s="459">
        <f t="shared" si="718"/>
        <v>3193.1235999999999</v>
      </c>
      <c r="DJ131" s="459">
        <f t="shared" si="719"/>
        <v>3193.1235999999999</v>
      </c>
      <c r="DK131" s="467"/>
      <c r="DL131" s="560">
        <f>DJ131+DJ133</f>
        <v>3193.1235999999999</v>
      </c>
      <c r="DM131" s="560">
        <f>DG131+DG133</f>
        <v>0</v>
      </c>
      <c r="DN131" s="467"/>
      <c r="DO131" s="459">
        <f>CN131-DL131</f>
        <v>2744.5763999999999</v>
      </c>
      <c r="DP131" s="467"/>
      <c r="DQ131" s="467"/>
      <c r="DR131" s="459">
        <f t="shared" si="322"/>
        <v>3193.1235999999999</v>
      </c>
      <c r="DS131" s="459"/>
      <c r="DT131" s="460">
        <f>2620.72+572.4036</f>
        <v>3193.1235999999999</v>
      </c>
      <c r="DU131" s="459"/>
      <c r="DV131" s="459"/>
      <c r="DW131" s="459">
        <f t="shared" si="323"/>
        <v>355.67959999999999</v>
      </c>
      <c r="DX131" s="459"/>
      <c r="DY131" s="459">
        <f>291.92+63.7596</f>
        <v>355.67959999999999</v>
      </c>
      <c r="DZ131" s="459"/>
      <c r="EA131" s="146"/>
      <c r="EB131" s="279"/>
      <c r="EC131" s="279"/>
      <c r="ED131" s="279"/>
      <c r="EE131" s="366"/>
      <c r="EF131" s="366"/>
      <c r="EG131" s="279"/>
      <c r="EH131" s="279"/>
      <c r="EI131" s="279"/>
      <c r="EJ131" s="366"/>
      <c r="EK131" s="366"/>
      <c r="EL131" s="366">
        <v>1.8599999999999998E-2</v>
      </c>
      <c r="EM131" s="280"/>
      <c r="EN131" s="279"/>
      <c r="EO131" s="265" t="e">
        <f t="shared" si="720"/>
        <v>#DIV/0!</v>
      </c>
      <c r="EP131" s="323">
        <f t="shared" si="335"/>
        <v>3548.8031999999998</v>
      </c>
      <c r="EQ131" s="323">
        <v>3193.1235999999999</v>
      </c>
      <c r="ER131" s="323">
        <v>355.67959999999999</v>
      </c>
      <c r="ES131" s="358">
        <f t="shared" ref="ES131:ES136" si="721">EQ131/EP131</f>
        <v>0.89977477477477474</v>
      </c>
      <c r="ET131" s="358">
        <f t="shared" ref="ET131:ET136" si="722">ER131/EP131</f>
        <v>0.10022522522522523</v>
      </c>
      <c r="EU131" s="323">
        <f t="shared" si="336"/>
        <v>3548.8031999999998</v>
      </c>
      <c r="EV131" s="323">
        <f t="shared" ref="EV131:EV136" si="723">DT131</f>
        <v>3193.1235999999999</v>
      </c>
      <c r="EW131" s="323">
        <f t="shared" ref="EW131:EW136" si="724">DY131</f>
        <v>355.67959999999999</v>
      </c>
      <c r="EX131" s="358">
        <f t="shared" ref="EX131:EX136" si="725">EV131/EU131</f>
        <v>0.89977477477477474</v>
      </c>
      <c r="EY131" s="358">
        <f t="shared" ref="EY131:EY136" si="726">EW131/EU131</f>
        <v>0.10022522522522523</v>
      </c>
      <c r="EZ131" s="358">
        <v>6.1899999999999997E-2</v>
      </c>
      <c r="FA131" s="323">
        <f t="shared" ref="FA131:FA136" si="727">EU131*ES131</f>
        <v>3193.1235999999999</v>
      </c>
      <c r="FB131" s="323">
        <f t="shared" si="337"/>
        <v>0</v>
      </c>
      <c r="FC131" s="279"/>
      <c r="FD131" s="279"/>
      <c r="FE131" s="279"/>
      <c r="FF131" s="366"/>
      <c r="FG131" s="366"/>
      <c r="FH131" s="279"/>
      <c r="FI131" s="279"/>
      <c r="FJ131" s="279"/>
      <c r="FK131" s="366"/>
      <c r="FL131" s="366"/>
      <c r="FM131" s="366">
        <v>6.1899999999999997E-2</v>
      </c>
      <c r="FN131" s="280"/>
      <c r="FO131" s="279"/>
    </row>
    <row r="132" spans="2:171" s="40" customFormat="1" ht="16.149999999999999" customHeight="1" x14ac:dyDescent="0.25">
      <c r="B132" s="32"/>
      <c r="C132" s="33"/>
      <c r="D132" s="33">
        <v>1</v>
      </c>
      <c r="E132" s="434">
        <v>110</v>
      </c>
      <c r="F132" s="32"/>
      <c r="G132" s="33"/>
      <c r="H132" s="33"/>
      <c r="I132" s="676" t="s">
        <v>282</v>
      </c>
      <c r="J132" s="677"/>
      <c r="K132" s="677"/>
      <c r="L132" s="677"/>
      <c r="M132" s="434">
        <v>107</v>
      </c>
      <c r="N132" s="435" t="s">
        <v>227</v>
      </c>
      <c r="O132" s="435"/>
      <c r="P132" s="24">
        <f t="shared" si="334"/>
        <v>0</v>
      </c>
      <c r="Q132" s="435"/>
      <c r="R132" s="435"/>
      <c r="S132" s="435"/>
      <c r="T132" s="435"/>
      <c r="U132" s="161"/>
      <c r="V132" s="434"/>
      <c r="W132" s="459">
        <f t="shared" si="697"/>
        <v>0</v>
      </c>
      <c r="X132" s="460"/>
      <c r="Y132" s="459">
        <v>0</v>
      </c>
      <c r="Z132" s="461"/>
      <c r="AA132" s="461"/>
      <c r="AB132" s="459">
        <f t="shared" si="698"/>
        <v>770.5</v>
      </c>
      <c r="AC132" s="460"/>
      <c r="AD132" s="459">
        <v>770.5</v>
      </c>
      <c r="AE132" s="461"/>
      <c r="AF132" s="461"/>
      <c r="AG132" s="459">
        <f t="shared" si="699"/>
        <v>770.5</v>
      </c>
      <c r="AH132" s="460"/>
      <c r="AI132" s="459">
        <v>770.5</v>
      </c>
      <c r="AJ132" s="461"/>
      <c r="AK132" s="461"/>
      <c r="AL132" s="459">
        <f t="shared" si="700"/>
        <v>335</v>
      </c>
      <c r="AM132" s="460"/>
      <c r="AN132" s="459">
        <v>335</v>
      </c>
      <c r="AO132" s="461"/>
      <c r="AP132" s="461"/>
      <c r="AQ132" s="398"/>
      <c r="AR132" s="459">
        <f t="shared" si="701"/>
        <v>0</v>
      </c>
      <c r="AS132" s="459"/>
      <c r="AT132" s="469"/>
      <c r="AU132" s="459"/>
      <c r="AV132" s="459"/>
      <c r="AW132" s="459" t="e">
        <f t="shared" si="702"/>
        <v>#REF!</v>
      </c>
      <c r="AX132" s="459" t="e">
        <f>#REF!-AS132</f>
        <v>#REF!</v>
      </c>
      <c r="AY132" s="459" t="e">
        <f>#REF!-AT132</f>
        <v>#REF!</v>
      </c>
      <c r="AZ132" s="459" t="e">
        <f>#REF!-AU132</f>
        <v>#REF!</v>
      </c>
      <c r="BA132" s="459" t="e">
        <f>#REF!-AV132</f>
        <v>#REF!</v>
      </c>
      <c r="BB132" s="459">
        <f t="shared" si="703"/>
        <v>770.5</v>
      </c>
      <c r="BC132" s="459"/>
      <c r="BD132" s="459">
        <f>335+435.5</f>
        <v>770.5</v>
      </c>
      <c r="BE132" s="459"/>
      <c r="BF132" s="459"/>
      <c r="BG132" s="459">
        <f t="shared" si="704"/>
        <v>0</v>
      </c>
      <c r="BH132" s="459"/>
      <c r="BI132" s="459"/>
      <c r="BJ132" s="459"/>
      <c r="BK132" s="459"/>
      <c r="BL132" s="459">
        <f t="shared" si="705"/>
        <v>0</v>
      </c>
      <c r="BM132" s="459"/>
      <c r="BN132" s="459"/>
      <c r="BO132" s="459"/>
      <c r="BP132" s="459"/>
      <c r="BQ132" s="459">
        <f t="shared" si="706"/>
        <v>0</v>
      </c>
      <c r="BR132" s="459"/>
      <c r="BS132" s="459"/>
      <c r="BT132" s="459"/>
      <c r="BU132" s="459"/>
      <c r="BV132" s="459">
        <f t="shared" si="707"/>
        <v>0</v>
      </c>
      <c r="BW132" s="459"/>
      <c r="BX132" s="459"/>
      <c r="BY132" s="459"/>
      <c r="BZ132" s="459"/>
      <c r="CA132" s="464">
        <f t="shared" si="708"/>
        <v>0</v>
      </c>
      <c r="CB132" s="459">
        <f t="shared" si="709"/>
        <v>0</v>
      </c>
      <c r="CC132" s="459">
        <f t="shared" si="710"/>
        <v>0</v>
      </c>
      <c r="CD132" s="459">
        <f t="shared" si="710"/>
        <v>0</v>
      </c>
      <c r="CE132" s="459">
        <f t="shared" si="710"/>
        <v>0</v>
      </c>
      <c r="CF132" s="459">
        <f t="shared" si="710"/>
        <v>0</v>
      </c>
      <c r="CG132" s="459">
        <f t="shared" si="711"/>
        <v>0</v>
      </c>
      <c r="CH132" s="459">
        <f t="shared" si="712"/>
        <v>0</v>
      </c>
      <c r="CI132" s="459">
        <f t="shared" si="712"/>
        <v>0</v>
      </c>
      <c r="CJ132" s="459">
        <f t="shared" si="712"/>
        <v>0</v>
      </c>
      <c r="CK132" s="459">
        <f t="shared" si="712"/>
        <v>0</v>
      </c>
      <c r="CL132" s="465"/>
      <c r="CM132" s="466">
        <f>BB128-CM129-CM131</f>
        <v>3187.8</v>
      </c>
      <c r="CN132" s="466">
        <f>CM132-BG135</f>
        <v>3187.8</v>
      </c>
      <c r="CO132" s="459">
        <f t="shared" si="713"/>
        <v>0</v>
      </c>
      <c r="CP132" s="459"/>
      <c r="CQ132" s="459"/>
      <c r="CR132" s="459"/>
      <c r="CS132" s="459"/>
      <c r="CT132" s="459">
        <f t="shared" si="714"/>
        <v>0</v>
      </c>
      <c r="CU132" s="459"/>
      <c r="CV132" s="459"/>
      <c r="CW132" s="459"/>
      <c r="CX132" s="459"/>
      <c r="CY132" s="459">
        <f t="shared" si="715"/>
        <v>0</v>
      </c>
      <c r="CZ132" s="459">
        <f t="shared" si="716"/>
        <v>0</v>
      </c>
      <c r="DA132" s="459">
        <f t="shared" si="716"/>
        <v>0</v>
      </c>
      <c r="DB132" s="459">
        <f t="shared" si="716"/>
        <v>0</v>
      </c>
      <c r="DC132" s="459">
        <f t="shared" si="716"/>
        <v>0</v>
      </c>
      <c r="DD132" s="459"/>
      <c r="DE132" s="459"/>
      <c r="DF132" s="459"/>
      <c r="DG132" s="459">
        <f t="shared" si="717"/>
        <v>0</v>
      </c>
      <c r="DH132" s="467"/>
      <c r="DI132" s="459">
        <f t="shared" si="718"/>
        <v>0</v>
      </c>
      <c r="DJ132" s="459">
        <f t="shared" si="719"/>
        <v>0</v>
      </c>
      <c r="DK132" s="467"/>
      <c r="DL132" s="459">
        <f>DJ132+DJ134+DJ135+DJ136</f>
        <v>1800</v>
      </c>
      <c r="DM132" s="459">
        <f>DG132+DG134+DG135+DG136</f>
        <v>0</v>
      </c>
      <c r="DN132" s="467"/>
      <c r="DO132" s="459">
        <f>CN132-DL132</f>
        <v>1387.8000000000002</v>
      </c>
      <c r="DP132" s="467"/>
      <c r="DQ132" s="467"/>
      <c r="DR132" s="459">
        <f t="shared" si="322"/>
        <v>0</v>
      </c>
      <c r="DS132" s="459"/>
      <c r="DT132" s="459"/>
      <c r="DU132" s="459"/>
      <c r="DV132" s="459"/>
      <c r="DW132" s="459">
        <f t="shared" si="323"/>
        <v>0</v>
      </c>
      <c r="DX132" s="459"/>
      <c r="DY132" s="459"/>
      <c r="DZ132" s="459"/>
      <c r="EA132" s="146"/>
      <c r="EB132" s="279"/>
      <c r="EC132" s="279"/>
      <c r="ED132" s="279"/>
      <c r="EE132" s="366"/>
      <c r="EF132" s="366"/>
      <c r="EG132" s="279"/>
      <c r="EH132" s="279"/>
      <c r="EI132" s="279"/>
      <c r="EJ132" s="366"/>
      <c r="EK132" s="366"/>
      <c r="EL132" s="366">
        <v>2.3599999999999999E-2</v>
      </c>
      <c r="EM132" s="280"/>
      <c r="EN132" s="279"/>
      <c r="EO132" s="265" t="e">
        <f t="shared" si="720"/>
        <v>#DIV/0!</v>
      </c>
      <c r="EP132" s="323">
        <f t="shared" si="335"/>
        <v>0</v>
      </c>
      <c r="EQ132" s="323">
        <f t="shared" si="349"/>
        <v>0</v>
      </c>
      <c r="ER132" s="323"/>
      <c r="ES132" s="358"/>
      <c r="ET132" s="358"/>
      <c r="EU132" s="323">
        <f t="shared" si="336"/>
        <v>0</v>
      </c>
      <c r="EV132" s="323">
        <f t="shared" si="723"/>
        <v>0</v>
      </c>
      <c r="EW132" s="323">
        <f t="shared" si="724"/>
        <v>0</v>
      </c>
      <c r="EX132" s="358"/>
      <c r="EY132" s="358"/>
      <c r="EZ132" s="358">
        <v>7.8700000000000006E-2</v>
      </c>
      <c r="FA132" s="323">
        <f t="shared" si="727"/>
        <v>0</v>
      </c>
      <c r="FB132" s="323">
        <f t="shared" si="337"/>
        <v>0</v>
      </c>
      <c r="FC132" s="279"/>
      <c r="FD132" s="279"/>
      <c r="FE132" s="279"/>
      <c r="FF132" s="366"/>
      <c r="FG132" s="366"/>
      <c r="FH132" s="279"/>
      <c r="FI132" s="279"/>
      <c r="FJ132" s="279"/>
      <c r="FK132" s="366"/>
      <c r="FL132" s="366"/>
      <c r="FM132" s="366">
        <v>7.8700000000000006E-2</v>
      </c>
      <c r="FN132" s="280"/>
      <c r="FO132" s="279"/>
    </row>
    <row r="133" spans="2:171" s="40" customFormat="1" ht="16.149999999999999" customHeight="1" x14ac:dyDescent="0.25">
      <c r="B133" s="32"/>
      <c r="C133" s="33">
        <v>1</v>
      </c>
      <c r="D133" s="33"/>
      <c r="E133" s="434">
        <v>111</v>
      </c>
      <c r="F133" s="32"/>
      <c r="G133" s="33"/>
      <c r="H133" s="33">
        <v>1</v>
      </c>
      <c r="I133" s="678" t="s">
        <v>283</v>
      </c>
      <c r="J133" s="678"/>
      <c r="K133" s="678"/>
      <c r="L133" s="159">
        <f>L127</f>
        <v>14834.91114</v>
      </c>
      <c r="M133" s="434">
        <v>108</v>
      </c>
      <c r="N133" s="435" t="s">
        <v>226</v>
      </c>
      <c r="O133" s="435"/>
      <c r="P133" s="24">
        <f t="shared" si="334"/>
        <v>0</v>
      </c>
      <c r="Q133" s="435"/>
      <c r="R133" s="435"/>
      <c r="S133" s="435"/>
      <c r="T133" s="435"/>
      <c r="U133" s="161"/>
      <c r="V133" s="434"/>
      <c r="W133" s="459">
        <f t="shared" si="697"/>
        <v>0</v>
      </c>
      <c r="X133" s="459"/>
      <c r="Y133" s="460">
        <v>0</v>
      </c>
      <c r="Z133" s="459"/>
      <c r="AA133" s="464"/>
      <c r="AB133" s="459">
        <f t="shared" si="698"/>
        <v>4100</v>
      </c>
      <c r="AC133" s="459"/>
      <c r="AD133" s="460">
        <v>0</v>
      </c>
      <c r="AE133" s="459">
        <v>4100</v>
      </c>
      <c r="AF133" s="464"/>
      <c r="AG133" s="459">
        <f t="shared" si="699"/>
        <v>4100</v>
      </c>
      <c r="AH133" s="459"/>
      <c r="AI133" s="460">
        <v>0</v>
      </c>
      <c r="AJ133" s="459">
        <v>4100</v>
      </c>
      <c r="AK133" s="464"/>
      <c r="AL133" s="459">
        <f t="shared" si="700"/>
        <v>4497</v>
      </c>
      <c r="AM133" s="459"/>
      <c r="AN133" s="460">
        <v>397</v>
      </c>
      <c r="AO133" s="459">
        <v>4100</v>
      </c>
      <c r="AP133" s="459"/>
      <c r="AQ133" s="383"/>
      <c r="AR133" s="459">
        <f t="shared" si="701"/>
        <v>0</v>
      </c>
      <c r="AS133" s="459"/>
      <c r="AT133" s="462"/>
      <c r="AU133" s="459"/>
      <c r="AV133" s="459"/>
      <c r="AW133" s="459" t="e">
        <f t="shared" si="702"/>
        <v>#REF!</v>
      </c>
      <c r="AX133" s="459" t="e">
        <f>#REF!-AS133</f>
        <v>#REF!</v>
      </c>
      <c r="AY133" s="459" t="e">
        <f>#REF!-AT133</f>
        <v>#REF!</v>
      </c>
      <c r="AZ133" s="459" t="e">
        <f>#REF!-AU133</f>
        <v>#REF!</v>
      </c>
      <c r="BA133" s="459" t="e">
        <f>#REF!-AV133</f>
        <v>#REF!</v>
      </c>
      <c r="BB133" s="459">
        <f t="shared" si="703"/>
        <v>4100</v>
      </c>
      <c r="BC133" s="459"/>
      <c r="BD133" s="460"/>
      <c r="BE133" s="459">
        <v>4100</v>
      </c>
      <c r="BF133" s="459"/>
      <c r="BG133" s="459">
        <f t="shared" si="704"/>
        <v>0</v>
      </c>
      <c r="BH133" s="459"/>
      <c r="BI133" s="459"/>
      <c r="BJ133" s="459"/>
      <c r="BK133" s="459"/>
      <c r="BL133" s="459">
        <f t="shared" si="705"/>
        <v>0</v>
      </c>
      <c r="BM133" s="459"/>
      <c r="BN133" s="470"/>
      <c r="BO133" s="459"/>
      <c r="BP133" s="459"/>
      <c r="BQ133" s="459">
        <f t="shared" si="706"/>
        <v>0</v>
      </c>
      <c r="BR133" s="459"/>
      <c r="BS133" s="470"/>
      <c r="BT133" s="459"/>
      <c r="BU133" s="459"/>
      <c r="BV133" s="459">
        <f t="shared" si="707"/>
        <v>0</v>
      </c>
      <c r="BW133" s="459"/>
      <c r="BX133" s="459"/>
      <c r="BY133" s="459"/>
      <c r="BZ133" s="459"/>
      <c r="CA133" s="464">
        <f t="shared" si="708"/>
        <v>0</v>
      </c>
      <c r="CB133" s="459">
        <f t="shared" si="709"/>
        <v>0</v>
      </c>
      <c r="CC133" s="459">
        <f t="shared" si="710"/>
        <v>0</v>
      </c>
      <c r="CD133" s="459">
        <f t="shared" si="710"/>
        <v>0</v>
      </c>
      <c r="CE133" s="459">
        <f t="shared" si="710"/>
        <v>0</v>
      </c>
      <c r="CF133" s="459">
        <f t="shared" si="710"/>
        <v>0</v>
      </c>
      <c r="CG133" s="459">
        <f t="shared" si="711"/>
        <v>0</v>
      </c>
      <c r="CH133" s="459">
        <f t="shared" si="712"/>
        <v>0</v>
      </c>
      <c r="CI133" s="459">
        <f t="shared" si="712"/>
        <v>0</v>
      </c>
      <c r="CJ133" s="459">
        <f t="shared" si="712"/>
        <v>0</v>
      </c>
      <c r="CK133" s="459">
        <f t="shared" si="712"/>
        <v>0</v>
      </c>
      <c r="CL133" s="465"/>
      <c r="CM133" s="466"/>
      <c r="CN133" s="466"/>
      <c r="CO133" s="459">
        <f t="shared" si="713"/>
        <v>0</v>
      </c>
      <c r="CP133" s="459"/>
      <c r="CQ133" s="459"/>
      <c r="CR133" s="459"/>
      <c r="CS133" s="459"/>
      <c r="CT133" s="459">
        <f t="shared" si="714"/>
        <v>0</v>
      </c>
      <c r="CU133" s="459"/>
      <c r="CV133" s="459"/>
      <c r="CW133" s="459"/>
      <c r="CX133" s="459"/>
      <c r="CY133" s="459">
        <f t="shared" si="715"/>
        <v>0</v>
      </c>
      <c r="CZ133" s="459">
        <f t="shared" si="716"/>
        <v>0</v>
      </c>
      <c r="DA133" s="459">
        <f t="shared" si="716"/>
        <v>0</v>
      </c>
      <c r="DB133" s="459">
        <f t="shared" si="716"/>
        <v>0</v>
      </c>
      <c r="DC133" s="459">
        <f t="shared" si="716"/>
        <v>0</v>
      </c>
      <c r="DD133" s="459"/>
      <c r="DE133" s="459"/>
      <c r="DF133" s="459"/>
      <c r="DG133" s="459">
        <f t="shared" si="717"/>
        <v>0</v>
      </c>
      <c r="DH133" s="467"/>
      <c r="DI133" s="459">
        <f t="shared" si="718"/>
        <v>0</v>
      </c>
      <c r="DJ133" s="459">
        <f t="shared" si="719"/>
        <v>0</v>
      </c>
      <c r="DK133" s="467"/>
      <c r="DL133" s="459"/>
      <c r="DM133" s="459"/>
      <c r="DN133" s="467"/>
      <c r="DO133" s="459"/>
      <c r="DP133" s="467"/>
      <c r="DQ133" s="467"/>
      <c r="DR133" s="459">
        <f t="shared" si="322"/>
        <v>0</v>
      </c>
      <c r="DS133" s="459"/>
      <c r="DT133" s="470"/>
      <c r="DU133" s="459"/>
      <c r="DV133" s="459"/>
      <c r="DW133" s="459">
        <f t="shared" si="323"/>
        <v>0</v>
      </c>
      <c r="DX133" s="459"/>
      <c r="DY133" s="459"/>
      <c r="DZ133" s="459"/>
      <c r="EA133" s="146"/>
      <c r="EB133" s="279"/>
      <c r="EC133" s="279"/>
      <c r="ED133" s="279"/>
      <c r="EE133" s="366"/>
      <c r="EF133" s="366"/>
      <c r="EG133" s="279"/>
      <c r="EH133" s="279"/>
      <c r="EI133" s="279"/>
      <c r="EJ133" s="366"/>
      <c r="EK133" s="366"/>
      <c r="EL133" s="366">
        <v>5.2699999999999997E-2</v>
      </c>
      <c r="EM133" s="280"/>
      <c r="EN133" s="279"/>
      <c r="EO133" s="265" t="e">
        <f t="shared" si="720"/>
        <v>#DIV/0!</v>
      </c>
      <c r="EP133" s="323">
        <f t="shared" si="335"/>
        <v>0</v>
      </c>
      <c r="EQ133" s="323">
        <f t="shared" si="349"/>
        <v>0</v>
      </c>
      <c r="ER133" s="323"/>
      <c r="ES133" s="358"/>
      <c r="ET133" s="358"/>
      <c r="EU133" s="323">
        <f t="shared" si="336"/>
        <v>0</v>
      </c>
      <c r="EV133" s="323">
        <f t="shared" si="723"/>
        <v>0</v>
      </c>
      <c r="EW133" s="323">
        <f t="shared" si="724"/>
        <v>0</v>
      </c>
      <c r="EX133" s="358"/>
      <c r="EY133" s="358"/>
      <c r="EZ133" s="358">
        <v>0.17549999999999999</v>
      </c>
      <c r="FA133" s="323">
        <f t="shared" si="727"/>
        <v>0</v>
      </c>
      <c r="FB133" s="323">
        <f t="shared" si="337"/>
        <v>0</v>
      </c>
      <c r="FC133" s="279">
        <f t="shared" ref="FC133" si="728">FD133+FE133</f>
        <v>0</v>
      </c>
      <c r="FD133" s="279">
        <f t="shared" si="350"/>
        <v>0</v>
      </c>
      <c r="FE133" s="279"/>
      <c r="FF133" s="366" t="e">
        <f t="shared" ref="FF133" si="729">FD133/FC133</f>
        <v>#DIV/0!</v>
      </c>
      <c r="FG133" s="366" t="e">
        <f t="shared" ref="FG133" si="730">FE133/FC133</f>
        <v>#DIV/0!</v>
      </c>
      <c r="FH133" s="279">
        <f t="shared" si="351"/>
        <v>0</v>
      </c>
      <c r="FI133" s="279">
        <f t="shared" si="446"/>
        <v>0</v>
      </c>
      <c r="FJ133" s="279">
        <f t="shared" si="447"/>
        <v>0</v>
      </c>
      <c r="FK133" s="366" t="e">
        <f t="shared" ref="FK133" si="731">FI133/FH133</f>
        <v>#DIV/0!</v>
      </c>
      <c r="FL133" s="366" t="e">
        <f t="shared" ref="FL133" si="732">FJ133/FH133</f>
        <v>#DIV/0!</v>
      </c>
      <c r="FM133" s="366">
        <v>0.17549999999999999</v>
      </c>
      <c r="FN133" s="280" t="e">
        <f t="shared" si="581"/>
        <v>#DIV/0!</v>
      </c>
      <c r="FO133" s="279" t="e">
        <f t="shared" si="352"/>
        <v>#DIV/0!</v>
      </c>
    </row>
    <row r="134" spans="2:171" s="40" customFormat="1" ht="16.149999999999999" customHeight="1" x14ac:dyDescent="0.25">
      <c r="B134" s="32"/>
      <c r="C134" s="33"/>
      <c r="D134" s="33">
        <v>1</v>
      </c>
      <c r="E134" s="434">
        <v>112</v>
      </c>
      <c r="F134" s="32"/>
      <c r="G134" s="33"/>
      <c r="H134" s="33">
        <v>1</v>
      </c>
      <c r="I134" s="678" t="s">
        <v>284</v>
      </c>
      <c r="J134" s="678"/>
      <c r="K134" s="678"/>
      <c r="L134" s="159">
        <f>L41+L44+L47+L117+L120+L123+L130</f>
        <v>8075</v>
      </c>
      <c r="M134" s="434">
        <v>109</v>
      </c>
      <c r="N134" s="435" t="s">
        <v>169</v>
      </c>
      <c r="O134" s="435"/>
      <c r="P134" s="24">
        <f t="shared" si="334"/>
        <v>0</v>
      </c>
      <c r="Q134" s="435"/>
      <c r="R134" s="435"/>
      <c r="S134" s="435"/>
      <c r="T134" s="435"/>
      <c r="U134" s="161"/>
      <c r="V134" s="434"/>
      <c r="W134" s="459">
        <f t="shared" si="697"/>
        <v>0</v>
      </c>
      <c r="X134" s="459"/>
      <c r="Y134" s="460">
        <v>0</v>
      </c>
      <c r="Z134" s="459"/>
      <c r="AA134" s="464"/>
      <c r="AB134" s="459">
        <f t="shared" si="698"/>
        <v>792.6</v>
      </c>
      <c r="AC134" s="459"/>
      <c r="AD134" s="460">
        <v>792.6</v>
      </c>
      <c r="AE134" s="459"/>
      <c r="AF134" s="464"/>
      <c r="AG134" s="459">
        <f t="shared" si="699"/>
        <v>792.6</v>
      </c>
      <c r="AH134" s="459"/>
      <c r="AI134" s="460">
        <v>792.6</v>
      </c>
      <c r="AJ134" s="459"/>
      <c r="AK134" s="464"/>
      <c r="AL134" s="459">
        <f t="shared" si="700"/>
        <v>172</v>
      </c>
      <c r="AM134" s="459"/>
      <c r="AN134" s="460">
        <v>172</v>
      </c>
      <c r="AO134" s="459"/>
      <c r="AP134" s="459"/>
      <c r="AQ134" s="383"/>
      <c r="AR134" s="459">
        <f t="shared" si="701"/>
        <v>0</v>
      </c>
      <c r="AS134" s="459"/>
      <c r="AT134" s="462"/>
      <c r="AU134" s="459"/>
      <c r="AV134" s="459"/>
      <c r="AW134" s="459" t="e">
        <f t="shared" si="702"/>
        <v>#REF!</v>
      </c>
      <c r="AX134" s="459" t="e">
        <f>#REF!-AS134</f>
        <v>#REF!</v>
      </c>
      <c r="AY134" s="459" t="e">
        <f>#REF!-AT134</f>
        <v>#REF!</v>
      </c>
      <c r="AZ134" s="459" t="e">
        <f>#REF!-AU134</f>
        <v>#REF!</v>
      </c>
      <c r="BA134" s="459" t="e">
        <f>#REF!-AV134</f>
        <v>#REF!</v>
      </c>
      <c r="BB134" s="459">
        <f t="shared" si="703"/>
        <v>792.6</v>
      </c>
      <c r="BC134" s="459"/>
      <c r="BD134" s="460">
        <f>172+620.6</f>
        <v>792.6</v>
      </c>
      <c r="BE134" s="459"/>
      <c r="BF134" s="459"/>
      <c r="BG134" s="459">
        <f t="shared" si="704"/>
        <v>0</v>
      </c>
      <c r="BH134" s="459"/>
      <c r="BI134" s="461"/>
      <c r="BJ134" s="459"/>
      <c r="BK134" s="459"/>
      <c r="BL134" s="459">
        <f t="shared" si="705"/>
        <v>0</v>
      </c>
      <c r="BM134" s="459"/>
      <c r="BN134" s="460"/>
      <c r="BO134" s="459"/>
      <c r="BP134" s="459"/>
      <c r="BQ134" s="459">
        <f t="shared" si="706"/>
        <v>0</v>
      </c>
      <c r="BR134" s="459"/>
      <c r="BS134" s="460"/>
      <c r="BT134" s="459"/>
      <c r="BU134" s="459"/>
      <c r="BV134" s="459">
        <f t="shared" si="707"/>
        <v>0</v>
      </c>
      <c r="BW134" s="459"/>
      <c r="BX134" s="459"/>
      <c r="BY134" s="459"/>
      <c r="BZ134" s="459"/>
      <c r="CA134" s="464">
        <f t="shared" si="708"/>
        <v>0</v>
      </c>
      <c r="CB134" s="459">
        <f t="shared" si="709"/>
        <v>0</v>
      </c>
      <c r="CC134" s="459">
        <f t="shared" si="710"/>
        <v>0</v>
      </c>
      <c r="CD134" s="459">
        <f t="shared" si="710"/>
        <v>0</v>
      </c>
      <c r="CE134" s="459">
        <f t="shared" si="710"/>
        <v>0</v>
      </c>
      <c r="CF134" s="459">
        <f t="shared" si="710"/>
        <v>0</v>
      </c>
      <c r="CG134" s="459">
        <f t="shared" si="711"/>
        <v>0</v>
      </c>
      <c r="CH134" s="459">
        <f t="shared" si="712"/>
        <v>0</v>
      </c>
      <c r="CI134" s="459">
        <f t="shared" si="712"/>
        <v>0</v>
      </c>
      <c r="CJ134" s="459">
        <f t="shared" si="712"/>
        <v>0</v>
      </c>
      <c r="CK134" s="459">
        <f t="shared" si="712"/>
        <v>0</v>
      </c>
      <c r="CL134" s="465"/>
      <c r="CM134" s="466"/>
      <c r="CN134" s="466"/>
      <c r="CO134" s="459">
        <f t="shared" si="713"/>
        <v>0</v>
      </c>
      <c r="CP134" s="459"/>
      <c r="CQ134" s="461"/>
      <c r="CR134" s="459"/>
      <c r="CS134" s="459"/>
      <c r="CT134" s="459">
        <f t="shared" si="714"/>
        <v>0</v>
      </c>
      <c r="CU134" s="459"/>
      <c r="CV134" s="461"/>
      <c r="CW134" s="459"/>
      <c r="CX134" s="459"/>
      <c r="CY134" s="459">
        <f t="shared" si="715"/>
        <v>0</v>
      </c>
      <c r="CZ134" s="459">
        <f t="shared" si="716"/>
        <v>0</v>
      </c>
      <c r="DA134" s="459">
        <f t="shared" si="716"/>
        <v>0</v>
      </c>
      <c r="DB134" s="459">
        <f t="shared" si="716"/>
        <v>0</v>
      </c>
      <c r="DC134" s="459">
        <f t="shared" si="716"/>
        <v>0</v>
      </c>
      <c r="DD134" s="459"/>
      <c r="DE134" s="459"/>
      <c r="DF134" s="459"/>
      <c r="DG134" s="459">
        <f t="shared" si="717"/>
        <v>0</v>
      </c>
      <c r="DH134" s="467"/>
      <c r="DI134" s="459">
        <f t="shared" si="718"/>
        <v>0</v>
      </c>
      <c r="DJ134" s="459">
        <f t="shared" si="719"/>
        <v>0</v>
      </c>
      <c r="DK134" s="467"/>
      <c r="DL134" s="459"/>
      <c r="DM134" s="459"/>
      <c r="DN134" s="467"/>
      <c r="DO134" s="459"/>
      <c r="DP134" s="467"/>
      <c r="DQ134" s="467"/>
      <c r="DR134" s="459">
        <f t="shared" ref="DR134:DR197" si="733">DS134+DT134+DU134</f>
        <v>0</v>
      </c>
      <c r="DS134" s="459"/>
      <c r="DT134" s="460"/>
      <c r="DU134" s="459"/>
      <c r="DV134" s="459"/>
      <c r="DW134" s="459">
        <f t="shared" ref="DW134:DW197" si="734">DX134+DY134+DZ134</f>
        <v>0</v>
      </c>
      <c r="DX134" s="459"/>
      <c r="DY134" s="459"/>
      <c r="DZ134" s="459"/>
      <c r="EA134" s="146"/>
      <c r="EB134" s="279"/>
      <c r="EC134" s="279"/>
      <c r="ED134" s="279"/>
      <c r="EE134" s="366"/>
      <c r="EF134" s="366"/>
      <c r="EG134" s="279"/>
      <c r="EH134" s="279"/>
      <c r="EI134" s="279"/>
      <c r="EJ134" s="366"/>
      <c r="EK134" s="366"/>
      <c r="EL134" s="366">
        <v>4.3099999999999999E-2</v>
      </c>
      <c r="EM134" s="280"/>
      <c r="EN134" s="279"/>
      <c r="EO134" s="265" t="e">
        <f t="shared" si="720"/>
        <v>#DIV/0!</v>
      </c>
      <c r="EP134" s="323">
        <f t="shared" si="335"/>
        <v>0</v>
      </c>
      <c r="EQ134" s="323">
        <f t="shared" si="349"/>
        <v>0</v>
      </c>
      <c r="ER134" s="323"/>
      <c r="ES134" s="358"/>
      <c r="ET134" s="358"/>
      <c r="EU134" s="323">
        <f t="shared" si="336"/>
        <v>0</v>
      </c>
      <c r="EV134" s="323">
        <f t="shared" si="723"/>
        <v>0</v>
      </c>
      <c r="EW134" s="323">
        <f t="shared" si="724"/>
        <v>0</v>
      </c>
      <c r="EX134" s="358"/>
      <c r="EY134" s="358"/>
      <c r="EZ134" s="358">
        <v>0.14360000000000001</v>
      </c>
      <c r="FA134" s="323">
        <f t="shared" si="727"/>
        <v>0</v>
      </c>
      <c r="FB134" s="323">
        <f t="shared" si="337"/>
        <v>0</v>
      </c>
      <c r="FC134" s="279"/>
      <c r="FD134" s="279"/>
      <c r="FE134" s="279"/>
      <c r="FF134" s="366"/>
      <c r="FG134" s="366"/>
      <c r="FH134" s="279"/>
      <c r="FI134" s="279"/>
      <c r="FJ134" s="279"/>
      <c r="FK134" s="366"/>
      <c r="FL134" s="366"/>
      <c r="FM134" s="366">
        <v>0.14360000000000001</v>
      </c>
      <c r="FN134" s="280"/>
      <c r="FO134" s="279"/>
    </row>
    <row r="135" spans="2:171" s="40" customFormat="1" ht="16.149999999999999" customHeight="1" x14ac:dyDescent="0.25">
      <c r="B135" s="32"/>
      <c r="C135" s="33"/>
      <c r="D135" s="33">
        <v>1</v>
      </c>
      <c r="E135" s="434">
        <v>113</v>
      </c>
      <c r="F135" s="32"/>
      <c r="G135" s="33"/>
      <c r="H135" s="33">
        <v>1</v>
      </c>
      <c r="M135" s="434">
        <v>110</v>
      </c>
      <c r="N135" s="435" t="s">
        <v>111</v>
      </c>
      <c r="O135" s="435"/>
      <c r="P135" s="24">
        <f t="shared" si="334"/>
        <v>0</v>
      </c>
      <c r="Q135" s="435" t="s">
        <v>490</v>
      </c>
      <c r="R135" s="435" t="s">
        <v>488</v>
      </c>
      <c r="S135" s="435" t="s">
        <v>491</v>
      </c>
      <c r="T135" s="435" t="s">
        <v>488</v>
      </c>
      <c r="U135" s="161">
        <v>1</v>
      </c>
      <c r="V135" s="434">
        <v>1</v>
      </c>
      <c r="W135" s="459">
        <f t="shared" si="697"/>
        <v>1000</v>
      </c>
      <c r="X135" s="459"/>
      <c r="Y135" s="460">
        <v>1000</v>
      </c>
      <c r="Z135" s="459"/>
      <c r="AA135" s="464"/>
      <c r="AB135" s="459">
        <f t="shared" si="698"/>
        <v>1104.9000000000001</v>
      </c>
      <c r="AC135" s="459"/>
      <c r="AD135" s="460">
        <v>1104.9000000000001</v>
      </c>
      <c r="AE135" s="459"/>
      <c r="AF135" s="464"/>
      <c r="AG135" s="459">
        <f t="shared" si="699"/>
        <v>1104.9000000000001</v>
      </c>
      <c r="AH135" s="459"/>
      <c r="AI135" s="460">
        <v>1104.9000000000001</v>
      </c>
      <c r="AJ135" s="459"/>
      <c r="AK135" s="464"/>
      <c r="AL135" s="459">
        <f t="shared" si="700"/>
        <v>256</v>
      </c>
      <c r="AM135" s="459"/>
      <c r="AN135" s="460">
        <v>256</v>
      </c>
      <c r="AO135" s="459"/>
      <c r="AP135" s="459"/>
      <c r="AQ135" s="383" t="s">
        <v>446</v>
      </c>
      <c r="AR135" s="459">
        <f t="shared" si="701"/>
        <v>1000</v>
      </c>
      <c r="AS135" s="459"/>
      <c r="AT135" s="462">
        <v>1000</v>
      </c>
      <c r="AU135" s="459"/>
      <c r="AV135" s="459"/>
      <c r="AW135" s="459" t="e">
        <f t="shared" si="702"/>
        <v>#REF!</v>
      </c>
      <c r="AX135" s="459" t="e">
        <f>#REF!-AS135</f>
        <v>#REF!</v>
      </c>
      <c r="AY135" s="459" t="e">
        <f>#REF!-AT135</f>
        <v>#REF!</v>
      </c>
      <c r="AZ135" s="459" t="e">
        <f>#REF!-AU135</f>
        <v>#REF!</v>
      </c>
      <c r="BA135" s="459" t="e">
        <f>#REF!-AV135</f>
        <v>#REF!</v>
      </c>
      <c r="BB135" s="459">
        <f t="shared" si="703"/>
        <v>1104.9000000000001</v>
      </c>
      <c r="BC135" s="459"/>
      <c r="BD135" s="460">
        <f>256+848.9</f>
        <v>1104.9000000000001</v>
      </c>
      <c r="BE135" s="459"/>
      <c r="BF135" s="459"/>
      <c r="BG135" s="459">
        <f t="shared" si="704"/>
        <v>0</v>
      </c>
      <c r="BH135" s="459"/>
      <c r="BI135" s="459"/>
      <c r="BJ135" s="459"/>
      <c r="BK135" s="459"/>
      <c r="BL135" s="459">
        <f t="shared" si="705"/>
        <v>1000</v>
      </c>
      <c r="BM135" s="459"/>
      <c r="BN135" s="460">
        <f>789.68783+210.31217</f>
        <v>1000</v>
      </c>
      <c r="BO135" s="459"/>
      <c r="BP135" s="459"/>
      <c r="BQ135" s="459">
        <f t="shared" si="706"/>
        <v>1000</v>
      </c>
      <c r="BR135" s="459"/>
      <c r="BS135" s="460">
        <f>789.68783+210.31217</f>
        <v>1000</v>
      </c>
      <c r="BT135" s="459"/>
      <c r="BU135" s="459"/>
      <c r="BV135" s="459">
        <f t="shared" si="707"/>
        <v>81.314999999999998</v>
      </c>
      <c r="BW135" s="459"/>
      <c r="BX135" s="459">
        <f>64.21347+17.10153</f>
        <v>81.314999999999998</v>
      </c>
      <c r="BY135" s="459"/>
      <c r="BZ135" s="459"/>
      <c r="CA135" s="464">
        <f t="shared" si="708"/>
        <v>1081.3150000000001</v>
      </c>
      <c r="CB135" s="459">
        <f t="shared" si="709"/>
        <v>1081.3150000000001</v>
      </c>
      <c r="CC135" s="459">
        <f t="shared" si="710"/>
        <v>0</v>
      </c>
      <c r="CD135" s="459">
        <f t="shared" si="710"/>
        <v>1081.3150000000001</v>
      </c>
      <c r="CE135" s="459">
        <f t="shared" si="710"/>
        <v>0</v>
      </c>
      <c r="CF135" s="459">
        <f t="shared" si="710"/>
        <v>0</v>
      </c>
      <c r="CG135" s="459">
        <f t="shared" si="711"/>
        <v>0</v>
      </c>
      <c r="CH135" s="459">
        <f t="shared" si="712"/>
        <v>0</v>
      </c>
      <c r="CI135" s="459">
        <f t="shared" si="712"/>
        <v>0</v>
      </c>
      <c r="CJ135" s="459">
        <f t="shared" si="712"/>
        <v>0</v>
      </c>
      <c r="CK135" s="459">
        <f t="shared" si="712"/>
        <v>0</v>
      </c>
      <c r="CL135" s="465"/>
      <c r="CM135" s="466"/>
      <c r="CN135" s="466"/>
      <c r="CO135" s="459">
        <f t="shared" si="713"/>
        <v>0</v>
      </c>
      <c r="CP135" s="459"/>
      <c r="CQ135" s="459"/>
      <c r="CR135" s="459"/>
      <c r="CS135" s="459"/>
      <c r="CT135" s="459">
        <f t="shared" si="714"/>
        <v>0</v>
      </c>
      <c r="CU135" s="459"/>
      <c r="CV135" s="459"/>
      <c r="CW135" s="459"/>
      <c r="CX135" s="459"/>
      <c r="CY135" s="459">
        <f t="shared" si="715"/>
        <v>0</v>
      </c>
      <c r="CZ135" s="459">
        <f t="shared" si="716"/>
        <v>0</v>
      </c>
      <c r="DA135" s="459">
        <f t="shared" si="716"/>
        <v>0</v>
      </c>
      <c r="DB135" s="459">
        <f t="shared" si="716"/>
        <v>0</v>
      </c>
      <c r="DC135" s="459">
        <f t="shared" si="716"/>
        <v>0</v>
      </c>
      <c r="DD135" s="459"/>
      <c r="DE135" s="459"/>
      <c r="DF135" s="459"/>
      <c r="DG135" s="459">
        <f t="shared" si="717"/>
        <v>0</v>
      </c>
      <c r="DH135" s="467"/>
      <c r="DI135" s="459">
        <f t="shared" si="718"/>
        <v>1000</v>
      </c>
      <c r="DJ135" s="459">
        <f t="shared" si="719"/>
        <v>1000</v>
      </c>
      <c r="DK135" s="467"/>
      <c r="DL135" s="459"/>
      <c r="DM135" s="459"/>
      <c r="DN135" s="467"/>
      <c r="DO135" s="459"/>
      <c r="DP135" s="467"/>
      <c r="DQ135" s="467"/>
      <c r="DR135" s="459">
        <f t="shared" si="733"/>
        <v>1000</v>
      </c>
      <c r="DS135" s="459"/>
      <c r="DT135" s="460">
        <f>789.68783+210.31217</f>
        <v>1000</v>
      </c>
      <c r="DU135" s="459"/>
      <c r="DV135" s="459"/>
      <c r="DW135" s="459">
        <f t="shared" si="734"/>
        <v>81.314999999999998</v>
      </c>
      <c r="DX135" s="459"/>
      <c r="DY135" s="459">
        <f>64.21347+17.10153</f>
        <v>81.314999999999998</v>
      </c>
      <c r="DZ135" s="459"/>
      <c r="EA135" s="146"/>
      <c r="EB135" s="279"/>
      <c r="EC135" s="279"/>
      <c r="ED135" s="279"/>
      <c r="EE135" s="366"/>
      <c r="EF135" s="366"/>
      <c r="EG135" s="279"/>
      <c r="EH135" s="279"/>
      <c r="EI135" s="279"/>
      <c r="EJ135" s="366"/>
      <c r="EK135" s="366"/>
      <c r="EL135" s="366">
        <v>2.2499999999999999E-2</v>
      </c>
      <c r="EM135" s="280"/>
      <c r="EN135" s="279"/>
      <c r="EO135" s="265" t="e">
        <f t="shared" si="720"/>
        <v>#DIV/0!</v>
      </c>
      <c r="EP135" s="323">
        <f t="shared" si="335"/>
        <v>1081.3150000000001</v>
      </c>
      <c r="EQ135" s="323">
        <f t="shared" si="349"/>
        <v>1000</v>
      </c>
      <c r="ER135" s="323">
        <v>81.314999999999998</v>
      </c>
      <c r="ES135" s="358">
        <f t="shared" si="721"/>
        <v>0.92479989642241156</v>
      </c>
      <c r="ET135" s="358">
        <f t="shared" si="722"/>
        <v>7.5200103577588398E-2</v>
      </c>
      <c r="EU135" s="323">
        <f t="shared" si="336"/>
        <v>1081.3150000000001</v>
      </c>
      <c r="EV135" s="323">
        <f t="shared" si="723"/>
        <v>1000</v>
      </c>
      <c r="EW135" s="323">
        <f t="shared" si="724"/>
        <v>81.314999999999998</v>
      </c>
      <c r="EX135" s="358">
        <f t="shared" si="725"/>
        <v>0.92479989642241156</v>
      </c>
      <c r="EY135" s="358">
        <f t="shared" si="726"/>
        <v>7.5200103577588398E-2</v>
      </c>
      <c r="EZ135" s="358">
        <v>7.51E-2</v>
      </c>
      <c r="FA135" s="323">
        <f t="shared" si="727"/>
        <v>1000</v>
      </c>
      <c r="FB135" s="323">
        <f t="shared" si="337"/>
        <v>0</v>
      </c>
      <c r="FC135" s="279"/>
      <c r="FD135" s="279"/>
      <c r="FE135" s="279"/>
      <c r="FF135" s="366"/>
      <c r="FG135" s="366"/>
      <c r="FH135" s="279"/>
      <c r="FI135" s="279"/>
      <c r="FJ135" s="279"/>
      <c r="FK135" s="366"/>
      <c r="FL135" s="366"/>
      <c r="FM135" s="366">
        <v>7.51E-2</v>
      </c>
      <c r="FN135" s="280"/>
      <c r="FO135" s="279"/>
    </row>
    <row r="136" spans="2:171" s="40" customFormat="1" ht="16.149999999999999" customHeight="1" x14ac:dyDescent="0.25">
      <c r="B136" s="32"/>
      <c r="C136" s="33"/>
      <c r="D136" s="33">
        <v>1</v>
      </c>
      <c r="E136" s="434">
        <v>114</v>
      </c>
      <c r="F136" s="32"/>
      <c r="G136" s="33"/>
      <c r="H136" s="33"/>
      <c r="M136" s="434">
        <v>111</v>
      </c>
      <c r="N136" s="435" t="s">
        <v>225</v>
      </c>
      <c r="O136" s="435"/>
      <c r="P136" s="24">
        <f t="shared" ref="P136:P199" si="735">BL136-BQ136</f>
        <v>0</v>
      </c>
      <c r="Q136" s="435"/>
      <c r="R136" s="435"/>
      <c r="S136" s="435"/>
      <c r="T136" s="435"/>
      <c r="U136" s="161">
        <v>1</v>
      </c>
      <c r="V136" s="434"/>
      <c r="W136" s="459">
        <f t="shared" si="697"/>
        <v>800</v>
      </c>
      <c r="X136" s="459"/>
      <c r="Y136" s="460">
        <v>800</v>
      </c>
      <c r="Z136" s="459"/>
      <c r="AA136" s="464"/>
      <c r="AB136" s="459">
        <f t="shared" si="698"/>
        <v>519.79999999999995</v>
      </c>
      <c r="AC136" s="459"/>
      <c r="AD136" s="460">
        <v>519.79999999999995</v>
      </c>
      <c r="AE136" s="459"/>
      <c r="AF136" s="464"/>
      <c r="AG136" s="459">
        <f t="shared" si="699"/>
        <v>519.79999999999995</v>
      </c>
      <c r="AH136" s="459"/>
      <c r="AI136" s="460">
        <v>519.79999999999995</v>
      </c>
      <c r="AJ136" s="459"/>
      <c r="AK136" s="464"/>
      <c r="AL136" s="459">
        <f t="shared" si="700"/>
        <v>226</v>
      </c>
      <c r="AM136" s="459"/>
      <c r="AN136" s="460">
        <v>226</v>
      </c>
      <c r="AO136" s="459"/>
      <c r="AP136" s="459"/>
      <c r="AQ136" s="383" t="s">
        <v>404</v>
      </c>
      <c r="AR136" s="459">
        <f t="shared" si="701"/>
        <v>800</v>
      </c>
      <c r="AS136" s="459"/>
      <c r="AT136" s="462">
        <v>800</v>
      </c>
      <c r="AU136" s="459"/>
      <c r="AV136" s="459"/>
      <c r="AW136" s="459" t="e">
        <f t="shared" si="702"/>
        <v>#REF!</v>
      </c>
      <c r="AX136" s="459" t="e">
        <f>#REF!-AS136</f>
        <v>#REF!</v>
      </c>
      <c r="AY136" s="459" t="e">
        <f>#REF!-AT136</f>
        <v>#REF!</v>
      </c>
      <c r="AZ136" s="459" t="e">
        <f>#REF!-AU136</f>
        <v>#REF!</v>
      </c>
      <c r="BA136" s="459" t="e">
        <f>#REF!-AV136</f>
        <v>#REF!</v>
      </c>
      <c r="BB136" s="459">
        <f t="shared" si="703"/>
        <v>519.79999999999995</v>
      </c>
      <c r="BC136" s="459"/>
      <c r="BD136" s="460">
        <f>226+293.8</f>
        <v>519.79999999999995</v>
      </c>
      <c r="BE136" s="459"/>
      <c r="BF136" s="459"/>
      <c r="BG136" s="459">
        <f t="shared" si="704"/>
        <v>0</v>
      </c>
      <c r="BH136" s="459"/>
      <c r="BI136" s="459"/>
      <c r="BJ136" s="459"/>
      <c r="BK136" s="459"/>
      <c r="BL136" s="459">
        <f t="shared" si="705"/>
        <v>800</v>
      </c>
      <c r="BM136" s="459"/>
      <c r="BN136" s="462">
        <v>800</v>
      </c>
      <c r="BO136" s="459"/>
      <c r="BP136" s="459"/>
      <c r="BQ136" s="459">
        <f t="shared" si="706"/>
        <v>800</v>
      </c>
      <c r="BR136" s="459"/>
      <c r="BS136" s="462">
        <v>800</v>
      </c>
      <c r="BT136" s="459"/>
      <c r="BU136" s="459"/>
      <c r="BV136" s="459">
        <f t="shared" si="707"/>
        <v>63.930999999999997</v>
      </c>
      <c r="BW136" s="459"/>
      <c r="BX136" s="459">
        <v>63.930999999999997</v>
      </c>
      <c r="BY136" s="459"/>
      <c r="BZ136" s="459"/>
      <c r="CA136" s="464">
        <f t="shared" si="708"/>
        <v>863.93100000000004</v>
      </c>
      <c r="CB136" s="459">
        <f t="shared" si="709"/>
        <v>863.93100000000004</v>
      </c>
      <c r="CC136" s="459">
        <f t="shared" si="710"/>
        <v>0</v>
      </c>
      <c r="CD136" s="459">
        <f t="shared" si="710"/>
        <v>863.93100000000004</v>
      </c>
      <c r="CE136" s="459">
        <f t="shared" si="710"/>
        <v>0</v>
      </c>
      <c r="CF136" s="459">
        <f t="shared" si="710"/>
        <v>0</v>
      </c>
      <c r="CG136" s="459">
        <f t="shared" si="711"/>
        <v>0</v>
      </c>
      <c r="CH136" s="459">
        <f t="shared" si="712"/>
        <v>0</v>
      </c>
      <c r="CI136" s="459">
        <f t="shared" si="712"/>
        <v>0</v>
      </c>
      <c r="CJ136" s="459">
        <f t="shared" si="712"/>
        <v>0</v>
      </c>
      <c r="CK136" s="459">
        <f t="shared" si="712"/>
        <v>0</v>
      </c>
      <c r="CL136" s="465"/>
      <c r="CM136" s="466"/>
      <c r="CN136" s="466"/>
      <c r="CO136" s="459">
        <f t="shared" si="713"/>
        <v>0</v>
      </c>
      <c r="CP136" s="459"/>
      <c r="CQ136" s="459"/>
      <c r="CR136" s="459"/>
      <c r="CS136" s="459"/>
      <c r="CT136" s="459">
        <f t="shared" si="714"/>
        <v>0</v>
      </c>
      <c r="CU136" s="459"/>
      <c r="CV136" s="459"/>
      <c r="CW136" s="459"/>
      <c r="CX136" s="459"/>
      <c r="CY136" s="459">
        <f t="shared" si="715"/>
        <v>0</v>
      </c>
      <c r="CZ136" s="459">
        <f t="shared" si="716"/>
        <v>0</v>
      </c>
      <c r="DA136" s="459">
        <f t="shared" si="716"/>
        <v>0</v>
      </c>
      <c r="DB136" s="459">
        <f t="shared" si="716"/>
        <v>0</v>
      </c>
      <c r="DC136" s="459">
        <f t="shared" si="716"/>
        <v>0</v>
      </c>
      <c r="DD136" s="459"/>
      <c r="DE136" s="459"/>
      <c r="DF136" s="459"/>
      <c r="DG136" s="459">
        <f t="shared" si="717"/>
        <v>0</v>
      </c>
      <c r="DH136" s="467"/>
      <c r="DI136" s="459">
        <f t="shared" si="718"/>
        <v>800</v>
      </c>
      <c r="DJ136" s="459">
        <f t="shared" si="719"/>
        <v>800</v>
      </c>
      <c r="DK136" s="467"/>
      <c r="DL136" s="459"/>
      <c r="DM136" s="459"/>
      <c r="DN136" s="467"/>
      <c r="DO136" s="459"/>
      <c r="DP136" s="467"/>
      <c r="DQ136" s="467"/>
      <c r="DR136" s="459">
        <f t="shared" si="733"/>
        <v>800</v>
      </c>
      <c r="DS136" s="459"/>
      <c r="DT136" s="462">
        <v>800</v>
      </c>
      <c r="DU136" s="459"/>
      <c r="DV136" s="459"/>
      <c r="DW136" s="459">
        <f t="shared" si="734"/>
        <v>63.930999999999997</v>
      </c>
      <c r="DX136" s="459"/>
      <c r="DY136" s="459">
        <v>63.930999999999997</v>
      </c>
      <c r="DZ136" s="459"/>
      <c r="EA136" s="146"/>
      <c r="EB136" s="279"/>
      <c r="EC136" s="279"/>
      <c r="ED136" s="279"/>
      <c r="EE136" s="366"/>
      <c r="EF136" s="366"/>
      <c r="EG136" s="279"/>
      <c r="EH136" s="279"/>
      <c r="EI136" s="279"/>
      <c r="EJ136" s="366"/>
      <c r="EK136" s="366"/>
      <c r="EL136" s="366">
        <v>2.2200000000000001E-2</v>
      </c>
      <c r="EM136" s="280"/>
      <c r="EN136" s="279"/>
      <c r="EO136" s="265" t="e">
        <f t="shared" si="720"/>
        <v>#DIV/0!</v>
      </c>
      <c r="EP136" s="323">
        <f t="shared" ref="EP136:EP199" si="736">EQ136+ER136</f>
        <v>863.93100000000004</v>
      </c>
      <c r="EQ136" s="323">
        <f t="shared" si="349"/>
        <v>800</v>
      </c>
      <c r="ER136" s="323">
        <v>63.930999999999997</v>
      </c>
      <c r="ES136" s="358">
        <f t="shared" si="721"/>
        <v>0.92599987730501621</v>
      </c>
      <c r="ET136" s="358">
        <f t="shared" si="722"/>
        <v>7.4000122694983739E-2</v>
      </c>
      <c r="EU136" s="323">
        <f t="shared" ref="EU136:EU199" si="737">EV136+EW136</f>
        <v>863.93100000000004</v>
      </c>
      <c r="EV136" s="323">
        <f t="shared" si="723"/>
        <v>800</v>
      </c>
      <c r="EW136" s="323">
        <f t="shared" si="724"/>
        <v>63.930999999999997</v>
      </c>
      <c r="EX136" s="358">
        <f t="shared" si="725"/>
        <v>0.92599987730501621</v>
      </c>
      <c r="EY136" s="358">
        <f t="shared" si="726"/>
        <v>7.4000122694983739E-2</v>
      </c>
      <c r="EZ136" s="358">
        <v>7.3899999999999993E-2</v>
      </c>
      <c r="FA136" s="323">
        <f t="shared" si="727"/>
        <v>800</v>
      </c>
      <c r="FB136" s="323">
        <f t="shared" ref="FB136:FB199" si="738">EV136-FA136</f>
        <v>0</v>
      </c>
      <c r="FC136" s="279"/>
      <c r="FD136" s="279"/>
      <c r="FE136" s="279"/>
      <c r="FF136" s="366"/>
      <c r="FG136" s="366"/>
      <c r="FH136" s="279"/>
      <c r="FI136" s="279"/>
      <c r="FJ136" s="279"/>
      <c r="FK136" s="366"/>
      <c r="FL136" s="366"/>
      <c r="FM136" s="366">
        <v>7.3899999999999993E-2</v>
      </c>
      <c r="FN136" s="280"/>
      <c r="FO136" s="279"/>
    </row>
    <row r="137" spans="2:171" s="119" customFormat="1" ht="15.75" customHeight="1" x14ac:dyDescent="0.2">
      <c r="B137" s="113"/>
      <c r="C137" s="114"/>
      <c r="D137" s="114"/>
      <c r="E137" s="115"/>
      <c r="F137" s="113"/>
      <c r="G137" s="114"/>
      <c r="H137" s="114"/>
      <c r="M137" s="115"/>
      <c r="N137" s="118" t="s">
        <v>5</v>
      </c>
      <c r="O137" s="118"/>
      <c r="P137" s="68">
        <f t="shared" si="735"/>
        <v>0</v>
      </c>
      <c r="Q137" s="118"/>
      <c r="R137" s="118"/>
      <c r="S137" s="118"/>
      <c r="T137" s="118"/>
      <c r="U137" s="163">
        <f>U138+U139+U140+U141+U142+U143+U144+U145+U146+U147+U148+U149+U150</f>
        <v>11</v>
      </c>
      <c r="V137" s="163">
        <f>V138+V139+V140+V141+V142+V143+V144+V145+V146+V147+V148+V149+V150</f>
        <v>10</v>
      </c>
      <c r="W137" s="452">
        <f t="shared" ref="W137:AA137" si="739">SUM(W138:W150)-W139</f>
        <v>38749.250000000007</v>
      </c>
      <c r="X137" s="452">
        <f t="shared" si="739"/>
        <v>0</v>
      </c>
      <c r="Y137" s="452">
        <f t="shared" si="739"/>
        <v>11649.5</v>
      </c>
      <c r="Z137" s="452">
        <f t="shared" si="739"/>
        <v>27099.75</v>
      </c>
      <c r="AA137" s="452">
        <f t="shared" si="739"/>
        <v>0</v>
      </c>
      <c r="AB137" s="452">
        <f t="shared" ref="AB137:AF137" si="740">SUM(AB138:AB150)-AB139</f>
        <v>30826.6</v>
      </c>
      <c r="AC137" s="452">
        <f t="shared" si="740"/>
        <v>12500</v>
      </c>
      <c r="AD137" s="452">
        <f t="shared" si="740"/>
        <v>12585.6</v>
      </c>
      <c r="AE137" s="452">
        <f t="shared" si="740"/>
        <v>5741</v>
      </c>
      <c r="AF137" s="452">
        <f t="shared" si="740"/>
        <v>0</v>
      </c>
      <c r="AG137" s="452">
        <f t="shared" ref="AG137:AK137" si="741">SUM(AG138:AG150)-AG139</f>
        <v>18626.600000000002</v>
      </c>
      <c r="AH137" s="452">
        <f t="shared" si="741"/>
        <v>0</v>
      </c>
      <c r="AI137" s="452">
        <f t="shared" si="741"/>
        <v>12585.6</v>
      </c>
      <c r="AJ137" s="452">
        <f t="shared" si="741"/>
        <v>6041</v>
      </c>
      <c r="AK137" s="452">
        <f t="shared" si="741"/>
        <v>0</v>
      </c>
      <c r="AL137" s="454">
        <f t="shared" ref="AL137:AP137" si="742">SUM(AL138:AL150)-AL139</f>
        <v>11513</v>
      </c>
      <c r="AM137" s="452">
        <f t="shared" si="742"/>
        <v>0</v>
      </c>
      <c r="AN137" s="452">
        <f t="shared" si="742"/>
        <v>5472</v>
      </c>
      <c r="AO137" s="452">
        <f t="shared" si="742"/>
        <v>6041</v>
      </c>
      <c r="AP137" s="452">
        <f t="shared" si="742"/>
        <v>0</v>
      </c>
      <c r="AQ137" s="453"/>
      <c r="AR137" s="452">
        <f t="shared" ref="AR137:AU137" si="743">SUM(AR138:AR150)-AR139</f>
        <v>38710.216840000001</v>
      </c>
      <c r="AS137" s="452">
        <f t="shared" si="743"/>
        <v>0</v>
      </c>
      <c r="AT137" s="452">
        <f t="shared" si="743"/>
        <v>11649.45925</v>
      </c>
      <c r="AU137" s="452">
        <f t="shared" si="743"/>
        <v>27060.757589999997</v>
      </c>
      <c r="AV137" s="452">
        <f>SUM(AV138:AV150)-AV139</f>
        <v>0</v>
      </c>
      <c r="AW137" s="452" t="e">
        <f t="shared" ref="AW137:BF137" si="744">SUM(AW138:AW150)-AW139</f>
        <v>#REF!</v>
      </c>
      <c r="AX137" s="452" t="e">
        <f t="shared" si="744"/>
        <v>#REF!</v>
      </c>
      <c r="AY137" s="452" t="e">
        <f t="shared" si="744"/>
        <v>#REF!</v>
      </c>
      <c r="AZ137" s="452" t="e">
        <f t="shared" si="744"/>
        <v>#REF!</v>
      </c>
      <c r="BA137" s="452" t="e">
        <f t="shared" si="744"/>
        <v>#REF!</v>
      </c>
      <c r="BB137" s="452">
        <f t="shared" si="744"/>
        <v>20626.600000000002</v>
      </c>
      <c r="BC137" s="452">
        <f t="shared" si="744"/>
        <v>0</v>
      </c>
      <c r="BD137" s="452">
        <f t="shared" si="744"/>
        <v>12585.6</v>
      </c>
      <c r="BE137" s="452">
        <f t="shared" si="744"/>
        <v>8041</v>
      </c>
      <c r="BF137" s="452">
        <f t="shared" si="744"/>
        <v>0</v>
      </c>
      <c r="BG137" s="452">
        <f t="shared" ref="BG137:CK137" si="745">SUM(BG138:BG150)-BG139</f>
        <v>0</v>
      </c>
      <c r="BH137" s="452">
        <f t="shared" si="745"/>
        <v>0</v>
      </c>
      <c r="BI137" s="452">
        <f t="shared" si="745"/>
        <v>0</v>
      </c>
      <c r="BJ137" s="452">
        <f t="shared" si="745"/>
        <v>0</v>
      </c>
      <c r="BK137" s="452">
        <f t="shared" si="745"/>
        <v>0</v>
      </c>
      <c r="BL137" s="452">
        <f t="shared" si="745"/>
        <v>38710.216840000001</v>
      </c>
      <c r="BM137" s="452">
        <f t="shared" si="745"/>
        <v>0</v>
      </c>
      <c r="BN137" s="452">
        <f t="shared" si="745"/>
        <v>11649.45925</v>
      </c>
      <c r="BO137" s="452">
        <f t="shared" si="745"/>
        <v>27060.757589999997</v>
      </c>
      <c r="BP137" s="452">
        <f t="shared" si="745"/>
        <v>0</v>
      </c>
      <c r="BQ137" s="452">
        <f t="shared" si="745"/>
        <v>38710.216840000001</v>
      </c>
      <c r="BR137" s="452">
        <f t="shared" si="745"/>
        <v>0</v>
      </c>
      <c r="BS137" s="452">
        <f t="shared" si="745"/>
        <v>11649.45925</v>
      </c>
      <c r="BT137" s="452">
        <f t="shared" si="745"/>
        <v>27060.757589999997</v>
      </c>
      <c r="BU137" s="452">
        <f t="shared" si="745"/>
        <v>0</v>
      </c>
      <c r="BV137" s="454">
        <f t="shared" si="745"/>
        <v>8353.6310599999997</v>
      </c>
      <c r="BW137" s="452">
        <f t="shared" si="745"/>
        <v>0</v>
      </c>
      <c r="BX137" s="452">
        <f t="shared" si="745"/>
        <v>3949.53431</v>
      </c>
      <c r="BY137" s="452">
        <f t="shared" si="745"/>
        <v>4404.0967500000006</v>
      </c>
      <c r="BZ137" s="452">
        <f t="shared" si="745"/>
        <v>0</v>
      </c>
      <c r="CA137" s="452">
        <f t="shared" si="745"/>
        <v>47063.847900000001</v>
      </c>
      <c r="CB137" s="452">
        <f t="shared" si="745"/>
        <v>47063.847900000001</v>
      </c>
      <c r="CC137" s="452">
        <f t="shared" si="745"/>
        <v>0</v>
      </c>
      <c r="CD137" s="452">
        <f t="shared" si="745"/>
        <v>15598.993559999999</v>
      </c>
      <c r="CE137" s="452">
        <f t="shared" si="745"/>
        <v>31464.854340000002</v>
      </c>
      <c r="CF137" s="452">
        <f t="shared" si="745"/>
        <v>0</v>
      </c>
      <c r="CG137" s="452">
        <f t="shared" si="745"/>
        <v>0</v>
      </c>
      <c r="CH137" s="452">
        <f t="shared" si="745"/>
        <v>0</v>
      </c>
      <c r="CI137" s="452">
        <f t="shared" si="745"/>
        <v>0</v>
      </c>
      <c r="CJ137" s="452">
        <f t="shared" si="745"/>
        <v>0</v>
      </c>
      <c r="CK137" s="452">
        <f t="shared" si="745"/>
        <v>0</v>
      </c>
      <c r="CL137" s="455">
        <f>CM137+CO137-BG137</f>
        <v>20626.600000000006</v>
      </c>
      <c r="CM137" s="456">
        <f t="shared" ref="CM137:DG137" si="746">SUM(CM138:CM150)-CM139</f>
        <v>20626.600000000006</v>
      </c>
      <c r="CN137" s="456">
        <f t="shared" si="746"/>
        <v>20626.600000000006</v>
      </c>
      <c r="CO137" s="452">
        <f t="shared" si="746"/>
        <v>0</v>
      </c>
      <c r="CP137" s="452">
        <f t="shared" si="746"/>
        <v>0</v>
      </c>
      <c r="CQ137" s="452">
        <f t="shared" si="746"/>
        <v>0</v>
      </c>
      <c r="CR137" s="452">
        <f t="shared" si="746"/>
        <v>0</v>
      </c>
      <c r="CS137" s="452">
        <f t="shared" si="746"/>
        <v>0</v>
      </c>
      <c r="CT137" s="452">
        <f t="shared" si="746"/>
        <v>0</v>
      </c>
      <c r="CU137" s="452">
        <f t="shared" si="746"/>
        <v>0</v>
      </c>
      <c r="CV137" s="452">
        <f t="shared" si="746"/>
        <v>0</v>
      </c>
      <c r="CW137" s="452">
        <f t="shared" si="746"/>
        <v>0</v>
      </c>
      <c r="CX137" s="452">
        <f t="shared" si="746"/>
        <v>0</v>
      </c>
      <c r="CY137" s="452">
        <f t="shared" si="746"/>
        <v>0</v>
      </c>
      <c r="CZ137" s="452">
        <f t="shared" si="746"/>
        <v>0</v>
      </c>
      <c r="DA137" s="452">
        <f t="shared" si="746"/>
        <v>0</v>
      </c>
      <c r="DB137" s="452">
        <f t="shared" si="746"/>
        <v>0</v>
      </c>
      <c r="DC137" s="452">
        <f t="shared" si="746"/>
        <v>0</v>
      </c>
      <c r="DD137" s="452">
        <f t="shared" si="746"/>
        <v>0</v>
      </c>
      <c r="DE137" s="452">
        <f t="shared" si="746"/>
        <v>0</v>
      </c>
      <c r="DF137" s="452">
        <f t="shared" si="746"/>
        <v>0</v>
      </c>
      <c r="DG137" s="452">
        <f t="shared" si="746"/>
        <v>0</v>
      </c>
      <c r="DH137" s="457"/>
      <c r="DI137" s="452">
        <f>SUM(DI138:DI150)-DI139</f>
        <v>38710.216840000001</v>
      </c>
      <c r="DJ137" s="452">
        <f>SUM(DJ138:DJ150)-DJ139</f>
        <v>38710.216840000001</v>
      </c>
      <c r="DK137" s="457"/>
      <c r="DL137" s="452">
        <f>SUM(DL138:DL150)-DL139</f>
        <v>38710.216840000001</v>
      </c>
      <c r="DM137" s="452">
        <f>SUM(DM138:DM150)-DM139</f>
        <v>0</v>
      </c>
      <c r="DN137" s="457"/>
      <c r="DO137" s="452">
        <f>SUM(DO138:DO150)-DO139</f>
        <v>-18083.616839999995</v>
      </c>
      <c r="DP137" s="457">
        <f>DG137-DO137</f>
        <v>18083.616839999995</v>
      </c>
      <c r="DQ137" s="457"/>
      <c r="DR137" s="452">
        <f t="shared" si="733"/>
        <v>38710.216839999994</v>
      </c>
      <c r="DS137" s="452">
        <f t="shared" ref="DS137:DU137" si="747">SUM(DS138:DS150)-DS139</f>
        <v>0</v>
      </c>
      <c r="DT137" s="452">
        <f t="shared" si="747"/>
        <v>11649.45925</v>
      </c>
      <c r="DU137" s="452">
        <f t="shared" si="747"/>
        <v>27060.757589999997</v>
      </c>
      <c r="DV137" s="452">
        <f t="shared" ref="DV137" si="748">SUM(DV138:DV150)-DV139</f>
        <v>0</v>
      </c>
      <c r="DW137" s="452">
        <f t="shared" si="734"/>
        <v>8353.6310599999997</v>
      </c>
      <c r="DX137" s="452">
        <f t="shared" ref="DX137:DZ137" si="749">SUM(DX138:DX150)-DX139</f>
        <v>0</v>
      </c>
      <c r="DY137" s="452">
        <f t="shared" si="749"/>
        <v>3949.53431</v>
      </c>
      <c r="DZ137" s="452">
        <f t="shared" si="749"/>
        <v>4404.0967500000006</v>
      </c>
      <c r="EA137" s="145">
        <f t="shared" ref="EA137" si="750">SUM(EA138:EA150)-EA139</f>
        <v>0</v>
      </c>
      <c r="EB137" s="57">
        <f t="shared" ref="EB137:EB151" si="751">EC137+ED137+EE137</f>
        <v>0</v>
      </c>
      <c r="EC137" s="57">
        <f t="shared" ref="EC137:EC195" si="752">AS137</f>
        <v>0</v>
      </c>
      <c r="ED137" s="57">
        <f t="shared" ref="ED137" si="753">SUM(ED138:ED150)-ED139</f>
        <v>0</v>
      </c>
      <c r="EE137" s="360"/>
      <c r="EF137" s="360"/>
      <c r="EG137" s="57">
        <f t="shared" ref="EG137:EG195" si="754">EH137+EI137</f>
        <v>0</v>
      </c>
      <c r="EH137" s="57">
        <f>SUM(EH138:EH150)</f>
        <v>0</v>
      </c>
      <c r="EI137" s="57">
        <f>SUM(EI138:EI150)</f>
        <v>0</v>
      </c>
      <c r="EJ137" s="360"/>
      <c r="EK137" s="360"/>
      <c r="EL137" s="360"/>
      <c r="EM137" s="273" t="e">
        <f t="shared" ref="EM137" si="755">SUM(EM138:EM150)</f>
        <v>#DIV/0!</v>
      </c>
      <c r="EN137" s="57" t="e">
        <f t="shared" ref="EN137:EN195" si="756">EM137-EJ137</f>
        <v>#DIV/0!</v>
      </c>
      <c r="EO137" s="264"/>
      <c r="EP137" s="57">
        <f t="shared" si="736"/>
        <v>15598.993559999999</v>
      </c>
      <c r="EQ137" s="57">
        <f t="shared" si="349"/>
        <v>11649.45925</v>
      </c>
      <c r="ER137" s="57">
        <f>SUM(ER138:ER150)-ER139</f>
        <v>3949.53431</v>
      </c>
      <c r="ES137" s="360"/>
      <c r="ET137" s="360"/>
      <c r="EU137" s="57">
        <f t="shared" si="737"/>
        <v>15598.993559999999</v>
      </c>
      <c r="EV137" s="57">
        <f>SUM(EV138:EV150)</f>
        <v>11649.45925</v>
      </c>
      <c r="EW137" s="57">
        <f>SUM(EW138:EW150)</f>
        <v>3949.53431</v>
      </c>
      <c r="EX137" s="360"/>
      <c r="EY137" s="360"/>
      <c r="EZ137" s="360"/>
      <c r="FA137" s="57">
        <f t="shared" ref="FA137" si="757">SUM(FA138:FA150)</f>
        <v>11649.45925</v>
      </c>
      <c r="FB137" s="57">
        <f t="shared" si="738"/>
        <v>0</v>
      </c>
      <c r="FC137" s="57">
        <f t="shared" ref="FC137" si="758">FD137+FE137+FF137</f>
        <v>31464.854339999998</v>
      </c>
      <c r="FD137" s="57">
        <f t="shared" ref="FD137:FD195" si="759">AU137</f>
        <v>27060.757589999997</v>
      </c>
      <c r="FE137" s="57">
        <f t="shared" ref="FE137" si="760">SUM(FE138:FE150)-FE139</f>
        <v>4404.0967499999997</v>
      </c>
      <c r="FF137" s="360"/>
      <c r="FG137" s="360"/>
      <c r="FH137" s="57">
        <f t="shared" ref="FH137:FH195" si="761">FI137+FJ137</f>
        <v>31464.854339999998</v>
      </c>
      <c r="FI137" s="57">
        <f t="shared" si="446"/>
        <v>27060.757589999997</v>
      </c>
      <c r="FJ137" s="57">
        <f t="shared" si="447"/>
        <v>4404.0967500000006</v>
      </c>
      <c r="FK137" s="360"/>
      <c r="FL137" s="360"/>
      <c r="FM137" s="360"/>
      <c r="FN137" s="273">
        <f t="shared" si="581"/>
        <v>0</v>
      </c>
      <c r="FO137" s="57">
        <f t="shared" ref="FO137:FO195" si="762">FI137-FN137</f>
        <v>27060.757589999997</v>
      </c>
    </row>
    <row r="138" spans="2:171" s="41" customFormat="1" ht="15" customHeight="1" x14ac:dyDescent="0.25">
      <c r="B138" s="34">
        <v>1</v>
      </c>
      <c r="C138" s="33"/>
      <c r="D138" s="33"/>
      <c r="E138" s="434">
        <v>115</v>
      </c>
      <c r="F138" s="34">
        <v>1</v>
      </c>
      <c r="G138" s="33"/>
      <c r="H138" s="33"/>
      <c r="M138" s="434">
        <v>112</v>
      </c>
      <c r="N138" s="448" t="s">
        <v>229</v>
      </c>
      <c r="O138" s="5"/>
      <c r="P138" s="24">
        <f t="shared" si="735"/>
        <v>0</v>
      </c>
      <c r="Q138" s="5" t="s">
        <v>490</v>
      </c>
      <c r="R138" s="5" t="s">
        <v>488</v>
      </c>
      <c r="S138" s="5" t="s">
        <v>491</v>
      </c>
      <c r="T138" s="5"/>
      <c r="U138" s="161">
        <v>1</v>
      </c>
      <c r="V138" s="434"/>
      <c r="W138" s="459">
        <f t="shared" ref="W138:W150" si="763">X138+Y138+Z138+AA138</f>
        <v>1277.0999999999999</v>
      </c>
      <c r="X138" s="489"/>
      <c r="Y138" s="460">
        <v>1277.0999999999999</v>
      </c>
      <c r="Z138" s="489"/>
      <c r="AA138" s="490"/>
      <c r="AB138" s="459">
        <f t="shared" ref="AB138:AB150" si="764">AC138+AD138+AE138+AF138</f>
        <v>2150.5</v>
      </c>
      <c r="AC138" s="489"/>
      <c r="AD138" s="460">
        <v>2150.5</v>
      </c>
      <c r="AE138" s="489"/>
      <c r="AF138" s="490"/>
      <c r="AG138" s="459">
        <f t="shared" ref="AG138:AG150" si="765">AH138+AI138+AJ138+AK138</f>
        <v>2150.5</v>
      </c>
      <c r="AH138" s="489"/>
      <c r="AI138" s="460">
        <v>2150.5</v>
      </c>
      <c r="AJ138" s="489"/>
      <c r="AK138" s="490"/>
      <c r="AL138" s="459">
        <f t="shared" ref="AL138:AL150" si="766">AM138+AN138+AO138+AP138</f>
        <v>935</v>
      </c>
      <c r="AM138" s="489"/>
      <c r="AN138" s="460">
        <v>935</v>
      </c>
      <c r="AO138" s="489"/>
      <c r="AP138" s="489"/>
      <c r="AQ138" s="383" t="s">
        <v>387</v>
      </c>
      <c r="AR138" s="459">
        <f t="shared" ref="AR138:AR150" si="767">AS138+AT138+AU138+AV138</f>
        <v>1277.0999999999999</v>
      </c>
      <c r="AS138" s="489"/>
      <c r="AT138" s="460">
        <v>1277.0999999999999</v>
      </c>
      <c r="AU138" s="489"/>
      <c r="AV138" s="489"/>
      <c r="AW138" s="459" t="e">
        <f t="shared" ref="AW138:AW150" si="768">AX138+AY138+AZ138+BA138</f>
        <v>#REF!</v>
      </c>
      <c r="AX138" s="459" t="e">
        <f>#REF!-AS138</f>
        <v>#REF!</v>
      </c>
      <c r="AY138" s="459" t="e">
        <f>#REF!-AT138</f>
        <v>#REF!</v>
      </c>
      <c r="AZ138" s="459" t="e">
        <f>#REF!-AU138</f>
        <v>#REF!</v>
      </c>
      <c r="BA138" s="459" t="e">
        <f>#REF!-AV138</f>
        <v>#REF!</v>
      </c>
      <c r="BB138" s="459">
        <f t="shared" ref="BB138:BB150" si="769">BC138+BD138+BE138+BF138</f>
        <v>2150.5</v>
      </c>
      <c r="BC138" s="489"/>
      <c r="BD138" s="460">
        <v>2150.5</v>
      </c>
      <c r="BE138" s="489"/>
      <c r="BF138" s="489"/>
      <c r="BG138" s="459">
        <f t="shared" ref="BG138:BG150" si="770">BH138+BI138+BJ138+BK138</f>
        <v>0</v>
      </c>
      <c r="BH138" s="489"/>
      <c r="BI138" s="489"/>
      <c r="BJ138" s="489"/>
      <c r="BK138" s="489"/>
      <c r="BL138" s="459">
        <f t="shared" ref="BL138:BL150" si="771">BM138+BN138+BO138+BP138</f>
        <v>1277.0999999999999</v>
      </c>
      <c r="BM138" s="489"/>
      <c r="BN138" s="460">
        <v>1277.0999999999999</v>
      </c>
      <c r="BO138" s="489"/>
      <c r="BP138" s="489"/>
      <c r="BQ138" s="459">
        <f t="shared" ref="BQ138:BQ150" si="772">BR138+BS138+BT138+BU138</f>
        <v>1277.0999999999999</v>
      </c>
      <c r="BR138" s="489"/>
      <c r="BS138" s="460">
        <v>1277.0999999999999</v>
      </c>
      <c r="BT138" s="489"/>
      <c r="BU138" s="489"/>
      <c r="BV138" s="459">
        <f t="shared" ref="BV138:BV150" si="773">BW138+BX138+BY138+BZ138</f>
        <v>900</v>
      </c>
      <c r="BW138" s="489"/>
      <c r="BX138" s="459">
        <v>900</v>
      </c>
      <c r="BY138" s="489"/>
      <c r="BZ138" s="489"/>
      <c r="CA138" s="464">
        <f t="shared" ref="CA138:CA150" si="774">CB138</f>
        <v>2177.1</v>
      </c>
      <c r="CB138" s="459">
        <f t="shared" ref="CB138:CB150" si="775">CC138+CD138+CE138+CF138</f>
        <v>2177.1</v>
      </c>
      <c r="CC138" s="459">
        <f t="shared" ref="CC138:CF150" si="776">BR138+BW138</f>
        <v>0</v>
      </c>
      <c r="CD138" s="459">
        <f t="shared" si="776"/>
        <v>2177.1</v>
      </c>
      <c r="CE138" s="459">
        <f t="shared" si="776"/>
        <v>0</v>
      </c>
      <c r="CF138" s="459">
        <f t="shared" si="776"/>
        <v>0</v>
      </c>
      <c r="CG138" s="459">
        <f t="shared" ref="CG138:CG150" si="777">CH138+CI138+CJ138+CK138</f>
        <v>0</v>
      </c>
      <c r="CH138" s="459">
        <f t="shared" ref="CH138:CK150" si="778">BM138-BR138</f>
        <v>0</v>
      </c>
      <c r="CI138" s="459">
        <f t="shared" si="778"/>
        <v>0</v>
      </c>
      <c r="CJ138" s="459">
        <f t="shared" si="778"/>
        <v>0</v>
      </c>
      <c r="CK138" s="459">
        <f t="shared" si="778"/>
        <v>0</v>
      </c>
      <c r="CL138" s="485"/>
      <c r="CM138" s="491">
        <f>BB138</f>
        <v>2150.5</v>
      </c>
      <c r="CN138" s="491">
        <f>CM138</f>
        <v>2150.5</v>
      </c>
      <c r="CO138" s="459">
        <f t="shared" ref="CO138:CO150" si="779">CP138+CQ138+CR138+CS138</f>
        <v>0</v>
      </c>
      <c r="CP138" s="489"/>
      <c r="CQ138" s="489"/>
      <c r="CR138" s="489"/>
      <c r="CS138" s="489"/>
      <c r="CT138" s="459">
        <f t="shared" ref="CT138:CT150" si="780">CU138+CV138+CW138+CX138</f>
        <v>0</v>
      </c>
      <c r="CU138" s="489"/>
      <c r="CV138" s="489"/>
      <c r="CW138" s="489"/>
      <c r="CX138" s="489"/>
      <c r="CY138" s="459">
        <f t="shared" ref="CY138:CY150" si="781">CZ138+DA138+DB138+DC138</f>
        <v>0</v>
      </c>
      <c r="CZ138" s="459">
        <f t="shared" ref="CZ138:DC150" si="782">CP138-CU138</f>
        <v>0</v>
      </c>
      <c r="DA138" s="459">
        <f t="shared" si="782"/>
        <v>0</v>
      </c>
      <c r="DB138" s="459">
        <f t="shared" si="782"/>
        <v>0</v>
      </c>
      <c r="DC138" s="459">
        <f t="shared" si="782"/>
        <v>0</v>
      </c>
      <c r="DD138" s="489"/>
      <c r="DE138" s="489"/>
      <c r="DF138" s="489"/>
      <c r="DG138" s="459">
        <f t="shared" ref="DG138:DG150" si="783">CG138+CY138+DF138</f>
        <v>0</v>
      </c>
      <c r="DH138" s="467"/>
      <c r="DI138" s="459">
        <f t="shared" ref="DI138:DI150" si="784">BL138+CO138+DD138</f>
        <v>1277.0999999999999</v>
      </c>
      <c r="DJ138" s="459">
        <f t="shared" ref="DJ138:DJ150" si="785">BQ138+CT138+DE138</f>
        <v>1277.0999999999999</v>
      </c>
      <c r="DK138" s="487"/>
      <c r="DL138" s="459">
        <f t="shared" ref="DL138:DL139" si="786">DJ138</f>
        <v>1277.0999999999999</v>
      </c>
      <c r="DM138" s="459">
        <f t="shared" ref="DM138:DM139" si="787">DG138</f>
        <v>0</v>
      </c>
      <c r="DN138" s="487"/>
      <c r="DO138" s="459">
        <f>CN138-DL138</f>
        <v>873.40000000000009</v>
      </c>
      <c r="DP138" s="487"/>
      <c r="DQ138" s="487"/>
      <c r="DR138" s="459">
        <f t="shared" si="733"/>
        <v>1277.0999999999999</v>
      </c>
      <c r="DS138" s="489"/>
      <c r="DT138" s="460">
        <v>1277.0999999999999</v>
      </c>
      <c r="DU138" s="489"/>
      <c r="DV138" s="489"/>
      <c r="DW138" s="459">
        <f t="shared" si="734"/>
        <v>900</v>
      </c>
      <c r="DX138" s="489"/>
      <c r="DY138" s="459">
        <v>900</v>
      </c>
      <c r="DZ138" s="489"/>
      <c r="EA138" s="153"/>
      <c r="EB138" s="279"/>
      <c r="EC138" s="288"/>
      <c r="ED138" s="279"/>
      <c r="EE138" s="369"/>
      <c r="EF138" s="369"/>
      <c r="EG138" s="279"/>
      <c r="EH138" s="288"/>
      <c r="EI138" s="279"/>
      <c r="EJ138" s="369"/>
      <c r="EK138" s="369"/>
      <c r="EL138" s="366">
        <v>2.9700000000000001E-2</v>
      </c>
      <c r="EM138" s="287"/>
      <c r="EN138" s="288"/>
      <c r="EO138" s="269" t="e">
        <f t="shared" ref="EO138:EO150" si="788">EM138/EJ138</f>
        <v>#DIV/0!</v>
      </c>
      <c r="EP138" s="323">
        <f t="shared" si="736"/>
        <v>2177.1</v>
      </c>
      <c r="EQ138" s="323">
        <f t="shared" si="349"/>
        <v>1277.0999999999999</v>
      </c>
      <c r="ER138" s="323">
        <v>900</v>
      </c>
      <c r="ES138" s="358">
        <f t="shared" ref="ES138:ES150" si="789">EQ138/EP138</f>
        <v>0.58660603555188096</v>
      </c>
      <c r="ET138" s="358">
        <f t="shared" ref="ET138:ET150" si="790">ER138/EP138</f>
        <v>0.4133939644481191</v>
      </c>
      <c r="EU138" s="323">
        <f t="shared" si="737"/>
        <v>2177.1</v>
      </c>
      <c r="EV138" s="323">
        <f t="shared" ref="EV138:EV150" si="791">DT138</f>
        <v>1277.0999999999999</v>
      </c>
      <c r="EW138" s="323">
        <f t="shared" ref="EW138:EW150" si="792">DY138</f>
        <v>900</v>
      </c>
      <c r="EX138" s="358">
        <f t="shared" ref="EX138:EX150" si="793">EV138/EU138</f>
        <v>0.58660603555188096</v>
      </c>
      <c r="EY138" s="358">
        <f t="shared" ref="EY138:EY150" si="794">EW138/EU138</f>
        <v>0.4133939644481191</v>
      </c>
      <c r="EZ138" s="358">
        <v>0.1</v>
      </c>
      <c r="FA138" s="323">
        <f t="shared" ref="FA138:FA150" si="795">EU138*ES138</f>
        <v>1277.0999999999999</v>
      </c>
      <c r="FB138" s="323">
        <f t="shared" si="738"/>
        <v>0</v>
      </c>
      <c r="FC138" s="279"/>
      <c r="FD138" s="279"/>
      <c r="FE138" s="279"/>
      <c r="FF138" s="366"/>
      <c r="FG138" s="366"/>
      <c r="FH138" s="279"/>
      <c r="FI138" s="279"/>
      <c r="FJ138" s="279"/>
      <c r="FK138" s="366"/>
      <c r="FL138" s="366"/>
      <c r="FM138" s="366">
        <v>0.1</v>
      </c>
      <c r="FN138" s="279"/>
      <c r="FO138" s="279"/>
    </row>
    <row r="139" spans="2:171" s="40" customFormat="1" ht="15.75" customHeight="1" x14ac:dyDescent="0.25">
      <c r="B139" s="32"/>
      <c r="C139" s="33"/>
      <c r="D139" s="33"/>
      <c r="E139" s="434"/>
      <c r="F139" s="32"/>
      <c r="G139" s="33"/>
      <c r="H139" s="33"/>
      <c r="M139" s="434"/>
      <c r="N139" s="19" t="s">
        <v>251</v>
      </c>
      <c r="O139" s="133"/>
      <c r="P139" s="2">
        <f t="shared" si="735"/>
        <v>0</v>
      </c>
      <c r="Q139" s="133"/>
      <c r="R139" s="133"/>
      <c r="S139" s="133"/>
      <c r="T139" s="133"/>
      <c r="U139" s="133"/>
      <c r="V139" s="133"/>
      <c r="W139" s="459">
        <f t="shared" si="763"/>
        <v>0</v>
      </c>
      <c r="X139" s="459"/>
      <c r="Y139" s="468"/>
      <c r="Z139" s="459"/>
      <c r="AA139" s="464"/>
      <c r="AB139" s="459">
        <f t="shared" si="764"/>
        <v>0</v>
      </c>
      <c r="AC139" s="459"/>
      <c r="AD139" s="468"/>
      <c r="AE139" s="459"/>
      <c r="AF139" s="464"/>
      <c r="AG139" s="459">
        <f t="shared" si="765"/>
        <v>0</v>
      </c>
      <c r="AH139" s="459"/>
      <c r="AI139" s="468"/>
      <c r="AJ139" s="459"/>
      <c r="AK139" s="464"/>
      <c r="AL139" s="459">
        <f t="shared" si="766"/>
        <v>0</v>
      </c>
      <c r="AM139" s="459"/>
      <c r="AN139" s="468"/>
      <c r="AO139" s="459"/>
      <c r="AP139" s="459"/>
      <c r="AQ139" s="383"/>
      <c r="AR139" s="459">
        <f t="shared" si="767"/>
        <v>0</v>
      </c>
      <c r="AS139" s="459"/>
      <c r="AT139" s="469"/>
      <c r="AU139" s="459"/>
      <c r="AV139" s="459"/>
      <c r="AW139" s="459" t="e">
        <f t="shared" si="768"/>
        <v>#REF!</v>
      </c>
      <c r="AX139" s="459" t="e">
        <f>#REF!-AS139</f>
        <v>#REF!</v>
      </c>
      <c r="AY139" s="459" t="e">
        <f>#REF!-AT139</f>
        <v>#REF!</v>
      </c>
      <c r="AZ139" s="459" t="e">
        <f>#REF!-AU139</f>
        <v>#REF!</v>
      </c>
      <c r="BA139" s="459" t="e">
        <f>#REF!-AV139</f>
        <v>#REF!</v>
      </c>
      <c r="BB139" s="459">
        <f t="shared" si="769"/>
        <v>0</v>
      </c>
      <c r="BC139" s="459"/>
      <c r="BD139" s="459"/>
      <c r="BE139" s="459"/>
      <c r="BF139" s="459"/>
      <c r="BG139" s="459">
        <f t="shared" si="770"/>
        <v>0</v>
      </c>
      <c r="BH139" s="459"/>
      <c r="BI139" s="459"/>
      <c r="BJ139" s="459"/>
      <c r="BK139" s="459"/>
      <c r="BL139" s="459">
        <f t="shared" si="771"/>
        <v>0</v>
      </c>
      <c r="BM139" s="459"/>
      <c r="BN139" s="459"/>
      <c r="BO139" s="459"/>
      <c r="BP139" s="459"/>
      <c r="BQ139" s="459">
        <f t="shared" si="772"/>
        <v>0</v>
      </c>
      <c r="BR139" s="459"/>
      <c r="BS139" s="459"/>
      <c r="BT139" s="459"/>
      <c r="BU139" s="459"/>
      <c r="BV139" s="459">
        <f t="shared" si="773"/>
        <v>0</v>
      </c>
      <c r="BW139" s="459"/>
      <c r="BX139" s="459"/>
      <c r="BY139" s="459"/>
      <c r="BZ139" s="459"/>
      <c r="CA139" s="464">
        <f t="shared" si="774"/>
        <v>0</v>
      </c>
      <c r="CB139" s="459">
        <f t="shared" si="775"/>
        <v>0</v>
      </c>
      <c r="CC139" s="459">
        <f t="shared" si="776"/>
        <v>0</v>
      </c>
      <c r="CD139" s="459">
        <f t="shared" si="776"/>
        <v>0</v>
      </c>
      <c r="CE139" s="459">
        <f t="shared" si="776"/>
        <v>0</v>
      </c>
      <c r="CF139" s="459">
        <f t="shared" si="776"/>
        <v>0</v>
      </c>
      <c r="CG139" s="459">
        <f t="shared" si="777"/>
        <v>0</v>
      </c>
      <c r="CH139" s="459">
        <f t="shared" si="778"/>
        <v>0</v>
      </c>
      <c r="CI139" s="459">
        <f t="shared" si="778"/>
        <v>0</v>
      </c>
      <c r="CJ139" s="459">
        <f t="shared" si="778"/>
        <v>0</v>
      </c>
      <c r="CK139" s="459">
        <f t="shared" si="778"/>
        <v>0</v>
      </c>
      <c r="CL139" s="465"/>
      <c r="CM139" s="466"/>
      <c r="CN139" s="466"/>
      <c r="CO139" s="459">
        <f t="shared" si="779"/>
        <v>0</v>
      </c>
      <c r="CP139" s="459"/>
      <c r="CQ139" s="459"/>
      <c r="CR139" s="459"/>
      <c r="CS139" s="459"/>
      <c r="CT139" s="459">
        <f t="shared" si="780"/>
        <v>0</v>
      </c>
      <c r="CU139" s="459"/>
      <c r="CV139" s="459"/>
      <c r="CW139" s="459"/>
      <c r="CX139" s="459"/>
      <c r="CY139" s="459">
        <f t="shared" si="781"/>
        <v>0</v>
      </c>
      <c r="CZ139" s="459">
        <f t="shared" si="782"/>
        <v>0</v>
      </c>
      <c r="DA139" s="459">
        <f t="shared" si="782"/>
        <v>0</v>
      </c>
      <c r="DB139" s="459">
        <f t="shared" si="782"/>
        <v>0</v>
      </c>
      <c r="DC139" s="459">
        <f t="shared" si="782"/>
        <v>0</v>
      </c>
      <c r="DD139" s="459"/>
      <c r="DE139" s="459"/>
      <c r="DF139" s="459"/>
      <c r="DG139" s="459">
        <f t="shared" si="783"/>
        <v>0</v>
      </c>
      <c r="DH139" s="467"/>
      <c r="DI139" s="459">
        <f t="shared" si="784"/>
        <v>0</v>
      </c>
      <c r="DJ139" s="459">
        <f t="shared" si="785"/>
        <v>0</v>
      </c>
      <c r="DK139" s="467"/>
      <c r="DL139" s="459">
        <f t="shared" si="786"/>
        <v>0</v>
      </c>
      <c r="DM139" s="459">
        <f t="shared" si="787"/>
        <v>0</v>
      </c>
      <c r="DN139" s="467"/>
      <c r="DO139" s="459"/>
      <c r="DP139" s="467"/>
      <c r="DQ139" s="467"/>
      <c r="DR139" s="459">
        <f t="shared" si="733"/>
        <v>0</v>
      </c>
      <c r="DS139" s="459"/>
      <c r="DT139" s="459"/>
      <c r="DU139" s="459"/>
      <c r="DV139" s="459"/>
      <c r="DW139" s="459">
        <f t="shared" si="734"/>
        <v>0</v>
      </c>
      <c r="DX139" s="459"/>
      <c r="DY139" s="459"/>
      <c r="DZ139" s="459"/>
      <c r="EA139" s="146"/>
      <c r="EB139" s="279"/>
      <c r="EC139" s="279"/>
      <c r="ED139" s="279"/>
      <c r="EE139" s="366"/>
      <c r="EF139" s="366"/>
      <c r="EG139" s="279"/>
      <c r="EH139" s="279"/>
      <c r="EI139" s="279"/>
      <c r="EJ139" s="366"/>
      <c r="EK139" s="366"/>
      <c r="EL139" s="366"/>
      <c r="EM139" s="280"/>
      <c r="EN139" s="279"/>
      <c r="EO139" s="265" t="e">
        <f t="shared" si="788"/>
        <v>#DIV/0!</v>
      </c>
      <c r="EP139" s="323"/>
      <c r="EQ139" s="323"/>
      <c r="ER139" s="323"/>
      <c r="ES139" s="358"/>
      <c r="ET139" s="358"/>
      <c r="EU139" s="323"/>
      <c r="EV139" s="323"/>
      <c r="EW139" s="323"/>
      <c r="EX139" s="358"/>
      <c r="EY139" s="358"/>
      <c r="EZ139" s="358"/>
      <c r="FA139" s="323"/>
      <c r="FB139" s="323">
        <f t="shared" si="738"/>
        <v>0</v>
      </c>
      <c r="FC139" s="279"/>
      <c r="FD139" s="279"/>
      <c r="FE139" s="279"/>
      <c r="FF139" s="366"/>
      <c r="FG139" s="366"/>
      <c r="FH139" s="279"/>
      <c r="FI139" s="279"/>
      <c r="FJ139" s="279"/>
      <c r="FK139" s="366"/>
      <c r="FL139" s="366"/>
      <c r="FM139" s="366"/>
      <c r="FN139" s="279"/>
      <c r="FO139" s="279"/>
    </row>
    <row r="140" spans="2:171" s="40" customFormat="1" ht="15.6" customHeight="1" x14ac:dyDescent="0.25">
      <c r="B140" s="32"/>
      <c r="C140" s="33">
        <v>1</v>
      </c>
      <c r="D140" s="33"/>
      <c r="E140" s="434">
        <v>116</v>
      </c>
      <c r="F140" s="32"/>
      <c r="G140" s="33">
        <v>1</v>
      </c>
      <c r="H140" s="33">
        <v>1</v>
      </c>
      <c r="M140" s="434">
        <v>113</v>
      </c>
      <c r="N140" s="448" t="s">
        <v>230</v>
      </c>
      <c r="O140" s="448"/>
      <c r="P140" s="24">
        <f t="shared" si="735"/>
        <v>0</v>
      </c>
      <c r="Q140" s="448" t="s">
        <v>490</v>
      </c>
      <c r="R140" s="448" t="s">
        <v>488</v>
      </c>
      <c r="S140" s="448" t="s">
        <v>490</v>
      </c>
      <c r="T140" s="448" t="s">
        <v>488</v>
      </c>
      <c r="U140" s="161">
        <v>1</v>
      </c>
      <c r="V140" s="434">
        <v>1</v>
      </c>
      <c r="W140" s="459">
        <f t="shared" si="763"/>
        <v>9364.1820000000007</v>
      </c>
      <c r="X140" s="459"/>
      <c r="Y140" s="460">
        <v>1565.7</v>
      </c>
      <c r="Z140" s="459">
        <v>7798.482</v>
      </c>
      <c r="AA140" s="461"/>
      <c r="AB140" s="459">
        <f t="shared" si="764"/>
        <v>1580.1</v>
      </c>
      <c r="AC140" s="459"/>
      <c r="AD140" s="460">
        <v>1580.1</v>
      </c>
      <c r="AE140" s="459"/>
      <c r="AF140" s="461"/>
      <c r="AG140" s="459">
        <f t="shared" si="765"/>
        <v>1580.1</v>
      </c>
      <c r="AH140" s="459"/>
      <c r="AI140" s="460">
        <v>1580.1</v>
      </c>
      <c r="AJ140" s="459"/>
      <c r="AK140" s="461"/>
      <c r="AL140" s="459">
        <f t="shared" si="766"/>
        <v>687</v>
      </c>
      <c r="AM140" s="459"/>
      <c r="AN140" s="460">
        <v>687</v>
      </c>
      <c r="AO140" s="459"/>
      <c r="AP140" s="461"/>
      <c r="AQ140" s="383" t="s">
        <v>533</v>
      </c>
      <c r="AR140" s="459">
        <f t="shared" si="767"/>
        <v>9325.18959</v>
      </c>
      <c r="AS140" s="459"/>
      <c r="AT140" s="462">
        <v>1565.7</v>
      </c>
      <c r="AU140" s="459">
        <f>7798.482-38.99241</f>
        <v>7759.4895900000001</v>
      </c>
      <c r="AV140" s="461"/>
      <c r="AW140" s="459" t="e">
        <f t="shared" si="768"/>
        <v>#REF!</v>
      </c>
      <c r="AX140" s="459" t="e">
        <f>#REF!-AS140</f>
        <v>#REF!</v>
      </c>
      <c r="AY140" s="459" t="e">
        <f>#REF!-AT140</f>
        <v>#REF!</v>
      </c>
      <c r="AZ140" s="459" t="e">
        <f>#REF!-AU140</f>
        <v>#REF!</v>
      </c>
      <c r="BA140" s="459" t="e">
        <f>#REF!-AV140</f>
        <v>#REF!</v>
      </c>
      <c r="BB140" s="459">
        <f t="shared" si="769"/>
        <v>3880.1</v>
      </c>
      <c r="BC140" s="459"/>
      <c r="BD140" s="460">
        <f>687+893.1</f>
        <v>1580.1</v>
      </c>
      <c r="BE140" s="459">
        <v>2300</v>
      </c>
      <c r="BF140" s="461"/>
      <c r="BG140" s="459">
        <f t="shared" si="770"/>
        <v>0</v>
      </c>
      <c r="BH140" s="459"/>
      <c r="BI140" s="460"/>
      <c r="BJ140" s="459"/>
      <c r="BK140" s="461"/>
      <c r="BL140" s="459">
        <f t="shared" si="771"/>
        <v>9325.18959</v>
      </c>
      <c r="BM140" s="459"/>
      <c r="BN140" s="460">
        <v>1565.7</v>
      </c>
      <c r="BO140" s="459">
        <v>7759.4895900000001</v>
      </c>
      <c r="BP140" s="470"/>
      <c r="BQ140" s="459">
        <f t="shared" si="772"/>
        <v>9325.18959</v>
      </c>
      <c r="BR140" s="459"/>
      <c r="BS140" s="460">
        <v>1565.7</v>
      </c>
      <c r="BT140" s="459">
        <v>7759.4895900000001</v>
      </c>
      <c r="BU140" s="461"/>
      <c r="BV140" s="459">
        <f t="shared" si="773"/>
        <v>2590.8177499999997</v>
      </c>
      <c r="BW140" s="459"/>
      <c r="BX140" s="459">
        <v>325.95</v>
      </c>
      <c r="BY140" s="459">
        <v>2264.8677499999999</v>
      </c>
      <c r="BZ140" s="459"/>
      <c r="CA140" s="464">
        <f t="shared" si="774"/>
        <v>11916.00734</v>
      </c>
      <c r="CB140" s="459">
        <f t="shared" si="775"/>
        <v>11916.00734</v>
      </c>
      <c r="CC140" s="459">
        <f t="shared" si="776"/>
        <v>0</v>
      </c>
      <c r="CD140" s="459">
        <f t="shared" si="776"/>
        <v>1891.65</v>
      </c>
      <c r="CE140" s="459">
        <f t="shared" si="776"/>
        <v>10024.35734</v>
      </c>
      <c r="CF140" s="459">
        <f t="shared" si="776"/>
        <v>0</v>
      </c>
      <c r="CG140" s="459">
        <f t="shared" si="777"/>
        <v>0</v>
      </c>
      <c r="CH140" s="459">
        <f t="shared" si="778"/>
        <v>0</v>
      </c>
      <c r="CI140" s="459">
        <f t="shared" si="778"/>
        <v>0</v>
      </c>
      <c r="CJ140" s="459">
        <f t="shared" si="778"/>
        <v>0</v>
      </c>
      <c r="CK140" s="459">
        <f t="shared" si="778"/>
        <v>0</v>
      </c>
      <c r="CL140" s="465"/>
      <c r="CM140" s="559">
        <f>BB140+BB141+BB142+BB143+BB144+BB145+BB147+BB149</f>
        <v>15943.800000000001</v>
      </c>
      <c r="CN140" s="559">
        <f>CM140-BG137</f>
        <v>15943.800000000001</v>
      </c>
      <c r="CO140" s="459">
        <f t="shared" si="779"/>
        <v>0</v>
      </c>
      <c r="CP140" s="459"/>
      <c r="CQ140" s="460"/>
      <c r="CR140" s="459"/>
      <c r="CS140" s="461"/>
      <c r="CT140" s="459">
        <f t="shared" si="780"/>
        <v>0</v>
      </c>
      <c r="CU140" s="459"/>
      <c r="CV140" s="460"/>
      <c r="CW140" s="459"/>
      <c r="CX140" s="461"/>
      <c r="CY140" s="459">
        <f t="shared" si="781"/>
        <v>0</v>
      </c>
      <c r="CZ140" s="459">
        <f t="shared" si="782"/>
        <v>0</v>
      </c>
      <c r="DA140" s="459">
        <f t="shared" si="782"/>
        <v>0</v>
      </c>
      <c r="DB140" s="459">
        <f t="shared" si="782"/>
        <v>0</v>
      </c>
      <c r="DC140" s="459">
        <f t="shared" si="782"/>
        <v>0</v>
      </c>
      <c r="DD140" s="459"/>
      <c r="DE140" s="459"/>
      <c r="DF140" s="459"/>
      <c r="DG140" s="459">
        <f t="shared" si="783"/>
        <v>0</v>
      </c>
      <c r="DH140" s="467"/>
      <c r="DI140" s="459">
        <f t="shared" si="784"/>
        <v>9325.18959</v>
      </c>
      <c r="DJ140" s="459">
        <f t="shared" si="785"/>
        <v>9325.18959</v>
      </c>
      <c r="DK140" s="467"/>
      <c r="DL140" s="560">
        <f>DJ140+DJ141+DJ142+DJ143+DJ144+DJ145+DJ147+DJ149</f>
        <v>35024.257590000001</v>
      </c>
      <c r="DM140" s="560">
        <f>DG140+DG141+DG142+DG143+DG144+DG145+DG147+DG149</f>
        <v>0</v>
      </c>
      <c r="DN140" s="467"/>
      <c r="DO140" s="459">
        <f>CN140-DL140</f>
        <v>-19080.457589999998</v>
      </c>
      <c r="DP140" s="467"/>
      <c r="DQ140" s="467"/>
      <c r="DR140" s="459">
        <f t="shared" si="733"/>
        <v>9325.18959</v>
      </c>
      <c r="DS140" s="459"/>
      <c r="DT140" s="460">
        <v>1565.7</v>
      </c>
      <c r="DU140" s="459">
        <v>7759.4895900000001</v>
      </c>
      <c r="DV140" s="461"/>
      <c r="DW140" s="459">
        <f t="shared" si="734"/>
        <v>2590.8177499999997</v>
      </c>
      <c r="DX140" s="459"/>
      <c r="DY140" s="459">
        <v>325.95</v>
      </c>
      <c r="DZ140" s="459">
        <v>2264.8677499999999</v>
      </c>
      <c r="EA140" s="146"/>
      <c r="EB140" s="279"/>
      <c r="EC140" s="279"/>
      <c r="ED140" s="279"/>
      <c r="EE140" s="366"/>
      <c r="EF140" s="366"/>
      <c r="EG140" s="279"/>
      <c r="EH140" s="279"/>
      <c r="EI140" s="279"/>
      <c r="EJ140" s="366"/>
      <c r="EK140" s="366"/>
      <c r="EL140" s="366">
        <v>2.4299999999999999E-2</v>
      </c>
      <c r="EM140" s="280"/>
      <c r="EN140" s="279"/>
      <c r="EO140" s="265" t="e">
        <f t="shared" si="788"/>
        <v>#DIV/0!</v>
      </c>
      <c r="EP140" s="323">
        <f>EQ140+ER140</f>
        <v>1891.65</v>
      </c>
      <c r="EQ140" s="323">
        <f t="shared" ref="EQ140:EQ202" si="796">AT140</f>
        <v>1565.7</v>
      </c>
      <c r="ER140" s="323">
        <v>325.95</v>
      </c>
      <c r="ES140" s="358">
        <f t="shared" si="789"/>
        <v>0.82769011180715246</v>
      </c>
      <c r="ET140" s="358">
        <f>ER140/EP140</f>
        <v>0.17230988819284751</v>
      </c>
      <c r="EU140" s="323">
        <f t="shared" si="737"/>
        <v>1891.65</v>
      </c>
      <c r="EV140" s="323">
        <f t="shared" si="791"/>
        <v>1565.7</v>
      </c>
      <c r="EW140" s="323">
        <f t="shared" si="792"/>
        <v>325.95</v>
      </c>
      <c r="EX140" s="358">
        <f t="shared" si="793"/>
        <v>0.82769011180715246</v>
      </c>
      <c r="EY140" s="358">
        <f t="shared" si="794"/>
        <v>0.17230988819284751</v>
      </c>
      <c r="EZ140" s="358">
        <v>8.1000000000000003E-2</v>
      </c>
      <c r="FA140" s="323">
        <f t="shared" si="795"/>
        <v>1565.7</v>
      </c>
      <c r="FB140" s="323">
        <f t="shared" si="738"/>
        <v>0</v>
      </c>
      <c r="FC140" s="279">
        <f t="shared" ref="FC140:FC150" si="797">FD140+FE140</f>
        <v>10024.35734</v>
      </c>
      <c r="FD140" s="279">
        <f t="shared" si="759"/>
        <v>7759.4895900000001</v>
      </c>
      <c r="FE140" s="279">
        <v>2264.8677499999999</v>
      </c>
      <c r="FF140" s="366">
        <f t="shared" ref="FF140:FF150" si="798">FD140/FC140</f>
        <v>0.77406354610259731</v>
      </c>
      <c r="FG140" s="366">
        <f t="shared" ref="FG140:FG150" si="799">FE140/FC140</f>
        <v>0.22593645389740263</v>
      </c>
      <c r="FH140" s="279">
        <f t="shared" si="761"/>
        <v>10024.35734</v>
      </c>
      <c r="FI140" s="279">
        <f t="shared" si="446"/>
        <v>7759.4895900000001</v>
      </c>
      <c r="FJ140" s="279">
        <f t="shared" si="447"/>
        <v>2264.8677499999999</v>
      </c>
      <c r="FK140" s="366">
        <f t="shared" ref="FK140:FK150" si="800">FI140/FH140</f>
        <v>0.77406354610259731</v>
      </c>
      <c r="FL140" s="366">
        <f t="shared" ref="FL140:FL150" si="801">FJ140/FH140</f>
        <v>0.22593645389740263</v>
      </c>
      <c r="FM140" s="366">
        <v>8.1000000000000003E-2</v>
      </c>
      <c r="FN140" s="279">
        <f t="shared" si="581"/>
        <v>7759.4895900000001</v>
      </c>
      <c r="FO140" s="279">
        <f t="shared" si="762"/>
        <v>0</v>
      </c>
    </row>
    <row r="141" spans="2:171" s="40" customFormat="1" ht="15.6" customHeight="1" x14ac:dyDescent="0.25">
      <c r="B141" s="32"/>
      <c r="C141" s="33">
        <v>1</v>
      </c>
      <c r="D141" s="33"/>
      <c r="E141" s="434">
        <v>117</v>
      </c>
      <c r="F141" s="32"/>
      <c r="G141" s="33">
        <v>1</v>
      </c>
      <c r="H141" s="33">
        <v>1</v>
      </c>
      <c r="M141" s="434">
        <v>114</v>
      </c>
      <c r="N141" s="435" t="s">
        <v>51</v>
      </c>
      <c r="O141" s="435"/>
      <c r="P141" s="24">
        <f t="shared" si="735"/>
        <v>0</v>
      </c>
      <c r="Q141" s="435" t="s">
        <v>501</v>
      </c>
      <c r="R141" s="435" t="s">
        <v>488</v>
      </c>
      <c r="S141" s="435" t="s">
        <v>491</v>
      </c>
      <c r="T141" s="435" t="s">
        <v>488</v>
      </c>
      <c r="U141" s="161">
        <v>1</v>
      </c>
      <c r="V141" s="434">
        <v>1</v>
      </c>
      <c r="W141" s="459">
        <f t="shared" si="763"/>
        <v>5028.6509999999998</v>
      </c>
      <c r="X141" s="459"/>
      <c r="Y141" s="460">
        <v>1555.5</v>
      </c>
      <c r="Z141" s="459">
        <f>1609.822+1863.329</f>
        <v>3473.1509999999998</v>
      </c>
      <c r="AA141" s="461"/>
      <c r="AB141" s="459">
        <f t="shared" si="764"/>
        <v>7311.9</v>
      </c>
      <c r="AC141" s="459"/>
      <c r="AD141" s="460">
        <v>1570.9</v>
      </c>
      <c r="AE141" s="459">
        <v>5741</v>
      </c>
      <c r="AF141" s="461"/>
      <c r="AG141" s="459">
        <f t="shared" si="765"/>
        <v>7611.9</v>
      </c>
      <c r="AH141" s="459"/>
      <c r="AI141" s="460">
        <v>1570.9</v>
      </c>
      <c r="AJ141" s="459">
        <v>6041</v>
      </c>
      <c r="AK141" s="461"/>
      <c r="AL141" s="459">
        <f t="shared" si="766"/>
        <v>6724</v>
      </c>
      <c r="AM141" s="459"/>
      <c r="AN141" s="460">
        <v>683</v>
      </c>
      <c r="AO141" s="459">
        <v>6041</v>
      </c>
      <c r="AP141" s="461"/>
      <c r="AQ141" s="383" t="s">
        <v>436</v>
      </c>
      <c r="AR141" s="459">
        <f t="shared" si="767"/>
        <v>5028.6509999999998</v>
      </c>
      <c r="AS141" s="459"/>
      <c r="AT141" s="462">
        <v>1555.5</v>
      </c>
      <c r="AU141" s="459">
        <f>1609.822+1863.329</f>
        <v>3473.1509999999998</v>
      </c>
      <c r="AV141" s="461"/>
      <c r="AW141" s="459" t="e">
        <f t="shared" si="768"/>
        <v>#REF!</v>
      </c>
      <c r="AX141" s="459" t="e">
        <f>#REF!-AS141</f>
        <v>#REF!</v>
      </c>
      <c r="AY141" s="459" t="e">
        <f>#REF!-AT141</f>
        <v>#REF!</v>
      </c>
      <c r="AZ141" s="459" t="e">
        <f>#REF!-AU141</f>
        <v>#REF!</v>
      </c>
      <c r="BA141" s="459" t="e">
        <f>#REF!-AV141</f>
        <v>#REF!</v>
      </c>
      <c r="BB141" s="459">
        <f t="shared" si="769"/>
        <v>7311.9</v>
      </c>
      <c r="BC141" s="459"/>
      <c r="BD141" s="460">
        <f>683+887.9</f>
        <v>1570.9</v>
      </c>
      <c r="BE141" s="459">
        <v>5741</v>
      </c>
      <c r="BF141" s="461"/>
      <c r="BG141" s="459">
        <f t="shared" si="770"/>
        <v>0</v>
      </c>
      <c r="BH141" s="459"/>
      <c r="BI141" s="460"/>
      <c r="BJ141" s="459"/>
      <c r="BK141" s="461"/>
      <c r="BL141" s="459">
        <f t="shared" si="771"/>
        <v>5028.6509999999998</v>
      </c>
      <c r="BM141" s="459"/>
      <c r="BN141" s="462">
        <v>1555.5</v>
      </c>
      <c r="BO141" s="459">
        <f>1609.822+1863.329</f>
        <v>3473.1509999999998</v>
      </c>
      <c r="BP141" s="470"/>
      <c r="BQ141" s="459">
        <f t="shared" si="772"/>
        <v>5028.6509999999998</v>
      </c>
      <c r="BR141" s="459"/>
      <c r="BS141" s="462">
        <v>1555.5</v>
      </c>
      <c r="BT141" s="459">
        <f>1609.822+1863.329</f>
        <v>3473.1509999999998</v>
      </c>
      <c r="BU141" s="461"/>
      <c r="BV141" s="459">
        <f t="shared" si="773"/>
        <v>565.399</v>
      </c>
      <c r="BW141" s="459"/>
      <c r="BX141" s="459">
        <f>192.077</f>
        <v>192.077</v>
      </c>
      <c r="BY141" s="459">
        <v>373.322</v>
      </c>
      <c r="BZ141" s="459"/>
      <c r="CA141" s="464">
        <f t="shared" si="774"/>
        <v>5594.05</v>
      </c>
      <c r="CB141" s="459">
        <f t="shared" si="775"/>
        <v>5594.05</v>
      </c>
      <c r="CC141" s="459">
        <f t="shared" si="776"/>
        <v>0</v>
      </c>
      <c r="CD141" s="459">
        <f t="shared" si="776"/>
        <v>1747.577</v>
      </c>
      <c r="CE141" s="459">
        <f t="shared" si="776"/>
        <v>3846.473</v>
      </c>
      <c r="CF141" s="459">
        <f t="shared" si="776"/>
        <v>0</v>
      </c>
      <c r="CG141" s="459">
        <f t="shared" si="777"/>
        <v>0</v>
      </c>
      <c r="CH141" s="459">
        <f t="shared" si="778"/>
        <v>0</v>
      </c>
      <c r="CI141" s="459">
        <f t="shared" si="778"/>
        <v>0</v>
      </c>
      <c r="CJ141" s="459">
        <f t="shared" si="778"/>
        <v>0</v>
      </c>
      <c r="CK141" s="459">
        <f t="shared" si="778"/>
        <v>0</v>
      </c>
      <c r="CL141" s="465"/>
      <c r="CM141" s="466"/>
      <c r="CN141" s="466"/>
      <c r="CO141" s="459">
        <f t="shared" si="779"/>
        <v>0</v>
      </c>
      <c r="CP141" s="459"/>
      <c r="CQ141" s="460"/>
      <c r="CR141" s="459"/>
      <c r="CS141" s="461"/>
      <c r="CT141" s="459">
        <f t="shared" si="780"/>
        <v>0</v>
      </c>
      <c r="CU141" s="459"/>
      <c r="CV141" s="460"/>
      <c r="CW141" s="459"/>
      <c r="CX141" s="461"/>
      <c r="CY141" s="459">
        <f t="shared" si="781"/>
        <v>0</v>
      </c>
      <c r="CZ141" s="459">
        <f t="shared" si="782"/>
        <v>0</v>
      </c>
      <c r="DA141" s="459">
        <f t="shared" si="782"/>
        <v>0</v>
      </c>
      <c r="DB141" s="459">
        <f t="shared" si="782"/>
        <v>0</v>
      </c>
      <c r="DC141" s="459">
        <f t="shared" si="782"/>
        <v>0</v>
      </c>
      <c r="DD141" s="459"/>
      <c r="DE141" s="459"/>
      <c r="DF141" s="459"/>
      <c r="DG141" s="459">
        <f t="shared" si="783"/>
        <v>0</v>
      </c>
      <c r="DH141" s="467"/>
      <c r="DI141" s="459">
        <f t="shared" si="784"/>
        <v>5028.6509999999998</v>
      </c>
      <c r="DJ141" s="459">
        <f t="shared" si="785"/>
        <v>5028.6509999999998</v>
      </c>
      <c r="DK141" s="467"/>
      <c r="DL141" s="459"/>
      <c r="DM141" s="459"/>
      <c r="DN141" s="467"/>
      <c r="DO141" s="459"/>
      <c r="DP141" s="467"/>
      <c r="DQ141" s="467"/>
      <c r="DR141" s="459">
        <f t="shared" si="733"/>
        <v>5028.6509999999998</v>
      </c>
      <c r="DS141" s="459"/>
      <c r="DT141" s="462">
        <v>1555.5</v>
      </c>
      <c r="DU141" s="459">
        <f>1609.822+1863.329</f>
        <v>3473.1509999999998</v>
      </c>
      <c r="DV141" s="461"/>
      <c r="DW141" s="459">
        <f t="shared" si="734"/>
        <v>565.399</v>
      </c>
      <c r="DX141" s="459"/>
      <c r="DY141" s="459">
        <v>192.077</v>
      </c>
      <c r="DZ141" s="459">
        <v>373.322</v>
      </c>
      <c r="EA141" s="146"/>
      <c r="EB141" s="279"/>
      <c r="EC141" s="279"/>
      <c r="ED141" s="279"/>
      <c r="EE141" s="366"/>
      <c r="EF141" s="366"/>
      <c r="EG141" s="279"/>
      <c r="EH141" s="279"/>
      <c r="EI141" s="279"/>
      <c r="EJ141" s="366"/>
      <c r="EK141" s="366"/>
      <c r="EL141" s="366">
        <v>2.1700000000000001E-2</v>
      </c>
      <c r="EM141" s="280"/>
      <c r="EN141" s="279"/>
      <c r="EO141" s="265" t="e">
        <f t="shared" si="788"/>
        <v>#DIV/0!</v>
      </c>
      <c r="EP141" s="323">
        <f t="shared" si="736"/>
        <v>1747.577</v>
      </c>
      <c r="EQ141" s="323">
        <f t="shared" si="796"/>
        <v>1555.5</v>
      </c>
      <c r="ER141" s="323">
        <v>192.077</v>
      </c>
      <c r="ES141" s="358">
        <f t="shared" si="789"/>
        <v>0.89008953539672353</v>
      </c>
      <c r="ET141" s="358">
        <f t="shared" si="790"/>
        <v>0.10991046460327641</v>
      </c>
      <c r="EU141" s="323">
        <f t="shared" si="737"/>
        <v>1747.577</v>
      </c>
      <c r="EV141" s="323">
        <f t="shared" si="791"/>
        <v>1555.5</v>
      </c>
      <c r="EW141" s="323">
        <f t="shared" si="792"/>
        <v>192.077</v>
      </c>
      <c r="EX141" s="358">
        <f t="shared" si="793"/>
        <v>0.89008953539672353</v>
      </c>
      <c r="EY141" s="358">
        <f t="shared" si="794"/>
        <v>0.10991046460327641</v>
      </c>
      <c r="EZ141" s="358">
        <v>7.2400000000000006E-2</v>
      </c>
      <c r="FA141" s="323">
        <f t="shared" si="795"/>
        <v>1555.5</v>
      </c>
      <c r="FB141" s="323">
        <f t="shared" si="738"/>
        <v>0</v>
      </c>
      <c r="FC141" s="279">
        <f t="shared" si="797"/>
        <v>3846.473</v>
      </c>
      <c r="FD141" s="279">
        <f t="shared" si="759"/>
        <v>3473.1509999999998</v>
      </c>
      <c r="FE141" s="279">
        <v>373.322</v>
      </c>
      <c r="FF141" s="366">
        <f t="shared" si="798"/>
        <v>0.90294433367919125</v>
      </c>
      <c r="FG141" s="366">
        <f t="shared" si="799"/>
        <v>9.7055666320808698E-2</v>
      </c>
      <c r="FH141" s="279">
        <f t="shared" si="761"/>
        <v>3846.473</v>
      </c>
      <c r="FI141" s="279">
        <f t="shared" si="446"/>
        <v>3473.1509999999998</v>
      </c>
      <c r="FJ141" s="279">
        <f t="shared" si="447"/>
        <v>373.322</v>
      </c>
      <c r="FK141" s="366">
        <f t="shared" si="800"/>
        <v>0.90294433367919125</v>
      </c>
      <c r="FL141" s="366">
        <f t="shared" si="801"/>
        <v>9.7055666320808698E-2</v>
      </c>
      <c r="FM141" s="366">
        <v>7.2400000000000006E-2</v>
      </c>
      <c r="FN141" s="279">
        <f t="shared" si="581"/>
        <v>3473.1509999999998</v>
      </c>
      <c r="FO141" s="279">
        <f t="shared" si="762"/>
        <v>0</v>
      </c>
    </row>
    <row r="142" spans="2:171" s="40" customFormat="1" ht="15.6" customHeight="1" x14ac:dyDescent="0.25">
      <c r="B142" s="32"/>
      <c r="C142" s="33">
        <v>1</v>
      </c>
      <c r="D142" s="33"/>
      <c r="E142" s="434">
        <v>118</v>
      </c>
      <c r="F142" s="32"/>
      <c r="G142" s="33">
        <v>1</v>
      </c>
      <c r="H142" s="33">
        <v>1</v>
      </c>
      <c r="M142" s="434">
        <v>115</v>
      </c>
      <c r="N142" s="435" t="s">
        <v>52</v>
      </c>
      <c r="O142" s="435"/>
      <c r="P142" s="24">
        <f t="shared" si="735"/>
        <v>0</v>
      </c>
      <c r="Q142" s="435"/>
      <c r="R142" s="435"/>
      <c r="S142" s="435" t="s">
        <v>490</v>
      </c>
      <c r="T142" s="435" t="s">
        <v>488</v>
      </c>
      <c r="U142" s="161">
        <v>1</v>
      </c>
      <c r="V142" s="434">
        <v>1</v>
      </c>
      <c r="W142" s="459">
        <f t="shared" si="763"/>
        <v>2169.4</v>
      </c>
      <c r="X142" s="459"/>
      <c r="Y142" s="460">
        <f>1659.8+509.6</f>
        <v>2169.4</v>
      </c>
      <c r="Z142" s="459"/>
      <c r="AA142" s="461"/>
      <c r="AB142" s="459">
        <f t="shared" si="764"/>
        <v>2189.6</v>
      </c>
      <c r="AC142" s="459"/>
      <c r="AD142" s="460">
        <v>2189.6</v>
      </c>
      <c r="AE142" s="459"/>
      <c r="AF142" s="461"/>
      <c r="AG142" s="459">
        <f t="shared" si="765"/>
        <v>2189.6</v>
      </c>
      <c r="AH142" s="459"/>
      <c r="AI142" s="460">
        <v>2189.6</v>
      </c>
      <c r="AJ142" s="459"/>
      <c r="AK142" s="461"/>
      <c r="AL142" s="459">
        <f t="shared" si="766"/>
        <v>728</v>
      </c>
      <c r="AM142" s="459"/>
      <c r="AN142" s="460">
        <v>728</v>
      </c>
      <c r="AO142" s="459"/>
      <c r="AP142" s="461"/>
      <c r="AQ142" s="383" t="s">
        <v>433</v>
      </c>
      <c r="AR142" s="459">
        <f t="shared" si="767"/>
        <v>2169.4</v>
      </c>
      <c r="AS142" s="459"/>
      <c r="AT142" s="462">
        <f>1659.8+509.6</f>
        <v>2169.4</v>
      </c>
      <c r="AU142" s="459"/>
      <c r="AV142" s="461"/>
      <c r="AW142" s="459" t="e">
        <f t="shared" si="768"/>
        <v>#REF!</v>
      </c>
      <c r="AX142" s="459" t="e">
        <f>#REF!-AS142</f>
        <v>#REF!</v>
      </c>
      <c r="AY142" s="459" t="e">
        <f>#REF!-AT142</f>
        <v>#REF!</v>
      </c>
      <c r="AZ142" s="459" t="e">
        <f>#REF!-AU142</f>
        <v>#REF!</v>
      </c>
      <c r="BA142" s="459" t="e">
        <f>#REF!-AV142</f>
        <v>#REF!</v>
      </c>
      <c r="BB142" s="459">
        <f t="shared" si="769"/>
        <v>2189.6</v>
      </c>
      <c r="BC142" s="459"/>
      <c r="BD142" s="460">
        <v>2189.6</v>
      </c>
      <c r="BE142" s="459"/>
      <c r="BF142" s="461"/>
      <c r="BG142" s="459">
        <f t="shared" si="770"/>
        <v>0</v>
      </c>
      <c r="BH142" s="459"/>
      <c r="BI142" s="460"/>
      <c r="BJ142" s="459"/>
      <c r="BK142" s="461"/>
      <c r="BL142" s="459">
        <f t="shared" si="771"/>
        <v>2169.4</v>
      </c>
      <c r="BM142" s="459"/>
      <c r="BN142" s="460">
        <f>918.345+1251.055</f>
        <v>2169.4</v>
      </c>
      <c r="BO142" s="459"/>
      <c r="BP142" s="470"/>
      <c r="BQ142" s="459">
        <f t="shared" si="772"/>
        <v>2169.4</v>
      </c>
      <c r="BR142" s="459"/>
      <c r="BS142" s="460">
        <f>918.345+1251.055</f>
        <v>2169.4</v>
      </c>
      <c r="BT142" s="459"/>
      <c r="BU142" s="461"/>
      <c r="BV142" s="459">
        <f t="shared" si="773"/>
        <v>188.81576999999999</v>
      </c>
      <c r="BW142" s="459"/>
      <c r="BX142" s="459">
        <f>79.929+108.88677</f>
        <v>188.81576999999999</v>
      </c>
      <c r="BY142" s="459"/>
      <c r="BZ142" s="459"/>
      <c r="CA142" s="464">
        <f t="shared" si="774"/>
        <v>2358.2157700000002</v>
      </c>
      <c r="CB142" s="459">
        <f t="shared" si="775"/>
        <v>2358.2157700000002</v>
      </c>
      <c r="CC142" s="459">
        <f t="shared" si="776"/>
        <v>0</v>
      </c>
      <c r="CD142" s="459">
        <f t="shared" si="776"/>
        <v>2358.2157700000002</v>
      </c>
      <c r="CE142" s="459">
        <f t="shared" si="776"/>
        <v>0</v>
      </c>
      <c r="CF142" s="459">
        <f t="shared" si="776"/>
        <v>0</v>
      </c>
      <c r="CG142" s="459">
        <f t="shared" si="777"/>
        <v>0</v>
      </c>
      <c r="CH142" s="459">
        <f t="shared" si="778"/>
        <v>0</v>
      </c>
      <c r="CI142" s="459">
        <f t="shared" si="778"/>
        <v>0</v>
      </c>
      <c r="CJ142" s="459">
        <f t="shared" si="778"/>
        <v>0</v>
      </c>
      <c r="CK142" s="459">
        <f t="shared" si="778"/>
        <v>0</v>
      </c>
      <c r="CL142" s="465"/>
      <c r="CM142" s="466"/>
      <c r="CN142" s="466"/>
      <c r="CO142" s="459">
        <f t="shared" si="779"/>
        <v>0</v>
      </c>
      <c r="CP142" s="459"/>
      <c r="CQ142" s="460"/>
      <c r="CR142" s="459"/>
      <c r="CS142" s="461"/>
      <c r="CT142" s="459">
        <f t="shared" si="780"/>
        <v>0</v>
      </c>
      <c r="CU142" s="459"/>
      <c r="CV142" s="460"/>
      <c r="CW142" s="459"/>
      <c r="CX142" s="461"/>
      <c r="CY142" s="459">
        <f t="shared" si="781"/>
        <v>0</v>
      </c>
      <c r="CZ142" s="459">
        <f t="shared" si="782"/>
        <v>0</v>
      </c>
      <c r="DA142" s="459">
        <f t="shared" si="782"/>
        <v>0</v>
      </c>
      <c r="DB142" s="459">
        <f t="shared" si="782"/>
        <v>0</v>
      </c>
      <c r="DC142" s="459">
        <f t="shared" si="782"/>
        <v>0</v>
      </c>
      <c r="DD142" s="459"/>
      <c r="DE142" s="459"/>
      <c r="DF142" s="459"/>
      <c r="DG142" s="459">
        <f t="shared" si="783"/>
        <v>0</v>
      </c>
      <c r="DH142" s="467"/>
      <c r="DI142" s="459">
        <f t="shared" si="784"/>
        <v>2169.4</v>
      </c>
      <c r="DJ142" s="459">
        <f t="shared" si="785"/>
        <v>2169.4</v>
      </c>
      <c r="DK142" s="467"/>
      <c r="DL142" s="459"/>
      <c r="DM142" s="459"/>
      <c r="DN142" s="467"/>
      <c r="DO142" s="459"/>
      <c r="DP142" s="467"/>
      <c r="DQ142" s="467"/>
      <c r="DR142" s="459">
        <f t="shared" si="733"/>
        <v>2169.4</v>
      </c>
      <c r="DS142" s="459"/>
      <c r="DT142" s="460">
        <f>918.345+1251.055</f>
        <v>2169.4</v>
      </c>
      <c r="DU142" s="459"/>
      <c r="DV142" s="461"/>
      <c r="DW142" s="459">
        <f t="shared" si="734"/>
        <v>188.81576999999999</v>
      </c>
      <c r="DX142" s="459"/>
      <c r="DY142" s="459">
        <f>79.929+108.88677</f>
        <v>188.81576999999999</v>
      </c>
      <c r="DZ142" s="459"/>
      <c r="EA142" s="146"/>
      <c r="EB142" s="279"/>
      <c r="EC142" s="279"/>
      <c r="ED142" s="279"/>
      <c r="EE142" s="366"/>
      <c r="EF142" s="366"/>
      <c r="EG142" s="279"/>
      <c r="EH142" s="279"/>
      <c r="EI142" s="279"/>
      <c r="EJ142" s="366"/>
      <c r="EK142" s="366"/>
      <c r="EL142" s="366">
        <v>1.9199999999999998E-2</v>
      </c>
      <c r="EM142" s="280"/>
      <c r="EN142" s="279"/>
      <c r="EO142" s="265" t="e">
        <f t="shared" si="788"/>
        <v>#DIV/0!</v>
      </c>
      <c r="EP142" s="323">
        <f t="shared" si="736"/>
        <v>2358.2157700000002</v>
      </c>
      <c r="EQ142" s="323">
        <f t="shared" si="796"/>
        <v>2169.4</v>
      </c>
      <c r="ER142" s="323">
        <v>188.81576999999999</v>
      </c>
      <c r="ES142" s="358">
        <f t="shared" si="789"/>
        <v>0.91993278460689787</v>
      </c>
      <c r="ET142" s="358">
        <f t="shared" si="790"/>
        <v>8.0067215393102034E-2</v>
      </c>
      <c r="EU142" s="323">
        <f t="shared" si="737"/>
        <v>2358.2157700000002</v>
      </c>
      <c r="EV142" s="323">
        <f t="shared" si="791"/>
        <v>2169.4</v>
      </c>
      <c r="EW142" s="323">
        <f t="shared" si="792"/>
        <v>188.81576999999999</v>
      </c>
      <c r="EX142" s="358">
        <f t="shared" si="793"/>
        <v>0.91993278460689787</v>
      </c>
      <c r="EY142" s="358">
        <f t="shared" si="794"/>
        <v>8.0067215393102034E-2</v>
      </c>
      <c r="EZ142" s="358">
        <v>6.4000000000000001E-2</v>
      </c>
      <c r="FA142" s="323">
        <f t="shared" si="795"/>
        <v>2169.4</v>
      </c>
      <c r="FB142" s="323">
        <f t="shared" si="738"/>
        <v>0</v>
      </c>
      <c r="FC142" s="279"/>
      <c r="FD142" s="279"/>
      <c r="FE142" s="279"/>
      <c r="FF142" s="366"/>
      <c r="FG142" s="366"/>
      <c r="FH142" s="279"/>
      <c r="FI142" s="279"/>
      <c r="FJ142" s="279"/>
      <c r="FK142" s="366"/>
      <c r="FL142" s="366"/>
      <c r="FM142" s="366">
        <v>6.4000000000000001E-2</v>
      </c>
      <c r="FN142" s="279"/>
      <c r="FO142" s="279"/>
    </row>
    <row r="143" spans="2:171" s="40" customFormat="1" ht="15.6" customHeight="1" x14ac:dyDescent="0.25">
      <c r="B143" s="32"/>
      <c r="C143" s="33">
        <v>1</v>
      </c>
      <c r="D143" s="33"/>
      <c r="E143" s="434">
        <v>119</v>
      </c>
      <c r="F143" s="32"/>
      <c r="G143" s="33">
        <v>1</v>
      </c>
      <c r="H143" s="33">
        <v>1</v>
      </c>
      <c r="I143" s="434"/>
      <c r="J143" s="435"/>
      <c r="K143" s="435"/>
      <c r="L143" s="53"/>
      <c r="M143" s="434">
        <v>116</v>
      </c>
      <c r="N143" s="435" t="s">
        <v>231</v>
      </c>
      <c r="O143" s="435"/>
      <c r="P143" s="24">
        <f t="shared" si="735"/>
        <v>0</v>
      </c>
      <c r="Q143" s="435" t="s">
        <v>489</v>
      </c>
      <c r="R143" s="435" t="s">
        <v>488</v>
      </c>
      <c r="S143" s="435" t="s">
        <v>497</v>
      </c>
      <c r="T143" s="435" t="s">
        <v>496</v>
      </c>
      <c r="U143" s="161">
        <v>1</v>
      </c>
      <c r="V143" s="434">
        <v>1</v>
      </c>
      <c r="W143" s="459">
        <f t="shared" si="763"/>
        <v>15525.852000000001</v>
      </c>
      <c r="X143" s="459"/>
      <c r="Y143" s="460">
        <v>1522.7</v>
      </c>
      <c r="Z143" s="566">
        <f>10866.36+3136.792</f>
        <v>14003.152</v>
      </c>
      <c r="AA143" s="461"/>
      <c r="AB143" s="459">
        <f t="shared" si="764"/>
        <v>1419.1</v>
      </c>
      <c r="AC143" s="459"/>
      <c r="AD143" s="460">
        <v>1419.1</v>
      </c>
      <c r="AE143" s="567"/>
      <c r="AF143" s="461"/>
      <c r="AG143" s="459">
        <f t="shared" si="765"/>
        <v>1419.1</v>
      </c>
      <c r="AH143" s="459"/>
      <c r="AI143" s="460">
        <v>1419.1</v>
      </c>
      <c r="AJ143" s="567"/>
      <c r="AK143" s="461"/>
      <c r="AL143" s="459">
        <f t="shared" si="766"/>
        <v>617</v>
      </c>
      <c r="AM143" s="459"/>
      <c r="AN143" s="460">
        <v>617</v>
      </c>
      <c r="AO143" s="567"/>
      <c r="AP143" s="461"/>
      <c r="AQ143" s="383" t="s">
        <v>426</v>
      </c>
      <c r="AR143" s="459">
        <f t="shared" si="767"/>
        <v>15525.852000000001</v>
      </c>
      <c r="AS143" s="459"/>
      <c r="AT143" s="462">
        <v>1522.7</v>
      </c>
      <c r="AU143" s="566">
        <f>10866.36+3136.792</f>
        <v>14003.152</v>
      </c>
      <c r="AV143" s="461"/>
      <c r="AW143" s="459" t="e">
        <f t="shared" si="768"/>
        <v>#REF!</v>
      </c>
      <c r="AX143" s="459" t="e">
        <f>#REF!-AS143</f>
        <v>#REF!</v>
      </c>
      <c r="AY143" s="459" t="e">
        <f>#REF!-AT143</f>
        <v>#REF!</v>
      </c>
      <c r="AZ143" s="459" t="e">
        <f>#REF!-AU143</f>
        <v>#REF!</v>
      </c>
      <c r="BA143" s="459" t="e">
        <f>#REF!-AV143</f>
        <v>#REF!</v>
      </c>
      <c r="BB143" s="459">
        <f t="shared" si="769"/>
        <v>1419.1</v>
      </c>
      <c r="BC143" s="459"/>
      <c r="BD143" s="460">
        <f>617+802.1</f>
        <v>1419.1</v>
      </c>
      <c r="BE143" s="567"/>
      <c r="BF143" s="461"/>
      <c r="BG143" s="459">
        <f t="shared" si="770"/>
        <v>0</v>
      </c>
      <c r="BH143" s="459"/>
      <c r="BI143" s="460"/>
      <c r="BJ143" s="567"/>
      <c r="BK143" s="461"/>
      <c r="BL143" s="459">
        <f t="shared" si="771"/>
        <v>15525.852000000001</v>
      </c>
      <c r="BM143" s="459"/>
      <c r="BN143" s="462">
        <v>1522.7</v>
      </c>
      <c r="BO143" s="566">
        <f>10866.36+3136.792</f>
        <v>14003.152</v>
      </c>
      <c r="BP143" s="470"/>
      <c r="BQ143" s="459">
        <f t="shared" si="772"/>
        <v>15525.852000000001</v>
      </c>
      <c r="BR143" s="459"/>
      <c r="BS143" s="462">
        <v>1522.7</v>
      </c>
      <c r="BT143" s="566">
        <f>10866.36+3136.792</f>
        <v>14003.152</v>
      </c>
      <c r="BU143" s="461"/>
      <c r="BV143" s="459">
        <f t="shared" si="773"/>
        <v>1725.1070000000002</v>
      </c>
      <c r="BW143" s="459"/>
      <c r="BX143" s="459">
        <v>169.2</v>
      </c>
      <c r="BY143" s="459">
        <f>1207.374+348.533</f>
        <v>1555.9070000000002</v>
      </c>
      <c r="BZ143" s="459"/>
      <c r="CA143" s="464">
        <f t="shared" si="774"/>
        <v>17250.959000000003</v>
      </c>
      <c r="CB143" s="459">
        <f t="shared" si="775"/>
        <v>17250.959000000003</v>
      </c>
      <c r="CC143" s="459">
        <f t="shared" si="776"/>
        <v>0</v>
      </c>
      <c r="CD143" s="459">
        <f t="shared" si="776"/>
        <v>1691.9</v>
      </c>
      <c r="CE143" s="459">
        <f t="shared" si="776"/>
        <v>15559.059000000001</v>
      </c>
      <c r="CF143" s="459">
        <f t="shared" si="776"/>
        <v>0</v>
      </c>
      <c r="CG143" s="459">
        <f t="shared" si="777"/>
        <v>0</v>
      </c>
      <c r="CH143" s="459">
        <f t="shared" si="778"/>
        <v>0</v>
      </c>
      <c r="CI143" s="459">
        <f t="shared" si="778"/>
        <v>0</v>
      </c>
      <c r="CJ143" s="459">
        <f t="shared" si="778"/>
        <v>0</v>
      </c>
      <c r="CK143" s="459">
        <f t="shared" si="778"/>
        <v>0</v>
      </c>
      <c r="CL143" s="465"/>
      <c r="CM143" s="466"/>
      <c r="CN143" s="466"/>
      <c r="CO143" s="459">
        <f t="shared" si="779"/>
        <v>0</v>
      </c>
      <c r="CP143" s="459"/>
      <c r="CQ143" s="460"/>
      <c r="CR143" s="567"/>
      <c r="CS143" s="461"/>
      <c r="CT143" s="459">
        <f t="shared" si="780"/>
        <v>0</v>
      </c>
      <c r="CU143" s="459"/>
      <c r="CV143" s="460"/>
      <c r="CW143" s="567"/>
      <c r="CX143" s="461"/>
      <c r="CY143" s="459">
        <f t="shared" si="781"/>
        <v>0</v>
      </c>
      <c r="CZ143" s="459">
        <f t="shared" si="782"/>
        <v>0</v>
      </c>
      <c r="DA143" s="459">
        <f t="shared" si="782"/>
        <v>0</v>
      </c>
      <c r="DB143" s="459">
        <f t="shared" si="782"/>
        <v>0</v>
      </c>
      <c r="DC143" s="459">
        <f t="shared" si="782"/>
        <v>0</v>
      </c>
      <c r="DD143" s="459"/>
      <c r="DE143" s="459"/>
      <c r="DF143" s="459"/>
      <c r="DG143" s="459">
        <f t="shared" si="783"/>
        <v>0</v>
      </c>
      <c r="DH143" s="467"/>
      <c r="DI143" s="459">
        <f t="shared" si="784"/>
        <v>15525.852000000001</v>
      </c>
      <c r="DJ143" s="459">
        <f t="shared" si="785"/>
        <v>15525.852000000001</v>
      </c>
      <c r="DK143" s="467"/>
      <c r="DL143" s="459"/>
      <c r="DM143" s="459"/>
      <c r="DN143" s="467"/>
      <c r="DO143" s="459"/>
      <c r="DP143" s="467"/>
      <c r="DQ143" s="467"/>
      <c r="DR143" s="459">
        <f t="shared" si="733"/>
        <v>15525.852000000001</v>
      </c>
      <c r="DS143" s="459"/>
      <c r="DT143" s="462">
        <v>1522.7</v>
      </c>
      <c r="DU143" s="566">
        <f>10866.36+3136.792</f>
        <v>14003.152</v>
      </c>
      <c r="DV143" s="461"/>
      <c r="DW143" s="459">
        <f t="shared" si="734"/>
        <v>1725.1070000000002</v>
      </c>
      <c r="DX143" s="459"/>
      <c r="DY143" s="459">
        <v>169.2</v>
      </c>
      <c r="DZ143" s="459">
        <f>1207.374+348.533</f>
        <v>1555.9070000000002</v>
      </c>
      <c r="EA143" s="146"/>
      <c r="EB143" s="279"/>
      <c r="EC143" s="279"/>
      <c r="ED143" s="279"/>
      <c r="EE143" s="366"/>
      <c r="EF143" s="366"/>
      <c r="EG143" s="279"/>
      <c r="EH143" s="279"/>
      <c r="EI143" s="279"/>
      <c r="EJ143" s="366"/>
      <c r="EK143" s="366"/>
      <c r="EL143" s="366">
        <v>2.5399999999999999E-2</v>
      </c>
      <c r="EM143" s="280"/>
      <c r="EN143" s="279"/>
      <c r="EO143" s="265" t="e">
        <f t="shared" si="788"/>
        <v>#DIV/0!</v>
      </c>
      <c r="EP143" s="323">
        <f t="shared" si="736"/>
        <v>1691.9</v>
      </c>
      <c r="EQ143" s="323">
        <f t="shared" si="796"/>
        <v>1522.7</v>
      </c>
      <c r="ER143" s="323">
        <v>169.2</v>
      </c>
      <c r="ES143" s="358">
        <f t="shared" si="789"/>
        <v>0.8999940894851941</v>
      </c>
      <c r="ET143" s="358">
        <f t="shared" si="790"/>
        <v>0.10000591051480583</v>
      </c>
      <c r="EU143" s="323">
        <f t="shared" si="737"/>
        <v>1691.9</v>
      </c>
      <c r="EV143" s="323">
        <f t="shared" si="791"/>
        <v>1522.7</v>
      </c>
      <c r="EW143" s="323">
        <f t="shared" si="792"/>
        <v>169.2</v>
      </c>
      <c r="EX143" s="358">
        <f t="shared" si="793"/>
        <v>0.8999940894851941</v>
      </c>
      <c r="EY143" s="358">
        <f t="shared" si="794"/>
        <v>0.10000591051480583</v>
      </c>
      <c r="EZ143" s="358">
        <v>8.4500000000000006E-2</v>
      </c>
      <c r="FA143" s="323">
        <f t="shared" si="795"/>
        <v>1522.7</v>
      </c>
      <c r="FB143" s="323">
        <f t="shared" si="738"/>
        <v>0</v>
      </c>
      <c r="FC143" s="279">
        <f t="shared" si="797"/>
        <v>15559.058999999999</v>
      </c>
      <c r="FD143" s="279">
        <f t="shared" si="759"/>
        <v>14003.152</v>
      </c>
      <c r="FE143" s="279">
        <v>1555.9069999999999</v>
      </c>
      <c r="FF143" s="366">
        <f t="shared" si="798"/>
        <v>0.89999992930163708</v>
      </c>
      <c r="FG143" s="366">
        <f t="shared" si="799"/>
        <v>0.10000007069836293</v>
      </c>
      <c r="FH143" s="279">
        <f t="shared" si="761"/>
        <v>15559.059000000001</v>
      </c>
      <c r="FI143" s="279">
        <f t="shared" si="446"/>
        <v>14003.152</v>
      </c>
      <c r="FJ143" s="279">
        <f t="shared" si="447"/>
        <v>1555.9070000000002</v>
      </c>
      <c r="FK143" s="366">
        <f t="shared" si="800"/>
        <v>0.89999992930163697</v>
      </c>
      <c r="FL143" s="366">
        <f t="shared" si="801"/>
        <v>0.10000007069836293</v>
      </c>
      <c r="FM143" s="366">
        <v>8.4500000000000006E-2</v>
      </c>
      <c r="FN143" s="279">
        <f t="shared" si="581"/>
        <v>14003.152000000002</v>
      </c>
      <c r="FO143" s="279">
        <f t="shared" si="762"/>
        <v>0</v>
      </c>
    </row>
    <row r="144" spans="2:171" s="40" customFormat="1" ht="15.6" customHeight="1" x14ac:dyDescent="0.25">
      <c r="B144" s="32"/>
      <c r="C144" s="33">
        <v>1</v>
      </c>
      <c r="D144" s="33"/>
      <c r="E144" s="434">
        <v>120</v>
      </c>
      <c r="F144" s="32"/>
      <c r="G144" s="33">
        <v>1</v>
      </c>
      <c r="H144" s="33">
        <v>1</v>
      </c>
      <c r="M144" s="434">
        <v>117</v>
      </c>
      <c r="N144" s="435" t="s">
        <v>53</v>
      </c>
      <c r="O144" s="435"/>
      <c r="P144" s="24">
        <f t="shared" si="735"/>
        <v>0</v>
      </c>
      <c r="Q144" s="435" t="s">
        <v>490</v>
      </c>
      <c r="R144" s="435" t="s">
        <v>488</v>
      </c>
      <c r="S144" s="435" t="s">
        <v>490</v>
      </c>
      <c r="T144" s="435" t="s">
        <v>488</v>
      </c>
      <c r="U144" s="161">
        <v>1</v>
      </c>
      <c r="V144" s="434">
        <v>2</v>
      </c>
      <c r="W144" s="459">
        <f t="shared" si="763"/>
        <v>2346.8649999999998</v>
      </c>
      <c r="X144" s="459"/>
      <c r="Y144" s="460">
        <v>521.9</v>
      </c>
      <c r="Z144" s="459">
        <v>1824.9649999999999</v>
      </c>
      <c r="AA144" s="472"/>
      <c r="AB144" s="459">
        <f t="shared" si="764"/>
        <v>526.70000000000005</v>
      </c>
      <c r="AC144" s="459"/>
      <c r="AD144" s="460">
        <v>526.70000000000005</v>
      </c>
      <c r="AE144" s="459"/>
      <c r="AF144" s="472"/>
      <c r="AG144" s="459">
        <f t="shared" si="765"/>
        <v>526.70000000000005</v>
      </c>
      <c r="AH144" s="459"/>
      <c r="AI144" s="460">
        <v>526.70000000000005</v>
      </c>
      <c r="AJ144" s="459"/>
      <c r="AK144" s="472"/>
      <c r="AL144" s="459">
        <f t="shared" si="766"/>
        <v>229</v>
      </c>
      <c r="AM144" s="459"/>
      <c r="AN144" s="460">
        <v>229</v>
      </c>
      <c r="AO144" s="459"/>
      <c r="AP144" s="467"/>
      <c r="AQ144" s="384" t="s">
        <v>503</v>
      </c>
      <c r="AR144" s="459">
        <f t="shared" si="767"/>
        <v>2346.8649999999998</v>
      </c>
      <c r="AS144" s="459"/>
      <c r="AT144" s="462">
        <v>521.9</v>
      </c>
      <c r="AU144" s="459">
        <v>1824.9649999999999</v>
      </c>
      <c r="AV144" s="459"/>
      <c r="AW144" s="459" t="e">
        <f t="shared" si="768"/>
        <v>#REF!</v>
      </c>
      <c r="AX144" s="459" t="e">
        <f>#REF!-AS144</f>
        <v>#REF!</v>
      </c>
      <c r="AY144" s="459" t="e">
        <f>#REF!-AT144</f>
        <v>#REF!</v>
      </c>
      <c r="AZ144" s="459" t="e">
        <f>#REF!-AU144</f>
        <v>#REF!</v>
      </c>
      <c r="BA144" s="459" t="e">
        <f>#REF!-AV144</f>
        <v>#REF!</v>
      </c>
      <c r="BB144" s="459">
        <f t="shared" si="769"/>
        <v>526.70000000000005</v>
      </c>
      <c r="BC144" s="459"/>
      <c r="BD144" s="460">
        <f>171.75+354.95</f>
        <v>526.70000000000005</v>
      </c>
      <c r="BE144" s="459"/>
      <c r="BF144" s="459"/>
      <c r="BG144" s="459">
        <f t="shared" si="770"/>
        <v>0</v>
      </c>
      <c r="BH144" s="459"/>
      <c r="BI144" s="461"/>
      <c r="BJ144" s="459"/>
      <c r="BK144" s="459"/>
      <c r="BL144" s="459">
        <f t="shared" si="771"/>
        <v>2346.8649999999998</v>
      </c>
      <c r="BM144" s="459"/>
      <c r="BN144" s="460">
        <v>521.9</v>
      </c>
      <c r="BO144" s="459">
        <v>1824.9649999999999</v>
      </c>
      <c r="BP144" s="459"/>
      <c r="BQ144" s="459">
        <f t="shared" si="772"/>
        <v>2346.8649999999998</v>
      </c>
      <c r="BR144" s="459"/>
      <c r="BS144" s="460">
        <v>521.9</v>
      </c>
      <c r="BT144" s="459">
        <v>1824.9649999999999</v>
      </c>
      <c r="BU144" s="459"/>
      <c r="BV144" s="459">
        <f t="shared" si="773"/>
        <v>384</v>
      </c>
      <c r="BW144" s="459"/>
      <c r="BX144" s="459">
        <v>174</v>
      </c>
      <c r="BY144" s="459">
        <v>210</v>
      </c>
      <c r="BZ144" s="459"/>
      <c r="CA144" s="464">
        <f t="shared" si="774"/>
        <v>2730.8649999999998</v>
      </c>
      <c r="CB144" s="459">
        <f t="shared" si="775"/>
        <v>2730.8649999999998</v>
      </c>
      <c r="CC144" s="459">
        <f t="shared" si="776"/>
        <v>0</v>
      </c>
      <c r="CD144" s="459">
        <f t="shared" si="776"/>
        <v>695.9</v>
      </c>
      <c r="CE144" s="459">
        <f t="shared" si="776"/>
        <v>2034.9649999999999</v>
      </c>
      <c r="CF144" s="459">
        <f t="shared" si="776"/>
        <v>0</v>
      </c>
      <c r="CG144" s="459">
        <f t="shared" si="777"/>
        <v>0</v>
      </c>
      <c r="CH144" s="459">
        <f t="shared" si="778"/>
        <v>0</v>
      </c>
      <c r="CI144" s="459">
        <f t="shared" si="778"/>
        <v>0</v>
      </c>
      <c r="CJ144" s="459">
        <f t="shared" si="778"/>
        <v>0</v>
      </c>
      <c r="CK144" s="459">
        <f t="shared" si="778"/>
        <v>0</v>
      </c>
      <c r="CL144" s="465"/>
      <c r="CM144" s="466"/>
      <c r="CN144" s="466"/>
      <c r="CO144" s="459">
        <f t="shared" si="779"/>
        <v>0</v>
      </c>
      <c r="CP144" s="459"/>
      <c r="CQ144" s="461"/>
      <c r="CR144" s="459"/>
      <c r="CS144" s="459"/>
      <c r="CT144" s="459">
        <f t="shared" si="780"/>
        <v>0</v>
      </c>
      <c r="CU144" s="459"/>
      <c r="CV144" s="461"/>
      <c r="CW144" s="459"/>
      <c r="CX144" s="459"/>
      <c r="CY144" s="459">
        <f t="shared" si="781"/>
        <v>0</v>
      </c>
      <c r="CZ144" s="459">
        <f t="shared" si="782"/>
        <v>0</v>
      </c>
      <c r="DA144" s="459">
        <f t="shared" si="782"/>
        <v>0</v>
      </c>
      <c r="DB144" s="459">
        <f t="shared" si="782"/>
        <v>0</v>
      </c>
      <c r="DC144" s="459">
        <f t="shared" si="782"/>
        <v>0</v>
      </c>
      <c r="DD144" s="459"/>
      <c r="DE144" s="459"/>
      <c r="DF144" s="459"/>
      <c r="DG144" s="459">
        <f t="shared" si="783"/>
        <v>0</v>
      </c>
      <c r="DH144" s="467"/>
      <c r="DI144" s="459">
        <f t="shared" si="784"/>
        <v>2346.8649999999998</v>
      </c>
      <c r="DJ144" s="459">
        <f t="shared" si="785"/>
        <v>2346.8649999999998</v>
      </c>
      <c r="DK144" s="467"/>
      <c r="DL144" s="459"/>
      <c r="DM144" s="459"/>
      <c r="DN144" s="467"/>
      <c r="DO144" s="459"/>
      <c r="DP144" s="467"/>
      <c r="DQ144" s="467"/>
      <c r="DR144" s="459">
        <f t="shared" si="733"/>
        <v>2346.8649999999998</v>
      </c>
      <c r="DS144" s="459"/>
      <c r="DT144" s="460">
        <v>521.9</v>
      </c>
      <c r="DU144" s="459">
        <v>1824.9649999999999</v>
      </c>
      <c r="DV144" s="459"/>
      <c r="DW144" s="459">
        <f t="shared" si="734"/>
        <v>384</v>
      </c>
      <c r="DX144" s="459"/>
      <c r="DY144" s="459">
        <v>174</v>
      </c>
      <c r="DZ144" s="459">
        <v>210</v>
      </c>
      <c r="EA144" s="146"/>
      <c r="EB144" s="279"/>
      <c r="EC144" s="279"/>
      <c r="ED144" s="279"/>
      <c r="EE144" s="366"/>
      <c r="EF144" s="366"/>
      <c r="EG144" s="279"/>
      <c r="EH144" s="279"/>
      <c r="EI144" s="279"/>
      <c r="EJ144" s="366"/>
      <c r="EK144" s="366"/>
      <c r="EL144" s="366">
        <v>2.4299999999999999E-2</v>
      </c>
      <c r="EM144" s="280"/>
      <c r="EN144" s="279"/>
      <c r="EO144" s="265" t="e">
        <f t="shared" si="788"/>
        <v>#DIV/0!</v>
      </c>
      <c r="EP144" s="323">
        <f t="shared" si="736"/>
        <v>695.9</v>
      </c>
      <c r="EQ144" s="323">
        <f t="shared" si="796"/>
        <v>521.9</v>
      </c>
      <c r="ER144" s="323">
        <v>174</v>
      </c>
      <c r="ES144" s="358">
        <f t="shared" si="789"/>
        <v>0.74996407529817499</v>
      </c>
      <c r="ET144" s="358">
        <f t="shared" si="790"/>
        <v>0.25003592470182501</v>
      </c>
      <c r="EU144" s="323">
        <f t="shared" si="737"/>
        <v>695.9</v>
      </c>
      <c r="EV144" s="323">
        <f t="shared" si="791"/>
        <v>521.9</v>
      </c>
      <c r="EW144" s="323">
        <f t="shared" si="792"/>
        <v>174</v>
      </c>
      <c r="EX144" s="358">
        <f t="shared" si="793"/>
        <v>0.74996407529817499</v>
      </c>
      <c r="EY144" s="358">
        <f t="shared" si="794"/>
        <v>0.25003592470182501</v>
      </c>
      <c r="EZ144" s="358">
        <v>8.1100000000000005E-2</v>
      </c>
      <c r="FA144" s="323">
        <f t="shared" si="795"/>
        <v>521.9</v>
      </c>
      <c r="FB144" s="323">
        <f t="shared" si="738"/>
        <v>0</v>
      </c>
      <c r="FC144" s="279">
        <f t="shared" ref="FC144" si="802">FD144+FE144</f>
        <v>2034.9649999999999</v>
      </c>
      <c r="FD144" s="279">
        <f t="shared" ref="FD144" si="803">AU144</f>
        <v>1824.9649999999999</v>
      </c>
      <c r="FE144" s="279">
        <v>210</v>
      </c>
      <c r="FF144" s="366">
        <f t="shared" ref="FF144" si="804">FD144/FC144</f>
        <v>0.89680412193821513</v>
      </c>
      <c r="FG144" s="366">
        <f t="shared" ref="FG144" si="805">FE144/FC144</f>
        <v>0.10319587806178485</v>
      </c>
      <c r="FH144" s="279">
        <f t="shared" ref="FH144" si="806">FI144+FJ144</f>
        <v>2034.9649999999999</v>
      </c>
      <c r="FI144" s="279">
        <f t="shared" ref="FI144" si="807">DU144</f>
        <v>1824.9649999999999</v>
      </c>
      <c r="FJ144" s="279">
        <f t="shared" ref="FJ144" si="808">DZ144</f>
        <v>210</v>
      </c>
      <c r="FK144" s="366">
        <f t="shared" ref="FK144" si="809">FI144/FH144</f>
        <v>0.89680412193821513</v>
      </c>
      <c r="FL144" s="366">
        <f t="shared" ref="FL144" si="810">FJ144/FH144</f>
        <v>0.10319587806178485</v>
      </c>
      <c r="FM144" s="366">
        <v>8.1100000000000005E-2</v>
      </c>
      <c r="FN144" s="279">
        <f t="shared" ref="FN144" si="811">FH144*FF144</f>
        <v>1824.9649999999999</v>
      </c>
      <c r="FO144" s="279">
        <f t="shared" ref="FO144" si="812">FI144-FN144</f>
        <v>0</v>
      </c>
    </row>
    <row r="145" spans="2:171" s="40" customFormat="1" ht="15.6" customHeight="1" x14ac:dyDescent="0.25">
      <c r="B145" s="32"/>
      <c r="C145" s="33">
        <v>1</v>
      </c>
      <c r="D145" s="33"/>
      <c r="E145" s="434">
        <v>121</v>
      </c>
      <c r="F145" s="32"/>
      <c r="G145" s="33">
        <v>1</v>
      </c>
      <c r="H145" s="33">
        <v>1</v>
      </c>
      <c r="I145" s="434"/>
      <c r="J145" s="435"/>
      <c r="K145" s="435"/>
      <c r="L145" s="53"/>
      <c r="M145" s="434">
        <v>118</v>
      </c>
      <c r="N145" s="435" t="s">
        <v>54</v>
      </c>
      <c r="O145" s="435"/>
      <c r="P145" s="24">
        <f t="shared" si="735"/>
        <v>0</v>
      </c>
      <c r="Q145" s="435"/>
      <c r="R145" s="435"/>
      <c r="S145" s="435"/>
      <c r="T145" s="435"/>
      <c r="U145" s="161"/>
      <c r="V145" s="434"/>
      <c r="W145" s="459">
        <f t="shared" si="763"/>
        <v>0</v>
      </c>
      <c r="X145" s="459"/>
      <c r="Y145" s="460">
        <f>284.5-284.5</f>
        <v>0</v>
      </c>
      <c r="Z145" s="459"/>
      <c r="AA145" s="461"/>
      <c r="AB145" s="459">
        <f t="shared" si="764"/>
        <v>0</v>
      </c>
      <c r="AC145" s="459"/>
      <c r="AD145" s="460">
        <v>0</v>
      </c>
      <c r="AE145" s="459"/>
      <c r="AF145" s="461"/>
      <c r="AG145" s="459">
        <f t="shared" si="765"/>
        <v>0</v>
      </c>
      <c r="AH145" s="459"/>
      <c r="AI145" s="460">
        <v>0</v>
      </c>
      <c r="AJ145" s="459"/>
      <c r="AK145" s="461"/>
      <c r="AL145" s="459">
        <f t="shared" si="766"/>
        <v>125</v>
      </c>
      <c r="AM145" s="459"/>
      <c r="AN145" s="460">
        <v>125</v>
      </c>
      <c r="AO145" s="459"/>
      <c r="AP145" s="461"/>
      <c r="AQ145" s="383"/>
      <c r="AR145" s="459">
        <f t="shared" si="767"/>
        <v>0</v>
      </c>
      <c r="AS145" s="459"/>
      <c r="AT145" s="462"/>
      <c r="AU145" s="459"/>
      <c r="AV145" s="459"/>
      <c r="AW145" s="459" t="e">
        <f t="shared" si="768"/>
        <v>#REF!</v>
      </c>
      <c r="AX145" s="459" t="e">
        <f>#REF!-AS145</f>
        <v>#REF!</v>
      </c>
      <c r="AY145" s="459" t="e">
        <f>#REF!-AT145</f>
        <v>#REF!</v>
      </c>
      <c r="AZ145" s="459" t="e">
        <f>#REF!-AU145</f>
        <v>#REF!</v>
      </c>
      <c r="BA145" s="459" t="e">
        <f>#REF!-AV145</f>
        <v>#REF!</v>
      </c>
      <c r="BB145" s="459">
        <f t="shared" si="769"/>
        <v>0</v>
      </c>
      <c r="BC145" s="459"/>
      <c r="BD145" s="461"/>
      <c r="BE145" s="459"/>
      <c r="BF145" s="459"/>
      <c r="BG145" s="459">
        <f t="shared" si="770"/>
        <v>0</v>
      </c>
      <c r="BH145" s="459"/>
      <c r="BI145" s="460"/>
      <c r="BJ145" s="459"/>
      <c r="BK145" s="459"/>
      <c r="BL145" s="459">
        <f t="shared" si="771"/>
        <v>0</v>
      </c>
      <c r="BM145" s="459"/>
      <c r="BN145" s="470"/>
      <c r="BO145" s="459"/>
      <c r="BP145" s="459"/>
      <c r="BQ145" s="459">
        <f t="shared" si="772"/>
        <v>0</v>
      </c>
      <c r="BR145" s="459"/>
      <c r="BS145" s="470"/>
      <c r="BT145" s="459"/>
      <c r="BU145" s="459"/>
      <c r="BV145" s="459">
        <f t="shared" si="773"/>
        <v>0</v>
      </c>
      <c r="BW145" s="459"/>
      <c r="BX145" s="459"/>
      <c r="BY145" s="459"/>
      <c r="BZ145" s="459"/>
      <c r="CA145" s="464">
        <f t="shared" si="774"/>
        <v>0</v>
      </c>
      <c r="CB145" s="459">
        <f t="shared" si="775"/>
        <v>0</v>
      </c>
      <c r="CC145" s="459">
        <f t="shared" si="776"/>
        <v>0</v>
      </c>
      <c r="CD145" s="459">
        <f t="shared" si="776"/>
        <v>0</v>
      </c>
      <c r="CE145" s="459">
        <f t="shared" si="776"/>
        <v>0</v>
      </c>
      <c r="CF145" s="459">
        <f t="shared" si="776"/>
        <v>0</v>
      </c>
      <c r="CG145" s="459">
        <f t="shared" si="777"/>
        <v>0</v>
      </c>
      <c r="CH145" s="459">
        <f t="shared" si="778"/>
        <v>0</v>
      </c>
      <c r="CI145" s="459">
        <f t="shared" si="778"/>
        <v>0</v>
      </c>
      <c r="CJ145" s="459">
        <f t="shared" si="778"/>
        <v>0</v>
      </c>
      <c r="CK145" s="459">
        <f t="shared" si="778"/>
        <v>0</v>
      </c>
      <c r="CL145" s="465"/>
      <c r="CM145" s="466"/>
      <c r="CN145" s="466"/>
      <c r="CO145" s="459">
        <f t="shared" si="779"/>
        <v>0</v>
      </c>
      <c r="CP145" s="459"/>
      <c r="CQ145" s="460"/>
      <c r="CR145" s="459"/>
      <c r="CS145" s="459"/>
      <c r="CT145" s="459">
        <f t="shared" si="780"/>
        <v>0</v>
      </c>
      <c r="CU145" s="459"/>
      <c r="CV145" s="460"/>
      <c r="CW145" s="459"/>
      <c r="CX145" s="459"/>
      <c r="CY145" s="459">
        <f t="shared" si="781"/>
        <v>0</v>
      </c>
      <c r="CZ145" s="459">
        <f t="shared" si="782"/>
        <v>0</v>
      </c>
      <c r="DA145" s="459">
        <f t="shared" si="782"/>
        <v>0</v>
      </c>
      <c r="DB145" s="459">
        <f t="shared" si="782"/>
        <v>0</v>
      </c>
      <c r="DC145" s="459">
        <f t="shared" si="782"/>
        <v>0</v>
      </c>
      <c r="DD145" s="459"/>
      <c r="DE145" s="459"/>
      <c r="DF145" s="459"/>
      <c r="DG145" s="459">
        <f t="shared" si="783"/>
        <v>0</v>
      </c>
      <c r="DH145" s="467"/>
      <c r="DI145" s="459">
        <f t="shared" si="784"/>
        <v>0</v>
      </c>
      <c r="DJ145" s="459">
        <f t="shared" si="785"/>
        <v>0</v>
      </c>
      <c r="DK145" s="467"/>
      <c r="DL145" s="459"/>
      <c r="DM145" s="459"/>
      <c r="DN145" s="467"/>
      <c r="DO145" s="459"/>
      <c r="DP145" s="467"/>
      <c r="DQ145" s="467"/>
      <c r="DR145" s="459">
        <f t="shared" si="733"/>
        <v>0</v>
      </c>
      <c r="DS145" s="459"/>
      <c r="DT145" s="470"/>
      <c r="DU145" s="459"/>
      <c r="DV145" s="459"/>
      <c r="DW145" s="459">
        <f t="shared" si="734"/>
        <v>0</v>
      </c>
      <c r="DX145" s="459"/>
      <c r="DY145" s="459"/>
      <c r="DZ145" s="459"/>
      <c r="EA145" s="146"/>
      <c r="EB145" s="279"/>
      <c r="EC145" s="279"/>
      <c r="ED145" s="279"/>
      <c r="EE145" s="366"/>
      <c r="EF145" s="366"/>
      <c r="EG145" s="279"/>
      <c r="EH145" s="279"/>
      <c r="EI145" s="279"/>
      <c r="EJ145" s="366"/>
      <c r="EK145" s="366"/>
      <c r="EL145" s="366">
        <v>2.58E-2</v>
      </c>
      <c r="EM145" s="280"/>
      <c r="EN145" s="279"/>
      <c r="EO145" s="265" t="e">
        <f t="shared" si="788"/>
        <v>#DIV/0!</v>
      </c>
      <c r="EP145" s="323"/>
      <c r="EQ145" s="323"/>
      <c r="ER145" s="323"/>
      <c r="ES145" s="358"/>
      <c r="ET145" s="358"/>
      <c r="EU145" s="323"/>
      <c r="EV145" s="323"/>
      <c r="EW145" s="323"/>
      <c r="EX145" s="358"/>
      <c r="EY145" s="358"/>
      <c r="EZ145" s="358">
        <v>8.5900000000000004E-2</v>
      </c>
      <c r="FA145" s="323"/>
      <c r="FB145" s="323">
        <f t="shared" si="738"/>
        <v>0</v>
      </c>
      <c r="FC145" s="279"/>
      <c r="FD145" s="279"/>
      <c r="FE145" s="279"/>
      <c r="FF145" s="366"/>
      <c r="FG145" s="366"/>
      <c r="FH145" s="279"/>
      <c r="FI145" s="279"/>
      <c r="FJ145" s="279"/>
      <c r="FK145" s="366"/>
      <c r="FL145" s="366"/>
      <c r="FM145" s="366">
        <v>8.5900000000000004E-2</v>
      </c>
      <c r="FN145" s="279"/>
      <c r="FO145" s="279"/>
    </row>
    <row r="146" spans="2:171" s="40" customFormat="1" ht="15.75" customHeight="1" x14ac:dyDescent="0.25">
      <c r="B146" s="32"/>
      <c r="C146" s="33"/>
      <c r="D146" s="33">
        <v>1</v>
      </c>
      <c r="E146" s="434">
        <v>122</v>
      </c>
      <c r="F146" s="32"/>
      <c r="G146" s="33"/>
      <c r="H146" s="33">
        <v>1</v>
      </c>
      <c r="I146" s="434"/>
      <c r="J146" s="435"/>
      <c r="K146" s="435"/>
      <c r="L146" s="53"/>
      <c r="M146" s="434">
        <v>119</v>
      </c>
      <c r="N146" s="435" t="s">
        <v>112</v>
      </c>
      <c r="O146" s="435"/>
      <c r="P146" s="24">
        <f t="shared" si="735"/>
        <v>0</v>
      </c>
      <c r="Q146" s="435"/>
      <c r="R146" s="435"/>
      <c r="S146" s="435" t="s">
        <v>491</v>
      </c>
      <c r="T146" s="435" t="s">
        <v>488</v>
      </c>
      <c r="U146" s="161">
        <v>1</v>
      </c>
      <c r="V146" s="434">
        <v>1</v>
      </c>
      <c r="W146" s="459">
        <f t="shared" si="763"/>
        <v>724.5</v>
      </c>
      <c r="X146" s="459"/>
      <c r="Y146" s="460">
        <v>724.5</v>
      </c>
      <c r="Z146" s="459"/>
      <c r="AA146" s="461"/>
      <c r="AB146" s="459">
        <f t="shared" si="764"/>
        <v>841.8</v>
      </c>
      <c r="AC146" s="459"/>
      <c r="AD146" s="460">
        <v>841.8</v>
      </c>
      <c r="AE146" s="459"/>
      <c r="AF146" s="461"/>
      <c r="AG146" s="459">
        <f t="shared" si="765"/>
        <v>841.8</v>
      </c>
      <c r="AH146" s="459"/>
      <c r="AI146" s="460">
        <v>841.8</v>
      </c>
      <c r="AJ146" s="459"/>
      <c r="AK146" s="461"/>
      <c r="AL146" s="459">
        <f t="shared" si="766"/>
        <v>366</v>
      </c>
      <c r="AM146" s="459"/>
      <c r="AN146" s="460">
        <v>366</v>
      </c>
      <c r="AO146" s="459"/>
      <c r="AP146" s="461"/>
      <c r="AQ146" s="398" t="s">
        <v>546</v>
      </c>
      <c r="AR146" s="459">
        <f t="shared" si="767"/>
        <v>724.5</v>
      </c>
      <c r="AS146" s="459"/>
      <c r="AT146" s="462">
        <v>724.5</v>
      </c>
      <c r="AU146" s="459"/>
      <c r="AV146" s="461"/>
      <c r="AW146" s="459" t="e">
        <f t="shared" si="768"/>
        <v>#REF!</v>
      </c>
      <c r="AX146" s="459" t="e">
        <f>#REF!-AS146</f>
        <v>#REF!</v>
      </c>
      <c r="AY146" s="459" t="e">
        <f>#REF!-AT146</f>
        <v>#REF!</v>
      </c>
      <c r="AZ146" s="459" t="e">
        <f>#REF!-AU146</f>
        <v>#REF!</v>
      </c>
      <c r="BA146" s="459" t="e">
        <f>#REF!-AV146</f>
        <v>#REF!</v>
      </c>
      <c r="BB146" s="459">
        <f t="shared" si="769"/>
        <v>841.8</v>
      </c>
      <c r="BC146" s="459"/>
      <c r="BD146" s="460">
        <v>841.8</v>
      </c>
      <c r="BE146" s="459"/>
      <c r="BF146" s="461"/>
      <c r="BG146" s="459">
        <f t="shared" si="770"/>
        <v>0</v>
      </c>
      <c r="BH146" s="459"/>
      <c r="BI146" s="461"/>
      <c r="BJ146" s="459"/>
      <c r="BK146" s="461"/>
      <c r="BL146" s="459">
        <f t="shared" si="771"/>
        <v>724.5</v>
      </c>
      <c r="BM146" s="459"/>
      <c r="BN146" s="462">
        <v>724.5</v>
      </c>
      <c r="BO146" s="459"/>
      <c r="BP146" s="470"/>
      <c r="BQ146" s="459">
        <f t="shared" si="772"/>
        <v>724.5</v>
      </c>
      <c r="BR146" s="459"/>
      <c r="BS146" s="462">
        <v>724.5</v>
      </c>
      <c r="BT146" s="459"/>
      <c r="BU146" s="461"/>
      <c r="BV146" s="459">
        <f t="shared" si="773"/>
        <v>143.18054000000001</v>
      </c>
      <c r="BW146" s="459"/>
      <c r="BX146" s="459">
        <v>143.18054000000001</v>
      </c>
      <c r="BY146" s="459"/>
      <c r="BZ146" s="459"/>
      <c r="CA146" s="464">
        <f t="shared" si="774"/>
        <v>867.68054000000006</v>
      </c>
      <c r="CB146" s="459">
        <f t="shared" si="775"/>
        <v>867.68054000000006</v>
      </c>
      <c r="CC146" s="459">
        <f t="shared" si="776"/>
        <v>0</v>
      </c>
      <c r="CD146" s="459">
        <f t="shared" si="776"/>
        <v>867.68054000000006</v>
      </c>
      <c r="CE146" s="459">
        <f t="shared" si="776"/>
        <v>0</v>
      </c>
      <c r="CF146" s="459">
        <f t="shared" si="776"/>
        <v>0</v>
      </c>
      <c r="CG146" s="459">
        <f t="shared" si="777"/>
        <v>0</v>
      </c>
      <c r="CH146" s="459">
        <f t="shared" si="778"/>
        <v>0</v>
      </c>
      <c r="CI146" s="459">
        <f t="shared" si="778"/>
        <v>0</v>
      </c>
      <c r="CJ146" s="459">
        <f t="shared" si="778"/>
        <v>0</v>
      </c>
      <c r="CK146" s="459">
        <f t="shared" si="778"/>
        <v>0</v>
      </c>
      <c r="CL146" s="465"/>
      <c r="CM146" s="466">
        <f>BB137-CM138-CM140</f>
        <v>2532.3000000000011</v>
      </c>
      <c r="CN146" s="466">
        <f>CM146</f>
        <v>2532.3000000000011</v>
      </c>
      <c r="CO146" s="459">
        <f t="shared" si="779"/>
        <v>0</v>
      </c>
      <c r="CP146" s="459"/>
      <c r="CQ146" s="461"/>
      <c r="CR146" s="459"/>
      <c r="CS146" s="461"/>
      <c r="CT146" s="459">
        <f t="shared" si="780"/>
        <v>0</v>
      </c>
      <c r="CU146" s="459"/>
      <c r="CV146" s="461"/>
      <c r="CW146" s="459"/>
      <c r="CX146" s="461"/>
      <c r="CY146" s="459">
        <f t="shared" si="781"/>
        <v>0</v>
      </c>
      <c r="CZ146" s="459">
        <f t="shared" si="782"/>
        <v>0</v>
      </c>
      <c r="DA146" s="459">
        <f t="shared" si="782"/>
        <v>0</v>
      </c>
      <c r="DB146" s="459">
        <f t="shared" si="782"/>
        <v>0</v>
      </c>
      <c r="DC146" s="459">
        <f t="shared" si="782"/>
        <v>0</v>
      </c>
      <c r="DD146" s="459"/>
      <c r="DE146" s="459"/>
      <c r="DF146" s="459"/>
      <c r="DG146" s="459">
        <f t="shared" si="783"/>
        <v>0</v>
      </c>
      <c r="DH146" s="467"/>
      <c r="DI146" s="459">
        <f t="shared" si="784"/>
        <v>724.5</v>
      </c>
      <c r="DJ146" s="459">
        <f t="shared" si="785"/>
        <v>724.5</v>
      </c>
      <c r="DK146" s="467"/>
      <c r="DL146" s="459">
        <f>DJ146+DJ148+DJ150</f>
        <v>2408.85925</v>
      </c>
      <c r="DM146" s="459">
        <f>DG146+DG148+DG150</f>
        <v>0</v>
      </c>
      <c r="DN146" s="467"/>
      <c r="DO146" s="459">
        <f>CN146-DL146</f>
        <v>123.44075000000112</v>
      </c>
      <c r="DP146" s="467"/>
      <c r="DQ146" s="467"/>
      <c r="DR146" s="459">
        <f t="shared" si="733"/>
        <v>724.5</v>
      </c>
      <c r="DS146" s="459"/>
      <c r="DT146" s="462">
        <v>724.5</v>
      </c>
      <c r="DU146" s="459"/>
      <c r="DV146" s="461"/>
      <c r="DW146" s="459">
        <f t="shared" si="734"/>
        <v>143.18054000000001</v>
      </c>
      <c r="DX146" s="459"/>
      <c r="DY146" s="459">
        <v>143.18054000000001</v>
      </c>
      <c r="DZ146" s="459"/>
      <c r="EA146" s="146"/>
      <c r="EB146" s="279"/>
      <c r="EC146" s="279"/>
      <c r="ED146" s="279"/>
      <c r="EE146" s="366"/>
      <c r="EF146" s="366"/>
      <c r="EG146" s="279"/>
      <c r="EH146" s="279"/>
      <c r="EI146" s="279"/>
      <c r="EJ146" s="366"/>
      <c r="EK146" s="366"/>
      <c r="EL146" s="366">
        <v>2.5399999999999999E-2</v>
      </c>
      <c r="EM146" s="280"/>
      <c r="EN146" s="279"/>
      <c r="EO146" s="265" t="e">
        <f t="shared" si="788"/>
        <v>#DIV/0!</v>
      </c>
      <c r="EP146" s="323">
        <f t="shared" si="736"/>
        <v>867.68054000000006</v>
      </c>
      <c r="EQ146" s="323">
        <f t="shared" si="796"/>
        <v>724.5</v>
      </c>
      <c r="ER146" s="323">
        <v>143.18054000000001</v>
      </c>
      <c r="ES146" s="358">
        <f t="shared" si="789"/>
        <v>0.83498472836558024</v>
      </c>
      <c r="ET146" s="358">
        <f t="shared" si="790"/>
        <v>0.16501527163441973</v>
      </c>
      <c r="EU146" s="323">
        <f t="shared" si="737"/>
        <v>867.68054000000006</v>
      </c>
      <c r="EV146" s="323">
        <f t="shared" si="791"/>
        <v>724.5</v>
      </c>
      <c r="EW146" s="323">
        <f t="shared" si="792"/>
        <v>143.18054000000001</v>
      </c>
      <c r="EX146" s="358">
        <f t="shared" si="793"/>
        <v>0.83498472836558024</v>
      </c>
      <c r="EY146" s="358">
        <f t="shared" si="794"/>
        <v>0.16501527163441973</v>
      </c>
      <c r="EZ146" s="358">
        <v>8.48E-2</v>
      </c>
      <c r="FA146" s="323">
        <f t="shared" si="795"/>
        <v>724.5</v>
      </c>
      <c r="FB146" s="323">
        <f t="shared" si="738"/>
        <v>0</v>
      </c>
      <c r="FC146" s="279">
        <f t="shared" si="797"/>
        <v>0</v>
      </c>
      <c r="FD146" s="279">
        <f t="shared" si="759"/>
        <v>0</v>
      </c>
      <c r="FE146" s="279"/>
      <c r="FF146" s="366" t="e">
        <f t="shared" si="798"/>
        <v>#DIV/0!</v>
      </c>
      <c r="FG146" s="366" t="e">
        <f t="shared" si="799"/>
        <v>#DIV/0!</v>
      </c>
      <c r="FH146" s="279">
        <f t="shared" si="761"/>
        <v>0</v>
      </c>
      <c r="FI146" s="279">
        <f t="shared" si="446"/>
        <v>0</v>
      </c>
      <c r="FJ146" s="279">
        <f t="shared" si="447"/>
        <v>0</v>
      </c>
      <c r="FK146" s="366" t="e">
        <f t="shared" si="800"/>
        <v>#DIV/0!</v>
      </c>
      <c r="FL146" s="366" t="e">
        <f t="shared" si="801"/>
        <v>#DIV/0!</v>
      </c>
      <c r="FM146" s="366">
        <v>8.48E-2</v>
      </c>
      <c r="FN146" s="279" t="e">
        <f t="shared" si="581"/>
        <v>#DIV/0!</v>
      </c>
      <c r="FO146" s="279" t="e">
        <f t="shared" si="762"/>
        <v>#DIV/0!</v>
      </c>
    </row>
    <row r="147" spans="2:171" s="40" customFormat="1" ht="15.6" customHeight="1" x14ac:dyDescent="0.25">
      <c r="B147" s="32"/>
      <c r="C147" s="33">
        <v>1</v>
      </c>
      <c r="D147" s="33"/>
      <c r="E147" s="434">
        <v>123</v>
      </c>
      <c r="F147" s="32"/>
      <c r="G147" s="33"/>
      <c r="H147" s="33"/>
      <c r="M147" s="434">
        <v>120</v>
      </c>
      <c r="N147" s="435" t="s">
        <v>232</v>
      </c>
      <c r="O147" s="435"/>
      <c r="P147" s="24">
        <f t="shared" si="735"/>
        <v>0</v>
      </c>
      <c r="Q147" s="435"/>
      <c r="R147" s="435"/>
      <c r="S147" s="435"/>
      <c r="T147" s="435"/>
      <c r="U147" s="161"/>
      <c r="V147" s="434"/>
      <c r="W147" s="459">
        <f t="shared" si="763"/>
        <v>0</v>
      </c>
      <c r="X147" s="459"/>
      <c r="Y147" s="460">
        <f>225.1-225.1</f>
        <v>0</v>
      </c>
      <c r="Z147" s="459"/>
      <c r="AA147" s="472"/>
      <c r="AB147" s="459">
        <f t="shared" si="764"/>
        <v>0</v>
      </c>
      <c r="AC147" s="459"/>
      <c r="AD147" s="460">
        <v>0</v>
      </c>
      <c r="AE147" s="459"/>
      <c r="AF147" s="472"/>
      <c r="AG147" s="459">
        <f t="shared" si="765"/>
        <v>0</v>
      </c>
      <c r="AH147" s="459"/>
      <c r="AI147" s="460">
        <v>0</v>
      </c>
      <c r="AJ147" s="459"/>
      <c r="AK147" s="472"/>
      <c r="AL147" s="459">
        <f t="shared" si="766"/>
        <v>99</v>
      </c>
      <c r="AM147" s="459"/>
      <c r="AN147" s="460">
        <v>99</v>
      </c>
      <c r="AO147" s="459"/>
      <c r="AP147" s="467"/>
      <c r="AQ147" s="399"/>
      <c r="AR147" s="459">
        <f t="shared" si="767"/>
        <v>0</v>
      </c>
      <c r="AS147" s="459"/>
      <c r="AT147" s="469"/>
      <c r="AU147" s="459"/>
      <c r="AV147" s="459"/>
      <c r="AW147" s="459" t="e">
        <f t="shared" si="768"/>
        <v>#REF!</v>
      </c>
      <c r="AX147" s="459" t="e">
        <f>#REF!-AS147</f>
        <v>#REF!</v>
      </c>
      <c r="AY147" s="459" t="e">
        <f>#REF!-AT147</f>
        <v>#REF!</v>
      </c>
      <c r="AZ147" s="459" t="e">
        <f>#REF!-AU147</f>
        <v>#REF!</v>
      </c>
      <c r="BA147" s="459" t="e">
        <f>#REF!-AV147</f>
        <v>#REF!</v>
      </c>
      <c r="BB147" s="459">
        <f t="shared" si="769"/>
        <v>0</v>
      </c>
      <c r="BC147" s="459"/>
      <c r="BD147" s="459"/>
      <c r="BE147" s="459"/>
      <c r="BF147" s="459"/>
      <c r="BG147" s="459">
        <f t="shared" si="770"/>
        <v>0</v>
      </c>
      <c r="BH147" s="459"/>
      <c r="BI147" s="459"/>
      <c r="BJ147" s="459"/>
      <c r="BK147" s="459"/>
      <c r="BL147" s="459">
        <f t="shared" si="771"/>
        <v>0</v>
      </c>
      <c r="BM147" s="459"/>
      <c r="BN147" s="459"/>
      <c r="BO147" s="459"/>
      <c r="BP147" s="459"/>
      <c r="BQ147" s="459">
        <f t="shared" si="772"/>
        <v>0</v>
      </c>
      <c r="BR147" s="459"/>
      <c r="BS147" s="459"/>
      <c r="BT147" s="459"/>
      <c r="BU147" s="459"/>
      <c r="BV147" s="459">
        <f t="shared" si="773"/>
        <v>0</v>
      </c>
      <c r="BW147" s="459"/>
      <c r="BX147" s="459"/>
      <c r="BY147" s="459"/>
      <c r="BZ147" s="459"/>
      <c r="CA147" s="464">
        <f t="shared" si="774"/>
        <v>0</v>
      </c>
      <c r="CB147" s="459">
        <f t="shared" si="775"/>
        <v>0</v>
      </c>
      <c r="CC147" s="459">
        <f t="shared" si="776"/>
        <v>0</v>
      </c>
      <c r="CD147" s="459">
        <f t="shared" si="776"/>
        <v>0</v>
      </c>
      <c r="CE147" s="459">
        <f t="shared" si="776"/>
        <v>0</v>
      </c>
      <c r="CF147" s="459">
        <f t="shared" si="776"/>
        <v>0</v>
      </c>
      <c r="CG147" s="459">
        <f t="shared" si="777"/>
        <v>0</v>
      </c>
      <c r="CH147" s="459">
        <f t="shared" si="778"/>
        <v>0</v>
      </c>
      <c r="CI147" s="459">
        <f t="shared" si="778"/>
        <v>0</v>
      </c>
      <c r="CJ147" s="459">
        <f t="shared" si="778"/>
        <v>0</v>
      </c>
      <c r="CK147" s="459">
        <f t="shared" si="778"/>
        <v>0</v>
      </c>
      <c r="CL147" s="465"/>
      <c r="CM147" s="466"/>
      <c r="CN147" s="466"/>
      <c r="CO147" s="459">
        <f t="shared" si="779"/>
        <v>0</v>
      </c>
      <c r="CP147" s="459"/>
      <c r="CQ147" s="459"/>
      <c r="CR147" s="459"/>
      <c r="CS147" s="459"/>
      <c r="CT147" s="459">
        <f t="shared" si="780"/>
        <v>0</v>
      </c>
      <c r="CU147" s="459"/>
      <c r="CV147" s="459"/>
      <c r="CW147" s="459"/>
      <c r="CX147" s="459"/>
      <c r="CY147" s="459">
        <f t="shared" si="781"/>
        <v>0</v>
      </c>
      <c r="CZ147" s="459">
        <f t="shared" si="782"/>
        <v>0</v>
      </c>
      <c r="DA147" s="459">
        <f t="shared" si="782"/>
        <v>0</v>
      </c>
      <c r="DB147" s="459">
        <f t="shared" si="782"/>
        <v>0</v>
      </c>
      <c r="DC147" s="459">
        <f t="shared" si="782"/>
        <v>0</v>
      </c>
      <c r="DD147" s="459"/>
      <c r="DE147" s="459"/>
      <c r="DF147" s="459"/>
      <c r="DG147" s="459">
        <f t="shared" si="783"/>
        <v>0</v>
      </c>
      <c r="DH147" s="467"/>
      <c r="DI147" s="459">
        <f t="shared" si="784"/>
        <v>0</v>
      </c>
      <c r="DJ147" s="459">
        <f t="shared" si="785"/>
        <v>0</v>
      </c>
      <c r="DK147" s="467"/>
      <c r="DL147" s="459"/>
      <c r="DM147" s="459"/>
      <c r="DN147" s="467"/>
      <c r="DO147" s="459"/>
      <c r="DP147" s="467"/>
      <c r="DQ147" s="467"/>
      <c r="DR147" s="459">
        <f t="shared" si="733"/>
        <v>0</v>
      </c>
      <c r="DS147" s="459"/>
      <c r="DT147" s="459"/>
      <c r="DU147" s="459"/>
      <c r="DV147" s="459"/>
      <c r="DW147" s="459">
        <f t="shared" si="734"/>
        <v>0</v>
      </c>
      <c r="DX147" s="459"/>
      <c r="DY147" s="459"/>
      <c r="DZ147" s="459"/>
      <c r="EA147" s="146"/>
      <c r="EB147" s="279"/>
      <c r="EC147" s="279"/>
      <c r="ED147" s="279"/>
      <c r="EE147" s="366"/>
      <c r="EF147" s="366"/>
      <c r="EG147" s="279"/>
      <c r="EH147" s="279"/>
      <c r="EI147" s="279"/>
      <c r="EJ147" s="366"/>
      <c r="EK147" s="366"/>
      <c r="EL147" s="366">
        <v>5.9400000000000001E-2</v>
      </c>
      <c r="EM147" s="280"/>
      <c r="EN147" s="279"/>
      <c r="EO147" s="265" t="e">
        <f t="shared" si="788"/>
        <v>#DIV/0!</v>
      </c>
      <c r="EP147" s="323"/>
      <c r="EQ147" s="323"/>
      <c r="ER147" s="323"/>
      <c r="ES147" s="358"/>
      <c r="ET147" s="358"/>
      <c r="EU147" s="323"/>
      <c r="EV147" s="323"/>
      <c r="EW147" s="323"/>
      <c r="EX147" s="358"/>
      <c r="EY147" s="358"/>
      <c r="EZ147" s="358">
        <v>0.19800000000000001</v>
      </c>
      <c r="FA147" s="323"/>
      <c r="FB147" s="323">
        <f t="shared" si="738"/>
        <v>0</v>
      </c>
      <c r="FC147" s="279"/>
      <c r="FD147" s="279"/>
      <c r="FE147" s="279"/>
      <c r="FF147" s="366"/>
      <c r="FG147" s="366"/>
      <c r="FH147" s="279"/>
      <c r="FI147" s="279"/>
      <c r="FJ147" s="279"/>
      <c r="FK147" s="366"/>
      <c r="FL147" s="366"/>
      <c r="FM147" s="366">
        <v>0.19800000000000001</v>
      </c>
      <c r="FN147" s="279"/>
      <c r="FO147" s="279"/>
    </row>
    <row r="148" spans="2:171" s="40" customFormat="1" ht="14.45" customHeight="1" x14ac:dyDescent="0.25">
      <c r="B148" s="32"/>
      <c r="C148" s="33"/>
      <c r="D148" s="33">
        <v>1</v>
      </c>
      <c r="E148" s="434">
        <v>124</v>
      </c>
      <c r="F148" s="32"/>
      <c r="G148" s="33"/>
      <c r="H148" s="33">
        <v>1</v>
      </c>
      <c r="I148" s="434"/>
      <c r="J148" s="435"/>
      <c r="K148" s="435"/>
      <c r="L148" s="53"/>
      <c r="M148" s="434">
        <v>121</v>
      </c>
      <c r="N148" s="435" t="s">
        <v>113</v>
      </c>
      <c r="O148" s="435"/>
      <c r="P148" s="24">
        <f t="shared" si="735"/>
        <v>0</v>
      </c>
      <c r="Q148" s="435" t="s">
        <v>491</v>
      </c>
      <c r="R148" s="435" t="s">
        <v>488</v>
      </c>
      <c r="S148" s="435"/>
      <c r="T148" s="435"/>
      <c r="U148" s="161">
        <v>1</v>
      </c>
      <c r="V148" s="434"/>
      <c r="W148" s="459">
        <f t="shared" si="763"/>
        <v>904.6</v>
      </c>
      <c r="X148" s="459"/>
      <c r="Y148" s="460">
        <v>904.6</v>
      </c>
      <c r="Z148" s="459"/>
      <c r="AA148" s="461"/>
      <c r="AB148" s="459">
        <f t="shared" si="764"/>
        <v>913.1</v>
      </c>
      <c r="AC148" s="459"/>
      <c r="AD148" s="460">
        <v>913.1</v>
      </c>
      <c r="AE148" s="459"/>
      <c r="AF148" s="461"/>
      <c r="AG148" s="459">
        <f t="shared" si="765"/>
        <v>913.1</v>
      </c>
      <c r="AH148" s="459"/>
      <c r="AI148" s="460">
        <v>913.1</v>
      </c>
      <c r="AJ148" s="459"/>
      <c r="AK148" s="461"/>
      <c r="AL148" s="459">
        <f t="shared" si="766"/>
        <v>397</v>
      </c>
      <c r="AM148" s="459"/>
      <c r="AN148" s="460">
        <v>397</v>
      </c>
      <c r="AO148" s="459"/>
      <c r="AP148" s="461"/>
      <c r="AQ148" s="398" t="s">
        <v>367</v>
      </c>
      <c r="AR148" s="459">
        <f t="shared" si="767"/>
        <v>904.6</v>
      </c>
      <c r="AS148" s="459"/>
      <c r="AT148" s="462">
        <v>904.6</v>
      </c>
      <c r="AU148" s="459"/>
      <c r="AV148" s="461"/>
      <c r="AW148" s="459" t="e">
        <f t="shared" si="768"/>
        <v>#REF!</v>
      </c>
      <c r="AX148" s="459" t="e">
        <f>#REF!-AS148</f>
        <v>#REF!</v>
      </c>
      <c r="AY148" s="459" t="e">
        <f>#REF!-AT148</f>
        <v>#REF!</v>
      </c>
      <c r="AZ148" s="459" t="e">
        <f>#REF!-AU148</f>
        <v>#REF!</v>
      </c>
      <c r="BA148" s="459" t="e">
        <f>#REF!-AV148</f>
        <v>#REF!</v>
      </c>
      <c r="BB148" s="459">
        <f t="shared" si="769"/>
        <v>913.1</v>
      </c>
      <c r="BC148" s="459"/>
      <c r="BD148" s="460">
        <f>352.619+560.481</f>
        <v>913.1</v>
      </c>
      <c r="BE148" s="459"/>
      <c r="BF148" s="461"/>
      <c r="BG148" s="459">
        <f t="shared" si="770"/>
        <v>0</v>
      </c>
      <c r="BH148" s="459"/>
      <c r="BI148" s="460"/>
      <c r="BJ148" s="459"/>
      <c r="BK148" s="461"/>
      <c r="BL148" s="459">
        <f t="shared" si="771"/>
        <v>904.6</v>
      </c>
      <c r="BM148" s="459"/>
      <c r="BN148" s="462">
        <v>904.6</v>
      </c>
      <c r="BO148" s="459"/>
      <c r="BP148" s="470"/>
      <c r="BQ148" s="459">
        <f t="shared" si="772"/>
        <v>904.6</v>
      </c>
      <c r="BR148" s="459"/>
      <c r="BS148" s="462">
        <v>904.6</v>
      </c>
      <c r="BT148" s="459"/>
      <c r="BU148" s="461"/>
      <c r="BV148" s="459">
        <f t="shared" si="773"/>
        <v>928.46199999999999</v>
      </c>
      <c r="BW148" s="459"/>
      <c r="BX148" s="459">
        <f>7.186+921.276</f>
        <v>928.46199999999999</v>
      </c>
      <c r="BY148" s="459"/>
      <c r="BZ148" s="459"/>
      <c r="CA148" s="464">
        <f t="shared" si="774"/>
        <v>1833.0619999999999</v>
      </c>
      <c r="CB148" s="459">
        <f t="shared" si="775"/>
        <v>1833.0619999999999</v>
      </c>
      <c r="CC148" s="459">
        <f t="shared" si="776"/>
        <v>0</v>
      </c>
      <c r="CD148" s="459">
        <f t="shared" si="776"/>
        <v>1833.0619999999999</v>
      </c>
      <c r="CE148" s="459">
        <f t="shared" si="776"/>
        <v>0</v>
      </c>
      <c r="CF148" s="459">
        <f t="shared" si="776"/>
        <v>0</v>
      </c>
      <c r="CG148" s="459">
        <f t="shared" si="777"/>
        <v>0</v>
      </c>
      <c r="CH148" s="459">
        <f t="shared" si="778"/>
        <v>0</v>
      </c>
      <c r="CI148" s="459">
        <f t="shared" si="778"/>
        <v>0</v>
      </c>
      <c r="CJ148" s="459">
        <f t="shared" si="778"/>
        <v>0</v>
      </c>
      <c r="CK148" s="459">
        <f t="shared" si="778"/>
        <v>0</v>
      </c>
      <c r="CL148" s="465"/>
      <c r="CM148" s="466"/>
      <c r="CN148" s="466"/>
      <c r="CO148" s="459">
        <f t="shared" si="779"/>
        <v>0</v>
      </c>
      <c r="CP148" s="459"/>
      <c r="CQ148" s="460"/>
      <c r="CR148" s="459"/>
      <c r="CS148" s="461"/>
      <c r="CT148" s="459">
        <f t="shared" si="780"/>
        <v>0</v>
      </c>
      <c r="CU148" s="459"/>
      <c r="CV148" s="460"/>
      <c r="CW148" s="459"/>
      <c r="CX148" s="461"/>
      <c r="CY148" s="459">
        <f t="shared" si="781"/>
        <v>0</v>
      </c>
      <c r="CZ148" s="459">
        <f t="shared" si="782"/>
        <v>0</v>
      </c>
      <c r="DA148" s="459">
        <f t="shared" si="782"/>
        <v>0</v>
      </c>
      <c r="DB148" s="459">
        <f t="shared" si="782"/>
        <v>0</v>
      </c>
      <c r="DC148" s="459">
        <f t="shared" si="782"/>
        <v>0</v>
      </c>
      <c r="DD148" s="459"/>
      <c r="DE148" s="459"/>
      <c r="DF148" s="459"/>
      <c r="DG148" s="459">
        <f t="shared" si="783"/>
        <v>0</v>
      </c>
      <c r="DH148" s="467"/>
      <c r="DI148" s="459">
        <f t="shared" si="784"/>
        <v>904.6</v>
      </c>
      <c r="DJ148" s="459">
        <f t="shared" si="785"/>
        <v>904.6</v>
      </c>
      <c r="DK148" s="467"/>
      <c r="DL148" s="459"/>
      <c r="DM148" s="459"/>
      <c r="DN148" s="467"/>
      <c r="DO148" s="459"/>
      <c r="DP148" s="467"/>
      <c r="DQ148" s="467"/>
      <c r="DR148" s="459">
        <f t="shared" si="733"/>
        <v>904.6</v>
      </c>
      <c r="DS148" s="459"/>
      <c r="DT148" s="462">
        <v>904.6</v>
      </c>
      <c r="DU148" s="459"/>
      <c r="DV148" s="461"/>
      <c r="DW148" s="459">
        <f t="shared" si="734"/>
        <v>928.46199999999999</v>
      </c>
      <c r="DX148" s="459"/>
      <c r="DY148" s="459">
        <v>928.46199999999999</v>
      </c>
      <c r="DZ148" s="459"/>
      <c r="EA148" s="146"/>
      <c r="EB148" s="279"/>
      <c r="EC148" s="279"/>
      <c r="ED148" s="279"/>
      <c r="EE148" s="366"/>
      <c r="EF148" s="366"/>
      <c r="EG148" s="279"/>
      <c r="EH148" s="279"/>
      <c r="EI148" s="279"/>
      <c r="EJ148" s="366"/>
      <c r="EK148" s="366"/>
      <c r="EL148" s="366">
        <v>2.4299999999999999E-2</v>
      </c>
      <c r="EM148" s="280"/>
      <c r="EN148" s="279"/>
      <c r="EO148" s="265" t="e">
        <f t="shared" si="788"/>
        <v>#DIV/0!</v>
      </c>
      <c r="EP148" s="323">
        <f t="shared" si="736"/>
        <v>1833.0619999999999</v>
      </c>
      <c r="EQ148" s="323">
        <f t="shared" si="796"/>
        <v>904.6</v>
      </c>
      <c r="ER148" s="323">
        <v>928.46199999999999</v>
      </c>
      <c r="ES148" s="358">
        <f t="shared" si="789"/>
        <v>0.49349121851852262</v>
      </c>
      <c r="ET148" s="358">
        <f t="shared" si="790"/>
        <v>0.50650878148147749</v>
      </c>
      <c r="EU148" s="323">
        <f t="shared" si="737"/>
        <v>1833.0619999999999</v>
      </c>
      <c r="EV148" s="323">
        <f t="shared" si="791"/>
        <v>904.6</v>
      </c>
      <c r="EW148" s="323">
        <f t="shared" si="792"/>
        <v>928.46199999999999</v>
      </c>
      <c r="EX148" s="358">
        <f t="shared" si="793"/>
        <v>0.49349121851852262</v>
      </c>
      <c r="EY148" s="358">
        <f t="shared" si="794"/>
        <v>0.50650878148147749</v>
      </c>
      <c r="EZ148" s="358">
        <v>8.1100000000000005E-2</v>
      </c>
      <c r="FA148" s="323">
        <f t="shared" si="795"/>
        <v>904.6</v>
      </c>
      <c r="FB148" s="323">
        <f t="shared" si="738"/>
        <v>0</v>
      </c>
      <c r="FC148" s="279"/>
      <c r="FD148" s="279"/>
      <c r="FE148" s="279"/>
      <c r="FF148" s="366"/>
      <c r="FG148" s="366"/>
      <c r="FH148" s="279"/>
      <c r="FI148" s="279"/>
      <c r="FJ148" s="279"/>
      <c r="FK148" s="366"/>
      <c r="FL148" s="366"/>
      <c r="FM148" s="366">
        <v>8.1100000000000005E-2</v>
      </c>
      <c r="FN148" s="279"/>
      <c r="FO148" s="279"/>
    </row>
    <row r="149" spans="2:171" s="40" customFormat="1" ht="15.6" customHeight="1" x14ac:dyDescent="0.25">
      <c r="B149" s="32"/>
      <c r="C149" s="33">
        <v>1</v>
      </c>
      <c r="D149" s="33"/>
      <c r="E149" s="434">
        <v>125</v>
      </c>
      <c r="F149" s="32"/>
      <c r="G149" s="33">
        <v>1</v>
      </c>
      <c r="H149" s="33">
        <v>1</v>
      </c>
      <c r="I149" s="434"/>
      <c r="J149" s="435"/>
      <c r="K149" s="435"/>
      <c r="L149" s="53"/>
      <c r="M149" s="434">
        <v>122</v>
      </c>
      <c r="N149" s="435" t="s">
        <v>55</v>
      </c>
      <c r="O149" s="435"/>
      <c r="P149" s="24">
        <f t="shared" si="735"/>
        <v>0</v>
      </c>
      <c r="Q149" s="435"/>
      <c r="R149" s="435"/>
      <c r="S149" s="435" t="s">
        <v>491</v>
      </c>
      <c r="T149" s="435" t="s">
        <v>488</v>
      </c>
      <c r="U149" s="161">
        <v>2</v>
      </c>
      <c r="V149" s="434">
        <v>1</v>
      </c>
      <c r="W149" s="459">
        <f t="shared" si="763"/>
        <v>628.29999999999995</v>
      </c>
      <c r="X149" s="459">
        <f>8730.5-8730.5</f>
        <v>0</v>
      </c>
      <c r="Y149" s="460">
        <v>628.29999999999995</v>
      </c>
      <c r="Z149" s="459"/>
      <c r="AA149" s="461"/>
      <c r="AB149" s="459">
        <f t="shared" si="764"/>
        <v>13116.4</v>
      </c>
      <c r="AC149" s="459">
        <v>12500</v>
      </c>
      <c r="AD149" s="460">
        <v>616.4</v>
      </c>
      <c r="AE149" s="459"/>
      <c r="AF149" s="461"/>
      <c r="AG149" s="459">
        <f t="shared" si="765"/>
        <v>616.4</v>
      </c>
      <c r="AH149" s="459"/>
      <c r="AI149" s="460">
        <v>616.4</v>
      </c>
      <c r="AJ149" s="459"/>
      <c r="AK149" s="461"/>
      <c r="AL149" s="459">
        <f t="shared" si="766"/>
        <v>268</v>
      </c>
      <c r="AM149" s="459"/>
      <c r="AN149" s="460">
        <v>268</v>
      </c>
      <c r="AO149" s="459"/>
      <c r="AP149" s="461"/>
      <c r="AQ149" s="383" t="s">
        <v>485</v>
      </c>
      <c r="AR149" s="464">
        <f t="shared" si="767"/>
        <v>628.29999999999995</v>
      </c>
      <c r="AS149" s="459">
        <f>8730.5-8730.5</f>
        <v>0</v>
      </c>
      <c r="AT149" s="462">
        <v>628.29999999999995</v>
      </c>
      <c r="AU149" s="459"/>
      <c r="AV149" s="461"/>
      <c r="AW149" s="459" t="e">
        <f t="shared" si="768"/>
        <v>#REF!</v>
      </c>
      <c r="AX149" s="459" t="e">
        <f>#REF!-AS149</f>
        <v>#REF!</v>
      </c>
      <c r="AY149" s="459" t="e">
        <f>#REF!-AT149</f>
        <v>#REF!</v>
      </c>
      <c r="AZ149" s="459" t="e">
        <f>#REF!-AU149</f>
        <v>#REF!</v>
      </c>
      <c r="BA149" s="459" t="e">
        <f>#REF!-AV149</f>
        <v>#REF!</v>
      </c>
      <c r="BB149" s="459">
        <f t="shared" si="769"/>
        <v>616.4</v>
      </c>
      <c r="BC149" s="459"/>
      <c r="BD149" s="460">
        <v>616.4</v>
      </c>
      <c r="BE149" s="459"/>
      <c r="BF149" s="461"/>
      <c r="BG149" s="459">
        <f t="shared" si="770"/>
        <v>0</v>
      </c>
      <c r="BH149" s="459"/>
      <c r="BI149" s="460"/>
      <c r="BJ149" s="459"/>
      <c r="BK149" s="461"/>
      <c r="BL149" s="459">
        <f t="shared" si="771"/>
        <v>628.29999999999995</v>
      </c>
      <c r="BM149" s="459"/>
      <c r="BN149" s="462">
        <v>628.29999999999995</v>
      </c>
      <c r="BO149" s="459"/>
      <c r="BP149" s="470"/>
      <c r="BQ149" s="459">
        <f t="shared" si="772"/>
        <v>628.29999999999995</v>
      </c>
      <c r="BR149" s="459"/>
      <c r="BS149" s="462">
        <v>628.29999999999995</v>
      </c>
      <c r="BT149" s="459"/>
      <c r="BU149" s="461"/>
      <c r="BV149" s="459">
        <f t="shared" si="773"/>
        <v>667.84900000000005</v>
      </c>
      <c r="BW149" s="459"/>
      <c r="BX149" s="459">
        <v>667.84900000000005</v>
      </c>
      <c r="BY149" s="459"/>
      <c r="BZ149" s="459"/>
      <c r="CA149" s="464">
        <f t="shared" si="774"/>
        <v>1296.1489999999999</v>
      </c>
      <c r="CB149" s="459">
        <f t="shared" si="775"/>
        <v>1296.1489999999999</v>
      </c>
      <c r="CC149" s="459">
        <f t="shared" si="776"/>
        <v>0</v>
      </c>
      <c r="CD149" s="459">
        <f t="shared" si="776"/>
        <v>1296.1489999999999</v>
      </c>
      <c r="CE149" s="459">
        <f t="shared" si="776"/>
        <v>0</v>
      </c>
      <c r="CF149" s="459">
        <f t="shared" si="776"/>
        <v>0</v>
      </c>
      <c r="CG149" s="459">
        <f t="shared" si="777"/>
        <v>0</v>
      </c>
      <c r="CH149" s="459">
        <f t="shared" si="778"/>
        <v>0</v>
      </c>
      <c r="CI149" s="459">
        <f t="shared" si="778"/>
        <v>0</v>
      </c>
      <c r="CJ149" s="459">
        <f t="shared" si="778"/>
        <v>0</v>
      </c>
      <c r="CK149" s="459">
        <f t="shared" si="778"/>
        <v>0</v>
      </c>
      <c r="CL149" s="465"/>
      <c r="CM149" s="466"/>
      <c r="CN149" s="466"/>
      <c r="CO149" s="459">
        <f t="shared" si="779"/>
        <v>0</v>
      </c>
      <c r="CP149" s="459"/>
      <c r="CQ149" s="460"/>
      <c r="CR149" s="459"/>
      <c r="CS149" s="461"/>
      <c r="CT149" s="459">
        <f t="shared" si="780"/>
        <v>0</v>
      </c>
      <c r="CU149" s="459"/>
      <c r="CV149" s="460"/>
      <c r="CW149" s="459"/>
      <c r="CX149" s="461"/>
      <c r="CY149" s="459">
        <f t="shared" si="781"/>
        <v>0</v>
      </c>
      <c r="CZ149" s="459">
        <f t="shared" si="782"/>
        <v>0</v>
      </c>
      <c r="DA149" s="459">
        <f t="shared" si="782"/>
        <v>0</v>
      </c>
      <c r="DB149" s="459">
        <f t="shared" si="782"/>
        <v>0</v>
      </c>
      <c r="DC149" s="459">
        <f t="shared" si="782"/>
        <v>0</v>
      </c>
      <c r="DD149" s="459"/>
      <c r="DE149" s="459"/>
      <c r="DF149" s="459"/>
      <c r="DG149" s="459">
        <f t="shared" si="783"/>
        <v>0</v>
      </c>
      <c r="DH149" s="467"/>
      <c r="DI149" s="459">
        <f t="shared" si="784"/>
        <v>628.29999999999995</v>
      </c>
      <c r="DJ149" s="459">
        <f t="shared" si="785"/>
        <v>628.29999999999995</v>
      </c>
      <c r="DK149" s="467"/>
      <c r="DL149" s="459"/>
      <c r="DM149" s="459"/>
      <c r="DN149" s="467"/>
      <c r="DO149" s="459"/>
      <c r="DP149" s="467"/>
      <c r="DQ149" s="467"/>
      <c r="DR149" s="459">
        <f t="shared" si="733"/>
        <v>628.29999999999995</v>
      </c>
      <c r="DS149" s="459"/>
      <c r="DT149" s="462">
        <v>628.29999999999995</v>
      </c>
      <c r="DU149" s="459"/>
      <c r="DV149" s="461"/>
      <c r="DW149" s="459">
        <f t="shared" si="734"/>
        <v>667.84900000000005</v>
      </c>
      <c r="DX149" s="459"/>
      <c r="DY149" s="459">
        <v>667.84900000000005</v>
      </c>
      <c r="DZ149" s="459"/>
      <c r="EA149" s="146"/>
      <c r="EB149" s="279">
        <f t="shared" ref="EB149" si="813">EC149+ED149</f>
        <v>0</v>
      </c>
      <c r="EC149" s="279">
        <f t="shared" si="752"/>
        <v>0</v>
      </c>
      <c r="ED149" s="279">
        <v>0</v>
      </c>
      <c r="EE149" s="366" t="e">
        <f t="shared" ref="EE149" si="814">EC149/EB149</f>
        <v>#DIV/0!</v>
      </c>
      <c r="EF149" s="366" t="e">
        <f t="shared" ref="EF149" si="815">ED149/EB149</f>
        <v>#DIV/0!</v>
      </c>
      <c r="EG149" s="279">
        <f t="shared" si="754"/>
        <v>0</v>
      </c>
      <c r="EH149" s="279">
        <f t="shared" ref="EH149" si="816">DS149</f>
        <v>0</v>
      </c>
      <c r="EI149" s="279">
        <f t="shared" ref="EI149" si="817">DX149</f>
        <v>0</v>
      </c>
      <c r="EJ149" s="366" t="e">
        <f t="shared" ref="EJ149" si="818">EH149/EG149</f>
        <v>#DIV/0!</v>
      </c>
      <c r="EK149" s="366" t="e">
        <f t="shared" ref="EK149" si="819">EI149/EG149</f>
        <v>#DIV/0!</v>
      </c>
      <c r="EL149" s="366">
        <v>2.4400000000000002E-2</v>
      </c>
      <c r="EM149" s="280" t="e">
        <f>EG149*EE149</f>
        <v>#DIV/0!</v>
      </c>
      <c r="EN149" s="279" t="e">
        <f>EH149-EM149</f>
        <v>#DIV/0!</v>
      </c>
      <c r="EO149" s="265" t="e">
        <f t="shared" si="788"/>
        <v>#DIV/0!</v>
      </c>
      <c r="EP149" s="323">
        <f t="shared" si="736"/>
        <v>1296.1489999999999</v>
      </c>
      <c r="EQ149" s="323">
        <f t="shared" si="796"/>
        <v>628.29999999999995</v>
      </c>
      <c r="ER149" s="323">
        <v>667.84900000000005</v>
      </c>
      <c r="ES149" s="358">
        <f t="shared" si="789"/>
        <v>0.48474365215727516</v>
      </c>
      <c r="ET149" s="358">
        <f t="shared" si="790"/>
        <v>0.515256347842725</v>
      </c>
      <c r="EU149" s="323">
        <f t="shared" si="737"/>
        <v>1296.1489999999999</v>
      </c>
      <c r="EV149" s="323">
        <f t="shared" si="791"/>
        <v>628.29999999999995</v>
      </c>
      <c r="EW149" s="323">
        <f t="shared" si="792"/>
        <v>667.84900000000005</v>
      </c>
      <c r="EX149" s="358">
        <f t="shared" si="793"/>
        <v>0.48474365215727516</v>
      </c>
      <c r="EY149" s="358">
        <f t="shared" si="794"/>
        <v>0.515256347842725</v>
      </c>
      <c r="EZ149" s="358">
        <v>8.1299999999999997E-2</v>
      </c>
      <c r="FA149" s="323">
        <f t="shared" si="795"/>
        <v>628.29999999999995</v>
      </c>
      <c r="FB149" s="323">
        <f t="shared" si="738"/>
        <v>0</v>
      </c>
      <c r="FC149" s="279"/>
      <c r="FD149" s="279"/>
      <c r="FE149" s="279"/>
      <c r="FF149" s="366"/>
      <c r="FG149" s="366"/>
      <c r="FH149" s="279"/>
      <c r="FI149" s="279"/>
      <c r="FJ149" s="279"/>
      <c r="FK149" s="366"/>
      <c r="FL149" s="366"/>
      <c r="FM149" s="366">
        <v>8.1299999999999997E-2</v>
      </c>
      <c r="FN149" s="279"/>
      <c r="FO149" s="279"/>
    </row>
    <row r="150" spans="2:171" s="40" customFormat="1" ht="15.75" customHeight="1" x14ac:dyDescent="0.25">
      <c r="B150" s="32"/>
      <c r="C150" s="33"/>
      <c r="D150" s="33">
        <v>1</v>
      </c>
      <c r="E150" s="434">
        <v>126</v>
      </c>
      <c r="F150" s="32"/>
      <c r="G150" s="33"/>
      <c r="H150" s="33">
        <v>1</v>
      </c>
      <c r="I150" s="434"/>
      <c r="J150" s="435"/>
      <c r="K150" s="435"/>
      <c r="L150" s="53"/>
      <c r="M150" s="451">
        <v>123</v>
      </c>
      <c r="N150" s="435" t="s">
        <v>114</v>
      </c>
      <c r="O150" s="435"/>
      <c r="P150" s="24">
        <f t="shared" si="735"/>
        <v>0</v>
      </c>
      <c r="Q150" s="435" t="s">
        <v>544</v>
      </c>
      <c r="R150" s="435" t="s">
        <v>488</v>
      </c>
      <c r="S150" s="435" t="s">
        <v>501</v>
      </c>
      <c r="T150" s="435" t="s">
        <v>488</v>
      </c>
      <c r="U150" s="161">
        <v>1</v>
      </c>
      <c r="V150" s="161">
        <v>2</v>
      </c>
      <c r="W150" s="459">
        <f t="shared" si="763"/>
        <v>779.8</v>
      </c>
      <c r="X150" s="459"/>
      <c r="Y150" s="460">
        <v>779.8</v>
      </c>
      <c r="Z150" s="459"/>
      <c r="AA150" s="461"/>
      <c r="AB150" s="459">
        <f t="shared" si="764"/>
        <v>777.4</v>
      </c>
      <c r="AC150" s="459"/>
      <c r="AD150" s="460">
        <v>777.4</v>
      </c>
      <c r="AE150" s="459"/>
      <c r="AF150" s="461"/>
      <c r="AG150" s="459">
        <f t="shared" si="765"/>
        <v>777.4</v>
      </c>
      <c r="AH150" s="459"/>
      <c r="AI150" s="460">
        <v>777.4</v>
      </c>
      <c r="AJ150" s="459"/>
      <c r="AK150" s="461"/>
      <c r="AL150" s="459">
        <f t="shared" si="766"/>
        <v>338</v>
      </c>
      <c r="AM150" s="459"/>
      <c r="AN150" s="460">
        <v>338</v>
      </c>
      <c r="AO150" s="459"/>
      <c r="AP150" s="461"/>
      <c r="AQ150" s="383" t="s">
        <v>513</v>
      </c>
      <c r="AR150" s="459">
        <f t="shared" si="767"/>
        <v>779.75924999999995</v>
      </c>
      <c r="AS150" s="459"/>
      <c r="AT150" s="460">
        <f>779.8-0.04075</f>
        <v>779.75924999999995</v>
      </c>
      <c r="AU150" s="459"/>
      <c r="AV150" s="461"/>
      <c r="AW150" s="459" t="e">
        <f t="shared" si="768"/>
        <v>#REF!</v>
      </c>
      <c r="AX150" s="459" t="e">
        <f>#REF!-AS150</f>
        <v>#REF!</v>
      </c>
      <c r="AY150" s="459" t="e">
        <f>#REF!-AT150</f>
        <v>#REF!</v>
      </c>
      <c r="AZ150" s="459" t="e">
        <f>#REF!-AU150</f>
        <v>#REF!</v>
      </c>
      <c r="BA150" s="459" t="e">
        <f>#REF!-AV150</f>
        <v>#REF!</v>
      </c>
      <c r="BB150" s="459">
        <f t="shared" si="769"/>
        <v>777.4</v>
      </c>
      <c r="BC150" s="459"/>
      <c r="BD150" s="460">
        <v>777.4</v>
      </c>
      <c r="BE150" s="459"/>
      <c r="BF150" s="461"/>
      <c r="BG150" s="459">
        <f t="shared" si="770"/>
        <v>0</v>
      </c>
      <c r="BH150" s="459"/>
      <c r="BI150" s="460"/>
      <c r="BJ150" s="459"/>
      <c r="BK150" s="461"/>
      <c r="BL150" s="459">
        <f t="shared" si="771"/>
        <v>779.75925000000007</v>
      </c>
      <c r="BM150" s="459"/>
      <c r="BN150" s="460">
        <f>635.537+144.2626-0.04035</f>
        <v>779.75925000000007</v>
      </c>
      <c r="BO150" s="459"/>
      <c r="BP150" s="470"/>
      <c r="BQ150" s="459">
        <f t="shared" si="772"/>
        <v>779.75925000000007</v>
      </c>
      <c r="BR150" s="459"/>
      <c r="BS150" s="460">
        <f>635.537+144.22225</f>
        <v>779.75925000000007</v>
      </c>
      <c r="BT150" s="459"/>
      <c r="BU150" s="461"/>
      <c r="BV150" s="459">
        <f t="shared" si="773"/>
        <v>260</v>
      </c>
      <c r="BW150" s="459"/>
      <c r="BX150" s="459">
        <f>211.9+48.1</f>
        <v>260</v>
      </c>
      <c r="BY150" s="459"/>
      <c r="BZ150" s="459"/>
      <c r="CA150" s="464">
        <f t="shared" si="774"/>
        <v>1039.7592500000001</v>
      </c>
      <c r="CB150" s="459">
        <f t="shared" si="775"/>
        <v>1039.7592500000001</v>
      </c>
      <c r="CC150" s="459">
        <f t="shared" si="776"/>
        <v>0</v>
      </c>
      <c r="CD150" s="459">
        <f t="shared" si="776"/>
        <v>1039.7592500000001</v>
      </c>
      <c r="CE150" s="459">
        <f t="shared" si="776"/>
        <v>0</v>
      </c>
      <c r="CF150" s="459">
        <f t="shared" si="776"/>
        <v>0</v>
      </c>
      <c r="CG150" s="459">
        <f t="shared" si="777"/>
        <v>0</v>
      </c>
      <c r="CH150" s="459">
        <f t="shared" si="778"/>
        <v>0</v>
      </c>
      <c r="CI150" s="459">
        <f t="shared" si="778"/>
        <v>0</v>
      </c>
      <c r="CJ150" s="459">
        <f t="shared" si="778"/>
        <v>0</v>
      </c>
      <c r="CK150" s="459">
        <f t="shared" si="778"/>
        <v>0</v>
      </c>
      <c r="CL150" s="465"/>
      <c r="CM150" s="466"/>
      <c r="CN150" s="466"/>
      <c r="CO150" s="459">
        <f t="shared" si="779"/>
        <v>0</v>
      </c>
      <c r="CP150" s="459"/>
      <c r="CQ150" s="460"/>
      <c r="CR150" s="459"/>
      <c r="CS150" s="461"/>
      <c r="CT150" s="459">
        <f t="shared" si="780"/>
        <v>0</v>
      </c>
      <c r="CU150" s="459"/>
      <c r="CV150" s="460"/>
      <c r="CW150" s="459"/>
      <c r="CX150" s="461"/>
      <c r="CY150" s="459">
        <f t="shared" si="781"/>
        <v>0</v>
      </c>
      <c r="CZ150" s="459">
        <f t="shared" si="782"/>
        <v>0</v>
      </c>
      <c r="DA150" s="459">
        <f t="shared" si="782"/>
        <v>0</v>
      </c>
      <c r="DB150" s="459">
        <f t="shared" si="782"/>
        <v>0</v>
      </c>
      <c r="DC150" s="459">
        <f t="shared" si="782"/>
        <v>0</v>
      </c>
      <c r="DD150" s="459"/>
      <c r="DE150" s="459"/>
      <c r="DF150" s="459"/>
      <c r="DG150" s="459">
        <f t="shared" si="783"/>
        <v>0</v>
      </c>
      <c r="DH150" s="467"/>
      <c r="DI150" s="459">
        <f t="shared" si="784"/>
        <v>779.75925000000007</v>
      </c>
      <c r="DJ150" s="459">
        <f t="shared" si="785"/>
        <v>779.75925000000007</v>
      </c>
      <c r="DK150" s="467"/>
      <c r="DL150" s="459"/>
      <c r="DM150" s="459"/>
      <c r="DN150" s="467"/>
      <c r="DO150" s="459"/>
      <c r="DP150" s="467"/>
      <c r="DQ150" s="467"/>
      <c r="DR150" s="459">
        <f t="shared" si="733"/>
        <v>779.75925000000007</v>
      </c>
      <c r="DS150" s="459"/>
      <c r="DT150" s="460">
        <f>635.537+144.2626-0.04035</f>
        <v>779.75925000000007</v>
      </c>
      <c r="DU150" s="459"/>
      <c r="DV150" s="461"/>
      <c r="DW150" s="459">
        <f t="shared" si="734"/>
        <v>260</v>
      </c>
      <c r="DX150" s="459"/>
      <c r="DY150" s="459">
        <f>211.9+48.1</f>
        <v>260</v>
      </c>
      <c r="DZ150" s="459"/>
      <c r="EA150" s="146"/>
      <c r="EB150" s="279"/>
      <c r="EC150" s="279"/>
      <c r="ED150" s="279"/>
      <c r="EE150" s="366"/>
      <c r="EF150" s="366"/>
      <c r="EG150" s="279"/>
      <c r="EH150" s="279"/>
      <c r="EI150" s="279"/>
      <c r="EJ150" s="366"/>
      <c r="EK150" s="366"/>
      <c r="EL150" s="366">
        <v>2.69E-2</v>
      </c>
      <c r="EM150" s="280"/>
      <c r="EN150" s="279"/>
      <c r="EO150" s="265" t="e">
        <f t="shared" si="788"/>
        <v>#DIV/0!</v>
      </c>
      <c r="EP150" s="323">
        <f t="shared" si="736"/>
        <v>1039.7592500000001</v>
      </c>
      <c r="EQ150" s="323">
        <f t="shared" si="796"/>
        <v>779.75924999999995</v>
      </c>
      <c r="ER150" s="323">
        <v>260</v>
      </c>
      <c r="ES150" s="358">
        <f t="shared" si="789"/>
        <v>0.74994211400379451</v>
      </c>
      <c r="ET150" s="358">
        <f t="shared" si="790"/>
        <v>0.25005788599620538</v>
      </c>
      <c r="EU150" s="323">
        <f t="shared" si="737"/>
        <v>1039.7592500000001</v>
      </c>
      <c r="EV150" s="323">
        <f t="shared" si="791"/>
        <v>779.75925000000007</v>
      </c>
      <c r="EW150" s="323">
        <f t="shared" si="792"/>
        <v>260</v>
      </c>
      <c r="EX150" s="358">
        <f t="shared" si="793"/>
        <v>0.74994211400379462</v>
      </c>
      <c r="EY150" s="358">
        <f t="shared" si="794"/>
        <v>0.25005788599620538</v>
      </c>
      <c r="EZ150" s="358">
        <v>8.9800000000000005E-2</v>
      </c>
      <c r="FA150" s="323">
        <f t="shared" si="795"/>
        <v>779.75924999999995</v>
      </c>
      <c r="FB150" s="323">
        <f t="shared" si="738"/>
        <v>0</v>
      </c>
      <c r="FC150" s="279">
        <f t="shared" si="797"/>
        <v>0</v>
      </c>
      <c r="FD150" s="279">
        <f t="shared" si="759"/>
        <v>0</v>
      </c>
      <c r="FE150" s="279"/>
      <c r="FF150" s="366" t="e">
        <f t="shared" si="798"/>
        <v>#DIV/0!</v>
      </c>
      <c r="FG150" s="366" t="e">
        <f t="shared" si="799"/>
        <v>#DIV/0!</v>
      </c>
      <c r="FH150" s="279">
        <f t="shared" si="761"/>
        <v>0</v>
      </c>
      <c r="FI150" s="279">
        <f t="shared" ref="FI150:FI203" si="820">DU150</f>
        <v>0</v>
      </c>
      <c r="FJ150" s="279">
        <f t="shared" ref="FJ150:FJ203" si="821">DZ150</f>
        <v>0</v>
      </c>
      <c r="FK150" s="366" t="e">
        <f t="shared" si="800"/>
        <v>#DIV/0!</v>
      </c>
      <c r="FL150" s="366" t="e">
        <f t="shared" si="801"/>
        <v>#DIV/0!</v>
      </c>
      <c r="FM150" s="366">
        <v>8.9800000000000005E-2</v>
      </c>
      <c r="FN150" s="279" t="e">
        <f t="shared" si="581"/>
        <v>#DIV/0!</v>
      </c>
      <c r="FO150" s="279" t="e">
        <f t="shared" si="762"/>
        <v>#DIV/0!</v>
      </c>
    </row>
    <row r="151" spans="2:171" s="119" customFormat="1" ht="15.75" customHeight="1" x14ac:dyDescent="0.2">
      <c r="B151" s="113"/>
      <c r="C151" s="114"/>
      <c r="D151" s="114"/>
      <c r="E151" s="115"/>
      <c r="F151" s="113"/>
      <c r="G151" s="114"/>
      <c r="H151" s="114"/>
      <c r="M151" s="115"/>
      <c r="N151" s="118" t="s">
        <v>20</v>
      </c>
      <c r="O151" s="118"/>
      <c r="P151" s="68">
        <f t="shared" si="735"/>
        <v>0</v>
      </c>
      <c r="Q151" s="118"/>
      <c r="R151" s="118"/>
      <c r="S151" s="118"/>
      <c r="T151" s="118"/>
      <c r="U151" s="163">
        <f>U152+U153+U154+U155+U156+U157+U158</f>
        <v>5</v>
      </c>
      <c r="V151" s="163">
        <f>V152+V153+V154+V155+V156+V157+V158</f>
        <v>5</v>
      </c>
      <c r="W151" s="452">
        <f t="shared" ref="W151:AA151" si="822">SUM(W152:W158)-W153</f>
        <v>26353.399999999998</v>
      </c>
      <c r="X151" s="452">
        <f t="shared" si="822"/>
        <v>0</v>
      </c>
      <c r="Y151" s="452">
        <f t="shared" si="822"/>
        <v>9048.4</v>
      </c>
      <c r="Z151" s="452">
        <f t="shared" si="822"/>
        <v>17305</v>
      </c>
      <c r="AA151" s="452">
        <f t="shared" si="822"/>
        <v>0</v>
      </c>
      <c r="AB151" s="452">
        <f t="shared" ref="AB151:AF151" si="823">SUM(AB152:AB158)-AB153</f>
        <v>9066.6</v>
      </c>
      <c r="AC151" s="452">
        <f t="shared" si="823"/>
        <v>0</v>
      </c>
      <c r="AD151" s="452">
        <f t="shared" si="823"/>
        <v>9066.6</v>
      </c>
      <c r="AE151" s="452">
        <f t="shared" si="823"/>
        <v>0</v>
      </c>
      <c r="AF151" s="452">
        <f t="shared" si="823"/>
        <v>0</v>
      </c>
      <c r="AG151" s="452">
        <f t="shared" ref="AG151:AK151" si="824">SUM(AG152:AG158)-AG153</f>
        <v>9066.6</v>
      </c>
      <c r="AH151" s="452">
        <f t="shared" si="824"/>
        <v>0</v>
      </c>
      <c r="AI151" s="452">
        <f t="shared" si="824"/>
        <v>9066.6</v>
      </c>
      <c r="AJ151" s="452">
        <f t="shared" si="824"/>
        <v>0</v>
      </c>
      <c r="AK151" s="452">
        <f t="shared" si="824"/>
        <v>0</v>
      </c>
      <c r="AL151" s="454">
        <f t="shared" ref="AL151:AP151" si="825">SUM(AL152:AL158)-AL153</f>
        <v>3942</v>
      </c>
      <c r="AM151" s="452">
        <f t="shared" si="825"/>
        <v>0</v>
      </c>
      <c r="AN151" s="452">
        <f t="shared" si="825"/>
        <v>3942</v>
      </c>
      <c r="AO151" s="452">
        <f t="shared" si="825"/>
        <v>0</v>
      </c>
      <c r="AP151" s="452">
        <f t="shared" si="825"/>
        <v>0</v>
      </c>
      <c r="AQ151" s="453"/>
      <c r="AR151" s="452">
        <f t="shared" ref="AR151:AU151" si="826">SUM(AR152:AR158)-AR153</f>
        <v>25769.046459999998</v>
      </c>
      <c r="AS151" s="452">
        <f t="shared" si="826"/>
        <v>0</v>
      </c>
      <c r="AT151" s="452">
        <f t="shared" si="826"/>
        <v>9044.9814599999991</v>
      </c>
      <c r="AU151" s="452">
        <f t="shared" si="826"/>
        <v>16724.064999999999</v>
      </c>
      <c r="AV151" s="452">
        <f>SUM(AV152:AV158)-AV153</f>
        <v>0</v>
      </c>
      <c r="AW151" s="452" t="e">
        <f t="shared" ref="AW151:BF151" si="827">SUM(AW152:AW158)-AW153</f>
        <v>#REF!</v>
      </c>
      <c r="AX151" s="452" t="e">
        <f t="shared" si="827"/>
        <v>#REF!</v>
      </c>
      <c r="AY151" s="452" t="e">
        <f t="shared" si="827"/>
        <v>#REF!</v>
      </c>
      <c r="AZ151" s="452" t="e">
        <f t="shared" si="827"/>
        <v>#REF!</v>
      </c>
      <c r="BA151" s="452" t="e">
        <f t="shared" si="827"/>
        <v>#REF!</v>
      </c>
      <c r="BB151" s="452">
        <f t="shared" si="827"/>
        <v>9005.241</v>
      </c>
      <c r="BC151" s="452">
        <f t="shared" si="827"/>
        <v>0</v>
      </c>
      <c r="BD151" s="452">
        <f t="shared" si="827"/>
        <v>9005.241</v>
      </c>
      <c r="BE151" s="452">
        <f t="shared" si="827"/>
        <v>0</v>
      </c>
      <c r="BF151" s="452">
        <f t="shared" si="827"/>
        <v>0</v>
      </c>
      <c r="BG151" s="452">
        <f t="shared" ref="BG151:CK151" si="828">SUM(BG152:BG158)-BG153</f>
        <v>0</v>
      </c>
      <c r="BH151" s="452">
        <f t="shared" si="828"/>
        <v>0</v>
      </c>
      <c r="BI151" s="452">
        <f t="shared" si="828"/>
        <v>0</v>
      </c>
      <c r="BJ151" s="452">
        <f t="shared" si="828"/>
        <v>0</v>
      </c>
      <c r="BK151" s="452">
        <f t="shared" si="828"/>
        <v>0</v>
      </c>
      <c r="BL151" s="452">
        <f t="shared" si="828"/>
        <v>25769.046460000001</v>
      </c>
      <c r="BM151" s="452">
        <f t="shared" si="828"/>
        <v>0</v>
      </c>
      <c r="BN151" s="452">
        <f t="shared" si="828"/>
        <v>9044.9814599999991</v>
      </c>
      <c r="BO151" s="452">
        <f t="shared" si="828"/>
        <v>16724.065000000002</v>
      </c>
      <c r="BP151" s="452">
        <f t="shared" si="828"/>
        <v>0</v>
      </c>
      <c r="BQ151" s="452">
        <f t="shared" si="828"/>
        <v>25769.046460000001</v>
      </c>
      <c r="BR151" s="452">
        <f t="shared" si="828"/>
        <v>0</v>
      </c>
      <c r="BS151" s="452">
        <f t="shared" si="828"/>
        <v>9044.9814599999991</v>
      </c>
      <c r="BT151" s="452">
        <f t="shared" si="828"/>
        <v>16724.065000000002</v>
      </c>
      <c r="BU151" s="452">
        <f t="shared" si="828"/>
        <v>0</v>
      </c>
      <c r="BV151" s="454">
        <f t="shared" si="828"/>
        <v>2200.0264200000001</v>
      </c>
      <c r="BW151" s="452">
        <f t="shared" si="828"/>
        <v>0</v>
      </c>
      <c r="BX151" s="452">
        <f t="shared" si="828"/>
        <v>939.78054000000009</v>
      </c>
      <c r="BY151" s="452">
        <f t="shared" si="828"/>
        <v>1260.2458799999999</v>
      </c>
      <c r="BZ151" s="452">
        <f t="shared" si="828"/>
        <v>0</v>
      </c>
      <c r="CA151" s="452">
        <f t="shared" si="828"/>
        <v>27969.07288</v>
      </c>
      <c r="CB151" s="452">
        <f t="shared" si="828"/>
        <v>27969.07288</v>
      </c>
      <c r="CC151" s="452">
        <f t="shared" si="828"/>
        <v>0</v>
      </c>
      <c r="CD151" s="452">
        <f t="shared" si="828"/>
        <v>9984.7619999999988</v>
      </c>
      <c r="CE151" s="452">
        <f t="shared" si="828"/>
        <v>17984.310880000001</v>
      </c>
      <c r="CF151" s="452">
        <f t="shared" si="828"/>
        <v>0</v>
      </c>
      <c r="CG151" s="452">
        <f t="shared" si="828"/>
        <v>0</v>
      </c>
      <c r="CH151" s="452">
        <f t="shared" si="828"/>
        <v>0</v>
      </c>
      <c r="CI151" s="452">
        <f t="shared" si="828"/>
        <v>0</v>
      </c>
      <c r="CJ151" s="452">
        <f t="shared" si="828"/>
        <v>0</v>
      </c>
      <c r="CK151" s="452">
        <f t="shared" si="828"/>
        <v>0</v>
      </c>
      <c r="CL151" s="455">
        <f>CM151+CO151-BG151</f>
        <v>9005.241</v>
      </c>
      <c r="CM151" s="456">
        <f t="shared" ref="CM151:DG151" si="829">SUM(CM152:CM158)-CM153</f>
        <v>9005.241</v>
      </c>
      <c r="CN151" s="456">
        <f t="shared" si="829"/>
        <v>9005.241</v>
      </c>
      <c r="CO151" s="452">
        <f t="shared" si="829"/>
        <v>0</v>
      </c>
      <c r="CP151" s="452">
        <f t="shared" si="829"/>
        <v>0</v>
      </c>
      <c r="CQ151" s="452">
        <f t="shared" si="829"/>
        <v>0</v>
      </c>
      <c r="CR151" s="452">
        <f t="shared" si="829"/>
        <v>0</v>
      </c>
      <c r="CS151" s="452">
        <f t="shared" si="829"/>
        <v>0</v>
      </c>
      <c r="CT151" s="452">
        <f t="shared" si="829"/>
        <v>0</v>
      </c>
      <c r="CU151" s="452">
        <f t="shared" si="829"/>
        <v>0</v>
      </c>
      <c r="CV151" s="452">
        <f t="shared" si="829"/>
        <v>0</v>
      </c>
      <c r="CW151" s="452">
        <f t="shared" si="829"/>
        <v>0</v>
      </c>
      <c r="CX151" s="452">
        <f t="shared" si="829"/>
        <v>0</v>
      </c>
      <c r="CY151" s="452">
        <f t="shared" si="829"/>
        <v>0</v>
      </c>
      <c r="CZ151" s="452">
        <f t="shared" si="829"/>
        <v>0</v>
      </c>
      <c r="DA151" s="452">
        <f t="shared" si="829"/>
        <v>0</v>
      </c>
      <c r="DB151" s="452">
        <f t="shared" si="829"/>
        <v>0</v>
      </c>
      <c r="DC151" s="452">
        <f t="shared" si="829"/>
        <v>0</v>
      </c>
      <c r="DD151" s="452">
        <f t="shared" si="829"/>
        <v>0</v>
      </c>
      <c r="DE151" s="452">
        <f t="shared" si="829"/>
        <v>0</v>
      </c>
      <c r="DF151" s="452">
        <f t="shared" si="829"/>
        <v>0</v>
      </c>
      <c r="DG151" s="452">
        <f t="shared" si="829"/>
        <v>0</v>
      </c>
      <c r="DH151" s="457"/>
      <c r="DI151" s="452">
        <f>SUM(DI152:DI158)-DI153</f>
        <v>25769.046460000001</v>
      </c>
      <c r="DJ151" s="452">
        <f>SUM(DJ152:DJ158)-DJ153</f>
        <v>25769.046460000001</v>
      </c>
      <c r="DK151" s="457"/>
      <c r="DL151" s="452">
        <f>SUM(DL152:DL158)-DL153</f>
        <v>25769.046460000001</v>
      </c>
      <c r="DM151" s="452">
        <f>SUM(DM152:DM158)-DM153</f>
        <v>0</v>
      </c>
      <c r="DN151" s="457"/>
      <c r="DO151" s="452">
        <f>SUM(DO152:DO158)-DO153</f>
        <v>-16763.80546</v>
      </c>
      <c r="DP151" s="457">
        <f>DG151-DO151</f>
        <v>16763.80546</v>
      </c>
      <c r="DQ151" s="457"/>
      <c r="DR151" s="452">
        <f t="shared" si="733"/>
        <v>25769.046459999998</v>
      </c>
      <c r="DS151" s="452">
        <f t="shared" ref="DS151:DU151" si="830">SUM(DS152:DS158)-DS153</f>
        <v>0</v>
      </c>
      <c r="DT151" s="452">
        <f t="shared" si="830"/>
        <v>9044.9814599999991</v>
      </c>
      <c r="DU151" s="452">
        <f t="shared" si="830"/>
        <v>16724.064999999999</v>
      </c>
      <c r="DV151" s="452">
        <f t="shared" ref="DV151" si="831">SUM(DV152:DV158)-DV153</f>
        <v>0</v>
      </c>
      <c r="DW151" s="452">
        <f t="shared" si="734"/>
        <v>2200.0264200000001</v>
      </c>
      <c r="DX151" s="452">
        <f t="shared" ref="DX151:DZ151" si="832">SUM(DX152:DX158)-DX153</f>
        <v>0</v>
      </c>
      <c r="DY151" s="452">
        <f>SUM(DY152:DY158)-DY153</f>
        <v>939.78054000000009</v>
      </c>
      <c r="DZ151" s="452">
        <f t="shared" si="832"/>
        <v>1260.2458799999999</v>
      </c>
      <c r="EA151" s="145">
        <f t="shared" ref="EA151" si="833">SUM(EA152:EA158)-EA153</f>
        <v>0</v>
      </c>
      <c r="EB151" s="57">
        <f t="shared" si="751"/>
        <v>0</v>
      </c>
      <c r="EC151" s="57">
        <f t="shared" si="752"/>
        <v>0</v>
      </c>
      <c r="ED151" s="57">
        <f>SUM(ED152:ED158)-ED153</f>
        <v>0</v>
      </c>
      <c r="EE151" s="360"/>
      <c r="EF151" s="360"/>
      <c r="EG151" s="57">
        <f t="shared" si="754"/>
        <v>0</v>
      </c>
      <c r="EH151" s="57">
        <f>SUM(EH152:EH158)</f>
        <v>0</v>
      </c>
      <c r="EI151" s="57">
        <f>SUM(EI152:EI158)</f>
        <v>0</v>
      </c>
      <c r="EJ151" s="360"/>
      <c r="EK151" s="360"/>
      <c r="EL151" s="360"/>
      <c r="EM151" s="273">
        <f t="shared" ref="EM151" si="834">SUM(EM152:EM158)</f>
        <v>0</v>
      </c>
      <c r="EN151" s="57">
        <f t="shared" si="756"/>
        <v>0</v>
      </c>
      <c r="EO151" s="264"/>
      <c r="EP151" s="57">
        <f t="shared" si="736"/>
        <v>9984.7619999999988</v>
      </c>
      <c r="EQ151" s="57">
        <f t="shared" si="796"/>
        <v>9044.9814599999991</v>
      </c>
      <c r="ER151" s="57">
        <f>SUM(ER152:ER158)-ER153</f>
        <v>939.78054000000009</v>
      </c>
      <c r="ES151" s="360"/>
      <c r="ET151" s="360"/>
      <c r="EU151" s="57">
        <f t="shared" si="737"/>
        <v>9984.7619999999988</v>
      </c>
      <c r="EV151" s="57">
        <f>SUM(EV152:EV158)</f>
        <v>9044.9814599999991</v>
      </c>
      <c r="EW151" s="57">
        <f>SUM(EW152:EW158)</f>
        <v>939.78054000000009</v>
      </c>
      <c r="EX151" s="360"/>
      <c r="EY151" s="360"/>
      <c r="EZ151" s="360"/>
      <c r="FA151" s="57">
        <f t="shared" ref="FA151" si="835">SUM(FA152:FA158)</f>
        <v>9044.9814599999991</v>
      </c>
      <c r="FB151" s="57">
        <f t="shared" si="738"/>
        <v>0</v>
      </c>
      <c r="FC151" s="57">
        <f t="shared" ref="FC151" si="836">FD151+FE151+FF151</f>
        <v>17984.310879999997</v>
      </c>
      <c r="FD151" s="57">
        <f t="shared" si="759"/>
        <v>16724.064999999999</v>
      </c>
      <c r="FE151" s="57">
        <f>SUM(FE152:FE158)-FE153</f>
        <v>1260.2458799999999</v>
      </c>
      <c r="FF151" s="360"/>
      <c r="FG151" s="360"/>
      <c r="FH151" s="57">
        <f t="shared" si="761"/>
        <v>17984.310879999997</v>
      </c>
      <c r="FI151" s="57">
        <f t="shared" si="820"/>
        <v>16724.064999999999</v>
      </c>
      <c r="FJ151" s="57">
        <f t="shared" si="821"/>
        <v>1260.2458799999999</v>
      </c>
      <c r="FK151" s="360"/>
      <c r="FL151" s="360"/>
      <c r="FM151" s="360"/>
      <c r="FN151" s="273">
        <f t="shared" si="581"/>
        <v>0</v>
      </c>
      <c r="FO151" s="57">
        <f t="shared" si="762"/>
        <v>16724.064999999999</v>
      </c>
    </row>
    <row r="152" spans="2:171" s="40" customFormat="1" ht="15.75" customHeight="1" x14ac:dyDescent="0.2">
      <c r="B152" s="32">
        <v>1</v>
      </c>
      <c r="C152" s="33"/>
      <c r="D152" s="33"/>
      <c r="E152" s="434">
        <v>127</v>
      </c>
      <c r="F152" s="32"/>
      <c r="G152" s="33"/>
      <c r="H152" s="33"/>
      <c r="M152" s="434">
        <v>124</v>
      </c>
      <c r="N152" s="448" t="s">
        <v>6</v>
      </c>
      <c r="O152" s="5"/>
      <c r="P152" s="24">
        <f t="shared" si="735"/>
        <v>0</v>
      </c>
      <c r="Q152" s="5" t="s">
        <v>490</v>
      </c>
      <c r="R152" s="5" t="s">
        <v>488</v>
      </c>
      <c r="S152" s="5"/>
      <c r="T152" s="5"/>
      <c r="U152" s="161"/>
      <c r="V152" s="135"/>
      <c r="W152" s="459">
        <f t="shared" ref="W152:W158" si="837">X152+Y152+Z152+AA152</f>
        <v>0</v>
      </c>
      <c r="X152" s="459"/>
      <c r="Y152" s="464"/>
      <c r="Z152" s="459"/>
      <c r="AA152" s="464"/>
      <c r="AB152" s="459">
        <f t="shared" ref="AB152:AB158" si="838">AC152+AD152+AE152+AF152</f>
        <v>0</v>
      </c>
      <c r="AC152" s="459"/>
      <c r="AD152" s="464">
        <v>0</v>
      </c>
      <c r="AE152" s="459"/>
      <c r="AF152" s="464"/>
      <c r="AG152" s="459">
        <f t="shared" ref="AG152:AG158" si="839">AH152+AI152+AJ152+AK152</f>
        <v>0</v>
      </c>
      <c r="AH152" s="459"/>
      <c r="AI152" s="464">
        <v>0</v>
      </c>
      <c r="AJ152" s="459"/>
      <c r="AK152" s="464"/>
      <c r="AL152" s="459">
        <f t="shared" ref="AL152:AL158" si="840">AM152+AN152+AO152+AP152</f>
        <v>1258</v>
      </c>
      <c r="AM152" s="459"/>
      <c r="AN152" s="464">
        <v>1258</v>
      </c>
      <c r="AO152" s="459"/>
      <c r="AP152" s="459"/>
      <c r="AQ152" s="384"/>
      <c r="AR152" s="459">
        <f t="shared" ref="AR152:AR158" si="841">AS152+AT152+AU152+AV152</f>
        <v>0</v>
      </c>
      <c r="AS152" s="459"/>
      <c r="AT152" s="464"/>
      <c r="AU152" s="459"/>
      <c r="AV152" s="459"/>
      <c r="AW152" s="459" t="e">
        <f t="shared" ref="AW152:AW158" si="842">AX152+AY152+AZ152+BA152</f>
        <v>#REF!</v>
      </c>
      <c r="AX152" s="459" t="e">
        <f>#REF!-AS152</f>
        <v>#REF!</v>
      </c>
      <c r="AY152" s="459" t="e">
        <f>#REF!-AT152</f>
        <v>#REF!</v>
      </c>
      <c r="AZ152" s="459" t="e">
        <f>#REF!-AU152</f>
        <v>#REF!</v>
      </c>
      <c r="BA152" s="459" t="e">
        <f>#REF!-AV152</f>
        <v>#REF!</v>
      </c>
      <c r="BB152" s="459">
        <f t="shared" ref="BB152:BB158" si="843">BC152+BD152+BE152+BF152</f>
        <v>0</v>
      </c>
      <c r="BC152" s="459"/>
      <c r="BD152" s="464"/>
      <c r="BE152" s="459"/>
      <c r="BF152" s="459"/>
      <c r="BG152" s="459">
        <f t="shared" ref="BG152:BG158" si="844">BH152+BI152+BJ152+BK152</f>
        <v>0</v>
      </c>
      <c r="BH152" s="459"/>
      <c r="BI152" s="459"/>
      <c r="BJ152" s="459"/>
      <c r="BK152" s="459"/>
      <c r="BL152" s="459">
        <f t="shared" ref="BL152:BL158" si="845">BM152+BN152+BO152+BP152</f>
        <v>0</v>
      </c>
      <c r="BM152" s="459"/>
      <c r="BN152" s="464"/>
      <c r="BO152" s="459"/>
      <c r="BP152" s="459"/>
      <c r="BQ152" s="459">
        <f t="shared" ref="BQ152:BQ158" si="846">BR152+BS152+BT152+BU152</f>
        <v>0</v>
      </c>
      <c r="BR152" s="459"/>
      <c r="BS152" s="459"/>
      <c r="BT152" s="459"/>
      <c r="BU152" s="459"/>
      <c r="BV152" s="459">
        <f t="shared" ref="BV152:BV176" si="847">BW152+BX152+BY152+BZ152</f>
        <v>0</v>
      </c>
      <c r="BW152" s="459"/>
      <c r="BX152" s="459"/>
      <c r="BY152" s="459"/>
      <c r="BZ152" s="459"/>
      <c r="CA152" s="464">
        <f t="shared" ref="CA152:CA158" si="848">CB152</f>
        <v>0</v>
      </c>
      <c r="CB152" s="459">
        <f t="shared" ref="CB152:CB158" si="849">CC152+CD152+CE152+CF152</f>
        <v>0</v>
      </c>
      <c r="CC152" s="459">
        <f t="shared" ref="CC152:CF158" si="850">BR152+BW152</f>
        <v>0</v>
      </c>
      <c r="CD152" s="459">
        <f t="shared" si="850"/>
        <v>0</v>
      </c>
      <c r="CE152" s="459">
        <f t="shared" si="850"/>
        <v>0</v>
      </c>
      <c r="CF152" s="459">
        <f t="shared" si="850"/>
        <v>0</v>
      </c>
      <c r="CG152" s="459">
        <f t="shared" ref="CG152:CG158" si="851">CH152+CI152+CJ152+CK152</f>
        <v>0</v>
      </c>
      <c r="CH152" s="459">
        <f t="shared" ref="CH152:CK158" si="852">BM152-BR152</f>
        <v>0</v>
      </c>
      <c r="CI152" s="459">
        <f t="shared" si="852"/>
        <v>0</v>
      </c>
      <c r="CJ152" s="459">
        <f t="shared" si="852"/>
        <v>0</v>
      </c>
      <c r="CK152" s="459">
        <f t="shared" si="852"/>
        <v>0</v>
      </c>
      <c r="CL152" s="465"/>
      <c r="CM152" s="466">
        <f>BB152+BC263</f>
        <v>0</v>
      </c>
      <c r="CN152" s="466">
        <f>CM152</f>
        <v>0</v>
      </c>
      <c r="CO152" s="459">
        <f t="shared" ref="CO152:CO158" si="853">CP152+CQ152+CR152+CS152</f>
        <v>0</v>
      </c>
      <c r="CP152" s="459"/>
      <c r="CQ152" s="459"/>
      <c r="CR152" s="459"/>
      <c r="CS152" s="459"/>
      <c r="CT152" s="459">
        <f t="shared" ref="CT152:CT158" si="854">CU152+CV152+CW152+CX152</f>
        <v>0</v>
      </c>
      <c r="CU152" s="459"/>
      <c r="CV152" s="459"/>
      <c r="CW152" s="459"/>
      <c r="CX152" s="459"/>
      <c r="CY152" s="459">
        <f t="shared" ref="CY152:CY158" si="855">CZ152+DA152+DB152+DC152</f>
        <v>0</v>
      </c>
      <c r="CZ152" s="459">
        <f t="shared" ref="CZ152:DC158" si="856">CP152-CU152</f>
        <v>0</v>
      </c>
      <c r="DA152" s="459">
        <f t="shared" si="856"/>
        <v>0</v>
      </c>
      <c r="DB152" s="459">
        <f t="shared" si="856"/>
        <v>0</v>
      </c>
      <c r="DC152" s="459">
        <f t="shared" si="856"/>
        <v>0</v>
      </c>
      <c r="DD152" s="464"/>
      <c r="DE152" s="464"/>
      <c r="DF152" s="459">
        <f>DD152-DE152</f>
        <v>0</v>
      </c>
      <c r="DG152" s="459">
        <f t="shared" ref="DG152:DG158" si="857">CG152+CY152+DF152</f>
        <v>0</v>
      </c>
      <c r="DH152" s="467"/>
      <c r="DI152" s="459">
        <f>BL152+CO152+DD152</f>
        <v>0</v>
      </c>
      <c r="DJ152" s="459">
        <f t="shared" ref="DJ152:DJ158" si="858">BQ152+CT152+DE152</f>
        <v>0</v>
      </c>
      <c r="DK152" s="467"/>
      <c r="DL152" s="459">
        <f t="shared" ref="DL152:DL153" si="859">DJ152</f>
        <v>0</v>
      </c>
      <c r="DM152" s="459">
        <f t="shared" ref="DM152:DM153" si="860">DG152</f>
        <v>0</v>
      </c>
      <c r="DN152" s="467"/>
      <c r="DO152" s="459">
        <f>CN152-DL152</f>
        <v>0</v>
      </c>
      <c r="DP152" s="467"/>
      <c r="DQ152" s="467"/>
      <c r="DR152" s="459">
        <f t="shared" si="733"/>
        <v>0</v>
      </c>
      <c r="DS152" s="459"/>
      <c r="DT152" s="459"/>
      <c r="DU152" s="459"/>
      <c r="DV152" s="459"/>
      <c r="DW152" s="459">
        <f t="shared" si="734"/>
        <v>0</v>
      </c>
      <c r="DX152" s="459"/>
      <c r="DY152" s="459"/>
      <c r="DZ152" s="459"/>
      <c r="EA152" s="146"/>
      <c r="EB152" s="279"/>
      <c r="EC152" s="279"/>
      <c r="ED152" s="279"/>
      <c r="EE152" s="366"/>
      <c r="EF152" s="366"/>
      <c r="EG152" s="279"/>
      <c r="EH152" s="279"/>
      <c r="EI152" s="279"/>
      <c r="EJ152" s="366"/>
      <c r="EK152" s="366"/>
      <c r="EL152" s="366">
        <v>2.9700000000000001E-2</v>
      </c>
      <c r="EM152" s="280"/>
      <c r="EN152" s="279"/>
      <c r="EO152" s="265" t="e">
        <f t="shared" ref="EO152:EO158" si="861">EM152/EJ152</f>
        <v>#DIV/0!</v>
      </c>
      <c r="EP152" s="323"/>
      <c r="EQ152" s="323"/>
      <c r="ER152" s="323"/>
      <c r="ES152" s="358"/>
      <c r="ET152" s="358"/>
      <c r="EU152" s="323"/>
      <c r="EV152" s="323"/>
      <c r="EW152" s="323"/>
      <c r="EX152" s="358"/>
      <c r="EY152" s="358"/>
      <c r="EZ152" s="358">
        <v>0.1</v>
      </c>
      <c r="FA152" s="323"/>
      <c r="FB152" s="323">
        <f t="shared" si="738"/>
        <v>0</v>
      </c>
      <c r="FC152" s="279"/>
      <c r="FD152" s="279"/>
      <c r="FE152" s="279"/>
      <c r="FF152" s="366"/>
      <c r="FG152" s="366"/>
      <c r="FH152" s="279"/>
      <c r="FI152" s="279"/>
      <c r="FJ152" s="279"/>
      <c r="FK152" s="366"/>
      <c r="FL152" s="366"/>
      <c r="FM152" s="366">
        <v>0.1</v>
      </c>
      <c r="FN152" s="280"/>
      <c r="FO152" s="279"/>
    </row>
    <row r="153" spans="2:171" s="40" customFormat="1" ht="15.75" customHeight="1" x14ac:dyDescent="0.2">
      <c r="B153" s="32"/>
      <c r="C153" s="33"/>
      <c r="D153" s="33"/>
      <c r="E153" s="434"/>
      <c r="F153" s="32"/>
      <c r="G153" s="33"/>
      <c r="H153" s="33"/>
      <c r="M153" s="434"/>
      <c r="N153" s="19" t="s">
        <v>251</v>
      </c>
      <c r="O153" s="133"/>
      <c r="P153" s="2">
        <f t="shared" si="735"/>
        <v>0</v>
      </c>
      <c r="Q153" s="133"/>
      <c r="R153" s="133"/>
      <c r="S153" s="133"/>
      <c r="T153" s="133"/>
      <c r="U153" s="133"/>
      <c r="V153" s="133"/>
      <c r="W153" s="459">
        <f t="shared" si="837"/>
        <v>0</v>
      </c>
      <c r="X153" s="459"/>
      <c r="Y153" s="464"/>
      <c r="Z153" s="459"/>
      <c r="AA153" s="464"/>
      <c r="AB153" s="459">
        <f t="shared" si="838"/>
        <v>0</v>
      </c>
      <c r="AC153" s="459"/>
      <c r="AD153" s="464"/>
      <c r="AE153" s="459"/>
      <c r="AF153" s="464"/>
      <c r="AG153" s="459">
        <f t="shared" si="839"/>
        <v>0</v>
      </c>
      <c r="AH153" s="459"/>
      <c r="AI153" s="464"/>
      <c r="AJ153" s="459"/>
      <c r="AK153" s="464"/>
      <c r="AL153" s="459">
        <f t="shared" si="840"/>
        <v>0</v>
      </c>
      <c r="AM153" s="459"/>
      <c r="AN153" s="464"/>
      <c r="AO153" s="459"/>
      <c r="AP153" s="459"/>
      <c r="AQ153" s="398"/>
      <c r="AR153" s="459">
        <f t="shared" si="841"/>
        <v>0</v>
      </c>
      <c r="AS153" s="459"/>
      <c r="AT153" s="469"/>
      <c r="AU153" s="459"/>
      <c r="AV153" s="459"/>
      <c r="AW153" s="459" t="e">
        <f t="shared" si="842"/>
        <v>#REF!</v>
      </c>
      <c r="AX153" s="459" t="e">
        <f>#REF!-AS153</f>
        <v>#REF!</v>
      </c>
      <c r="AY153" s="459" t="e">
        <f>#REF!-AT153</f>
        <v>#REF!</v>
      </c>
      <c r="AZ153" s="459" t="e">
        <f>#REF!-AU153</f>
        <v>#REF!</v>
      </c>
      <c r="BA153" s="459" t="e">
        <f>#REF!-AV153</f>
        <v>#REF!</v>
      </c>
      <c r="BB153" s="459">
        <f t="shared" si="843"/>
        <v>0</v>
      </c>
      <c r="BC153" s="459"/>
      <c r="BD153" s="459"/>
      <c r="BE153" s="459"/>
      <c r="BF153" s="459"/>
      <c r="BG153" s="459">
        <f t="shared" si="844"/>
        <v>0</v>
      </c>
      <c r="BH153" s="459"/>
      <c r="BI153" s="459"/>
      <c r="BJ153" s="459"/>
      <c r="BK153" s="459"/>
      <c r="BL153" s="459">
        <f t="shared" si="845"/>
        <v>0</v>
      </c>
      <c r="BM153" s="459"/>
      <c r="BN153" s="459"/>
      <c r="BO153" s="459"/>
      <c r="BP153" s="459"/>
      <c r="BQ153" s="459">
        <f t="shared" si="846"/>
        <v>0</v>
      </c>
      <c r="BR153" s="459"/>
      <c r="BS153" s="459"/>
      <c r="BT153" s="459"/>
      <c r="BU153" s="459"/>
      <c r="BV153" s="459">
        <f t="shared" si="847"/>
        <v>0</v>
      </c>
      <c r="BW153" s="459"/>
      <c r="BX153" s="459"/>
      <c r="BY153" s="459"/>
      <c r="BZ153" s="459"/>
      <c r="CA153" s="464">
        <f t="shared" si="848"/>
        <v>0</v>
      </c>
      <c r="CB153" s="459">
        <f t="shared" si="849"/>
        <v>0</v>
      </c>
      <c r="CC153" s="459">
        <f t="shared" si="850"/>
        <v>0</v>
      </c>
      <c r="CD153" s="459">
        <f t="shared" si="850"/>
        <v>0</v>
      </c>
      <c r="CE153" s="459">
        <f t="shared" si="850"/>
        <v>0</v>
      </c>
      <c r="CF153" s="459">
        <f t="shared" si="850"/>
        <v>0</v>
      </c>
      <c r="CG153" s="459">
        <f t="shared" si="851"/>
        <v>0</v>
      </c>
      <c r="CH153" s="459">
        <f t="shared" si="852"/>
        <v>0</v>
      </c>
      <c r="CI153" s="459">
        <f t="shared" si="852"/>
        <v>0</v>
      </c>
      <c r="CJ153" s="459">
        <f t="shared" si="852"/>
        <v>0</v>
      </c>
      <c r="CK153" s="459">
        <f t="shared" si="852"/>
        <v>0</v>
      </c>
      <c r="CL153" s="465"/>
      <c r="CM153" s="466"/>
      <c r="CN153" s="466"/>
      <c r="CO153" s="459">
        <f t="shared" si="853"/>
        <v>0</v>
      </c>
      <c r="CP153" s="459"/>
      <c r="CQ153" s="459"/>
      <c r="CR153" s="459"/>
      <c r="CS153" s="459"/>
      <c r="CT153" s="459">
        <f t="shared" si="854"/>
        <v>0</v>
      </c>
      <c r="CU153" s="459"/>
      <c r="CV153" s="459"/>
      <c r="CW153" s="459"/>
      <c r="CX153" s="459"/>
      <c r="CY153" s="459">
        <f t="shared" si="855"/>
        <v>0</v>
      </c>
      <c r="CZ153" s="459">
        <f t="shared" si="856"/>
        <v>0</v>
      </c>
      <c r="DA153" s="459">
        <f t="shared" si="856"/>
        <v>0</v>
      </c>
      <c r="DB153" s="459">
        <f t="shared" si="856"/>
        <v>0</v>
      </c>
      <c r="DC153" s="459">
        <f t="shared" si="856"/>
        <v>0</v>
      </c>
      <c r="DD153" s="459"/>
      <c r="DE153" s="459"/>
      <c r="DF153" s="459"/>
      <c r="DG153" s="459">
        <f t="shared" si="857"/>
        <v>0</v>
      </c>
      <c r="DH153" s="467"/>
      <c r="DI153" s="459">
        <f t="shared" ref="DI153:DI158" si="862">BL153+CO153+DD153</f>
        <v>0</v>
      </c>
      <c r="DJ153" s="459">
        <f t="shared" si="858"/>
        <v>0</v>
      </c>
      <c r="DK153" s="467"/>
      <c r="DL153" s="459">
        <f t="shared" si="859"/>
        <v>0</v>
      </c>
      <c r="DM153" s="459">
        <f t="shared" si="860"/>
        <v>0</v>
      </c>
      <c r="DN153" s="467"/>
      <c r="DO153" s="459"/>
      <c r="DP153" s="467"/>
      <c r="DQ153" s="467"/>
      <c r="DR153" s="459">
        <f t="shared" si="733"/>
        <v>0</v>
      </c>
      <c r="DS153" s="459"/>
      <c r="DT153" s="459"/>
      <c r="DU153" s="459"/>
      <c r="DV153" s="459"/>
      <c r="DW153" s="459">
        <f t="shared" si="734"/>
        <v>0</v>
      </c>
      <c r="DX153" s="459"/>
      <c r="DY153" s="459"/>
      <c r="DZ153" s="459"/>
      <c r="EA153" s="146"/>
      <c r="EB153" s="279"/>
      <c r="EC153" s="279"/>
      <c r="ED153" s="279"/>
      <c r="EE153" s="366"/>
      <c r="EF153" s="366"/>
      <c r="EG153" s="279"/>
      <c r="EH153" s="279"/>
      <c r="EI153" s="279"/>
      <c r="EJ153" s="366"/>
      <c r="EK153" s="366"/>
      <c r="EL153" s="366"/>
      <c r="EM153" s="280"/>
      <c r="EN153" s="279"/>
      <c r="EO153" s="265" t="e">
        <f t="shared" si="861"/>
        <v>#DIV/0!</v>
      </c>
      <c r="EP153" s="323"/>
      <c r="EQ153" s="323"/>
      <c r="ER153" s="323"/>
      <c r="ES153" s="358"/>
      <c r="ET153" s="358"/>
      <c r="EU153" s="323"/>
      <c r="EV153" s="323"/>
      <c r="EW153" s="323"/>
      <c r="EX153" s="358"/>
      <c r="EY153" s="358"/>
      <c r="EZ153" s="358"/>
      <c r="FA153" s="323"/>
      <c r="FB153" s="323">
        <f t="shared" si="738"/>
        <v>0</v>
      </c>
      <c r="FC153" s="279"/>
      <c r="FD153" s="279"/>
      <c r="FE153" s="279"/>
      <c r="FF153" s="366"/>
      <c r="FG153" s="366"/>
      <c r="FH153" s="279"/>
      <c r="FI153" s="279"/>
      <c r="FJ153" s="279"/>
      <c r="FK153" s="366"/>
      <c r="FL153" s="366"/>
      <c r="FM153" s="366"/>
      <c r="FN153" s="280"/>
      <c r="FO153" s="279"/>
    </row>
    <row r="154" spans="2:171" s="40" customFormat="1" ht="15.75" customHeight="1" x14ac:dyDescent="0.25">
      <c r="B154" s="32"/>
      <c r="C154" s="33"/>
      <c r="D154" s="33">
        <v>1</v>
      </c>
      <c r="E154" s="434">
        <v>128</v>
      </c>
      <c r="F154" s="32"/>
      <c r="G154" s="33"/>
      <c r="H154" s="33">
        <v>1</v>
      </c>
      <c r="M154" s="434">
        <v>125</v>
      </c>
      <c r="N154" s="435" t="s">
        <v>115</v>
      </c>
      <c r="O154" s="435"/>
      <c r="P154" s="24">
        <f t="shared" si="735"/>
        <v>0</v>
      </c>
      <c r="Q154" s="435"/>
      <c r="R154" s="435"/>
      <c r="S154" s="435" t="s">
        <v>491</v>
      </c>
      <c r="T154" s="435" t="s">
        <v>488</v>
      </c>
      <c r="U154" s="161">
        <v>1</v>
      </c>
      <c r="V154" s="434"/>
      <c r="W154" s="459">
        <f t="shared" si="837"/>
        <v>2597.1999999999998</v>
      </c>
      <c r="X154" s="459"/>
      <c r="Y154" s="459">
        <v>2597.1999999999998</v>
      </c>
      <c r="Z154" s="459"/>
      <c r="AA154" s="461"/>
      <c r="AB154" s="459">
        <f t="shared" si="838"/>
        <v>2622</v>
      </c>
      <c r="AC154" s="459"/>
      <c r="AD154" s="459">
        <v>2622</v>
      </c>
      <c r="AE154" s="459"/>
      <c r="AF154" s="461"/>
      <c r="AG154" s="459">
        <f t="shared" si="839"/>
        <v>2622</v>
      </c>
      <c r="AH154" s="459"/>
      <c r="AI154" s="459">
        <v>2622</v>
      </c>
      <c r="AJ154" s="459"/>
      <c r="AK154" s="461"/>
      <c r="AL154" s="459">
        <f t="shared" si="840"/>
        <v>1140</v>
      </c>
      <c r="AM154" s="459"/>
      <c r="AN154" s="459">
        <v>1140</v>
      </c>
      <c r="AO154" s="459"/>
      <c r="AP154" s="461"/>
      <c r="AQ154" s="398" t="s">
        <v>369</v>
      </c>
      <c r="AR154" s="459">
        <f t="shared" si="841"/>
        <v>2597.1999999999998</v>
      </c>
      <c r="AS154" s="459"/>
      <c r="AT154" s="469">
        <v>2597.1999999999998</v>
      </c>
      <c r="AU154" s="459"/>
      <c r="AV154" s="461"/>
      <c r="AW154" s="459" t="e">
        <f t="shared" si="842"/>
        <v>#REF!</v>
      </c>
      <c r="AX154" s="459" t="e">
        <f>#REF!-AS154</f>
        <v>#REF!</v>
      </c>
      <c r="AY154" s="459" t="e">
        <f>#REF!-AT154</f>
        <v>#REF!</v>
      </c>
      <c r="AZ154" s="459" t="e">
        <f>#REF!-AU154</f>
        <v>#REF!</v>
      </c>
      <c r="BA154" s="459" t="e">
        <f>#REF!-AV154</f>
        <v>#REF!</v>
      </c>
      <c r="BB154" s="459">
        <f t="shared" si="843"/>
        <v>1082.7149999999999</v>
      </c>
      <c r="BC154" s="459"/>
      <c r="BD154" s="459">
        <v>1082.7149999999999</v>
      </c>
      <c r="BE154" s="459"/>
      <c r="BF154" s="461"/>
      <c r="BG154" s="459">
        <f t="shared" si="844"/>
        <v>0</v>
      </c>
      <c r="BH154" s="459"/>
      <c r="BI154" s="460"/>
      <c r="BJ154" s="459"/>
      <c r="BK154" s="461"/>
      <c r="BL154" s="459">
        <f t="shared" si="845"/>
        <v>2597.1999999999998</v>
      </c>
      <c r="BM154" s="459"/>
      <c r="BN154" s="459">
        <f>1885.018+712.182</f>
        <v>2597.1999999999998</v>
      </c>
      <c r="BO154" s="459"/>
      <c r="BP154" s="470"/>
      <c r="BQ154" s="459">
        <f t="shared" si="846"/>
        <v>2597.1999999999998</v>
      </c>
      <c r="BR154" s="459"/>
      <c r="BS154" s="459">
        <f>1885.018+712.182</f>
        <v>2597.1999999999998</v>
      </c>
      <c r="BT154" s="459"/>
      <c r="BU154" s="461"/>
      <c r="BV154" s="459">
        <f t="shared" si="847"/>
        <v>300</v>
      </c>
      <c r="BW154" s="459"/>
      <c r="BX154" s="459">
        <f>217.737+82.263</f>
        <v>300</v>
      </c>
      <c r="BY154" s="459"/>
      <c r="BZ154" s="459"/>
      <c r="CA154" s="464">
        <f t="shared" si="848"/>
        <v>2897.2</v>
      </c>
      <c r="CB154" s="459">
        <f t="shared" si="849"/>
        <v>2897.2</v>
      </c>
      <c r="CC154" s="459">
        <f t="shared" si="850"/>
        <v>0</v>
      </c>
      <c r="CD154" s="459">
        <f t="shared" si="850"/>
        <v>2897.2</v>
      </c>
      <c r="CE154" s="459">
        <f t="shared" si="850"/>
        <v>0</v>
      </c>
      <c r="CF154" s="459">
        <f t="shared" si="850"/>
        <v>0</v>
      </c>
      <c r="CG154" s="459">
        <f t="shared" si="851"/>
        <v>0</v>
      </c>
      <c r="CH154" s="459">
        <f t="shared" si="852"/>
        <v>0</v>
      </c>
      <c r="CI154" s="459">
        <f t="shared" si="852"/>
        <v>0</v>
      </c>
      <c r="CJ154" s="459">
        <f t="shared" si="852"/>
        <v>0</v>
      </c>
      <c r="CK154" s="459">
        <f t="shared" si="852"/>
        <v>0</v>
      </c>
      <c r="CL154" s="465"/>
      <c r="CM154" s="466"/>
      <c r="CN154" s="466"/>
      <c r="CO154" s="459">
        <f t="shared" si="853"/>
        <v>0</v>
      </c>
      <c r="CP154" s="459"/>
      <c r="CQ154" s="460"/>
      <c r="CR154" s="459"/>
      <c r="CS154" s="461"/>
      <c r="CT154" s="459">
        <f t="shared" si="854"/>
        <v>0</v>
      </c>
      <c r="CU154" s="459"/>
      <c r="CV154" s="460"/>
      <c r="CW154" s="459"/>
      <c r="CX154" s="461"/>
      <c r="CY154" s="459">
        <f t="shared" si="855"/>
        <v>0</v>
      </c>
      <c r="CZ154" s="459">
        <f t="shared" si="856"/>
        <v>0</v>
      </c>
      <c r="DA154" s="459">
        <f t="shared" si="856"/>
        <v>0</v>
      </c>
      <c r="DB154" s="459">
        <f t="shared" si="856"/>
        <v>0</v>
      </c>
      <c r="DC154" s="459">
        <f t="shared" si="856"/>
        <v>0</v>
      </c>
      <c r="DD154" s="459"/>
      <c r="DE154" s="459"/>
      <c r="DF154" s="459"/>
      <c r="DG154" s="459">
        <f t="shared" si="857"/>
        <v>0</v>
      </c>
      <c r="DH154" s="467"/>
      <c r="DI154" s="459">
        <f t="shared" si="862"/>
        <v>2597.1999999999998</v>
      </c>
      <c r="DJ154" s="459">
        <f t="shared" si="858"/>
        <v>2597.1999999999998</v>
      </c>
      <c r="DK154" s="467"/>
      <c r="DL154" s="459"/>
      <c r="DM154" s="459"/>
      <c r="DN154" s="467"/>
      <c r="DO154" s="459"/>
      <c r="DP154" s="467"/>
      <c r="DQ154" s="467"/>
      <c r="DR154" s="459">
        <f t="shared" si="733"/>
        <v>2597.1999999999998</v>
      </c>
      <c r="DS154" s="459"/>
      <c r="DT154" s="459">
        <v>2597.1999999999998</v>
      </c>
      <c r="DU154" s="459"/>
      <c r="DV154" s="461"/>
      <c r="DW154" s="459">
        <f t="shared" si="734"/>
        <v>300</v>
      </c>
      <c r="DX154" s="459"/>
      <c r="DY154" s="459">
        <v>300</v>
      </c>
      <c r="DZ154" s="459"/>
      <c r="EA154" s="146"/>
      <c r="EB154" s="279"/>
      <c r="EC154" s="279"/>
      <c r="ED154" s="279"/>
      <c r="EE154" s="366"/>
      <c r="EF154" s="366"/>
      <c r="EG154" s="279"/>
      <c r="EH154" s="279"/>
      <c r="EI154" s="279"/>
      <c r="EJ154" s="366"/>
      <c r="EK154" s="366"/>
      <c r="EL154" s="366">
        <v>2.1100000000000001E-2</v>
      </c>
      <c r="EM154" s="280"/>
      <c r="EN154" s="279"/>
      <c r="EO154" s="265" t="e">
        <f t="shared" si="861"/>
        <v>#DIV/0!</v>
      </c>
      <c r="EP154" s="323">
        <f t="shared" si="736"/>
        <v>2897.2</v>
      </c>
      <c r="EQ154" s="323">
        <f t="shared" si="796"/>
        <v>2597.1999999999998</v>
      </c>
      <c r="ER154" s="323">
        <v>300</v>
      </c>
      <c r="ES154" s="358">
        <f t="shared" ref="ES154:ES158" si="863">EQ154/EP154</f>
        <v>0.89645174651387549</v>
      </c>
      <c r="ET154" s="358">
        <f t="shared" ref="ET154:ET158" si="864">ER154/EP154</f>
        <v>0.10354825348612454</v>
      </c>
      <c r="EU154" s="323">
        <f t="shared" si="737"/>
        <v>2897.2</v>
      </c>
      <c r="EV154" s="323">
        <f t="shared" ref="EV154:EV158" si="865">DT154</f>
        <v>2597.1999999999998</v>
      </c>
      <c r="EW154" s="323">
        <f t="shared" ref="EW154:EW158" si="866">DY154</f>
        <v>300</v>
      </c>
      <c r="EX154" s="358">
        <f t="shared" ref="EX154:EX158" si="867">EV154/EU154</f>
        <v>0.89645174651387549</v>
      </c>
      <c r="EY154" s="358">
        <f t="shared" ref="EY154:EY158" si="868">EW154/EU154</f>
        <v>0.10354825348612454</v>
      </c>
      <c r="EZ154" s="358">
        <v>7.0300000000000001E-2</v>
      </c>
      <c r="FA154" s="323">
        <f t="shared" ref="FA154:FA158" si="869">EU154*ES154</f>
        <v>2597.1999999999998</v>
      </c>
      <c r="FB154" s="323">
        <f t="shared" si="738"/>
        <v>0</v>
      </c>
      <c r="FC154" s="279"/>
      <c r="FD154" s="279"/>
      <c r="FE154" s="279"/>
      <c r="FF154" s="366"/>
      <c r="FG154" s="366"/>
      <c r="FH154" s="279"/>
      <c r="FI154" s="279"/>
      <c r="FJ154" s="279"/>
      <c r="FK154" s="366"/>
      <c r="FL154" s="366"/>
      <c r="FM154" s="366">
        <v>7.0300000000000001E-2</v>
      </c>
      <c r="FN154" s="280"/>
      <c r="FO154" s="279"/>
    </row>
    <row r="155" spans="2:171" s="40" customFormat="1" ht="15.6" customHeight="1" x14ac:dyDescent="0.25">
      <c r="B155" s="32"/>
      <c r="C155" s="33"/>
      <c r="D155" s="33">
        <v>1</v>
      </c>
      <c r="E155" s="434">
        <v>129</v>
      </c>
      <c r="F155" s="32"/>
      <c r="G155" s="33"/>
      <c r="H155" s="33">
        <v>1</v>
      </c>
      <c r="I155" s="436"/>
      <c r="J155" s="436"/>
      <c r="K155" s="436"/>
      <c r="L155" s="568"/>
      <c r="M155" s="434">
        <v>126</v>
      </c>
      <c r="N155" s="435" t="s">
        <v>116</v>
      </c>
      <c r="O155" s="435"/>
      <c r="P155" s="24">
        <f t="shared" si="735"/>
        <v>0</v>
      </c>
      <c r="Q155" s="435" t="s">
        <v>491</v>
      </c>
      <c r="R155" s="435" t="s">
        <v>488</v>
      </c>
      <c r="S155" s="435" t="s">
        <v>490</v>
      </c>
      <c r="T155" s="435" t="s">
        <v>488</v>
      </c>
      <c r="U155" s="161">
        <v>1</v>
      </c>
      <c r="V155" s="434"/>
      <c r="W155" s="459">
        <f t="shared" si="837"/>
        <v>826.9</v>
      </c>
      <c r="X155" s="459"/>
      <c r="Y155" s="460">
        <v>826.9</v>
      </c>
      <c r="Z155" s="459"/>
      <c r="AA155" s="464"/>
      <c r="AB155" s="459">
        <f t="shared" si="838"/>
        <v>770.5</v>
      </c>
      <c r="AC155" s="459"/>
      <c r="AD155" s="460">
        <v>770.5</v>
      </c>
      <c r="AE155" s="459"/>
      <c r="AF155" s="464"/>
      <c r="AG155" s="459">
        <f t="shared" si="839"/>
        <v>770.5</v>
      </c>
      <c r="AH155" s="459"/>
      <c r="AI155" s="460">
        <v>770.5</v>
      </c>
      <c r="AJ155" s="459"/>
      <c r="AK155" s="464"/>
      <c r="AL155" s="459">
        <f t="shared" si="840"/>
        <v>335</v>
      </c>
      <c r="AM155" s="459"/>
      <c r="AN155" s="460">
        <v>335</v>
      </c>
      <c r="AO155" s="459"/>
      <c r="AP155" s="459"/>
      <c r="AQ155" s="398" t="s">
        <v>373</v>
      </c>
      <c r="AR155" s="459">
        <f t="shared" si="841"/>
        <v>826.9</v>
      </c>
      <c r="AS155" s="459"/>
      <c r="AT155" s="462">
        <v>826.9</v>
      </c>
      <c r="AU155" s="459"/>
      <c r="AV155" s="461"/>
      <c r="AW155" s="459" t="e">
        <f t="shared" si="842"/>
        <v>#REF!</v>
      </c>
      <c r="AX155" s="459" t="e">
        <f>#REF!-AS155</f>
        <v>#REF!</v>
      </c>
      <c r="AY155" s="459" t="e">
        <f>#REF!-AT155</f>
        <v>#REF!</v>
      </c>
      <c r="AZ155" s="459" t="e">
        <f>#REF!-AU155</f>
        <v>#REF!</v>
      </c>
      <c r="BA155" s="459" t="e">
        <f>#REF!-AV155</f>
        <v>#REF!</v>
      </c>
      <c r="BB155" s="459">
        <f t="shared" si="843"/>
        <v>770.5</v>
      </c>
      <c r="BC155" s="459"/>
      <c r="BD155" s="460">
        <f>335+435.5</f>
        <v>770.5</v>
      </c>
      <c r="BE155" s="459"/>
      <c r="BF155" s="461"/>
      <c r="BG155" s="459">
        <f t="shared" si="844"/>
        <v>0</v>
      </c>
      <c r="BH155" s="459"/>
      <c r="BI155" s="460"/>
      <c r="BJ155" s="459"/>
      <c r="BK155" s="461"/>
      <c r="BL155" s="459">
        <f t="shared" si="845"/>
        <v>826.9</v>
      </c>
      <c r="BM155" s="459"/>
      <c r="BN155" s="460">
        <v>826.9</v>
      </c>
      <c r="BO155" s="459"/>
      <c r="BP155" s="470"/>
      <c r="BQ155" s="459">
        <f t="shared" si="846"/>
        <v>826.9</v>
      </c>
      <c r="BR155" s="459"/>
      <c r="BS155" s="460">
        <v>826.9</v>
      </c>
      <c r="BT155" s="459"/>
      <c r="BU155" s="461"/>
      <c r="BV155" s="459">
        <f t="shared" si="847"/>
        <v>200</v>
      </c>
      <c r="BW155" s="459"/>
      <c r="BX155" s="459">
        <v>200</v>
      </c>
      <c r="BY155" s="459"/>
      <c r="BZ155" s="459"/>
      <c r="CA155" s="464">
        <f t="shared" si="848"/>
        <v>1026.9000000000001</v>
      </c>
      <c r="CB155" s="459">
        <f t="shared" si="849"/>
        <v>1026.9000000000001</v>
      </c>
      <c r="CC155" s="459">
        <f t="shared" si="850"/>
        <v>0</v>
      </c>
      <c r="CD155" s="459">
        <f t="shared" si="850"/>
        <v>1026.9000000000001</v>
      </c>
      <c r="CE155" s="459">
        <f t="shared" si="850"/>
        <v>0</v>
      </c>
      <c r="CF155" s="459">
        <f t="shared" si="850"/>
        <v>0</v>
      </c>
      <c r="CG155" s="459">
        <f t="shared" si="851"/>
        <v>0</v>
      </c>
      <c r="CH155" s="459">
        <f t="shared" si="852"/>
        <v>0</v>
      </c>
      <c r="CI155" s="459">
        <f t="shared" si="852"/>
        <v>0</v>
      </c>
      <c r="CJ155" s="459">
        <f t="shared" si="852"/>
        <v>0</v>
      </c>
      <c r="CK155" s="459">
        <f t="shared" si="852"/>
        <v>0</v>
      </c>
      <c r="CL155" s="465"/>
      <c r="CM155" s="466"/>
      <c r="CN155" s="466"/>
      <c r="CO155" s="459">
        <f t="shared" si="853"/>
        <v>0</v>
      </c>
      <c r="CP155" s="459"/>
      <c r="CQ155" s="460"/>
      <c r="CR155" s="459"/>
      <c r="CS155" s="461"/>
      <c r="CT155" s="459">
        <f t="shared" si="854"/>
        <v>0</v>
      </c>
      <c r="CU155" s="459"/>
      <c r="CV155" s="460"/>
      <c r="CW155" s="459"/>
      <c r="CX155" s="461"/>
      <c r="CY155" s="459">
        <f t="shared" si="855"/>
        <v>0</v>
      </c>
      <c r="CZ155" s="459">
        <f t="shared" si="856"/>
        <v>0</v>
      </c>
      <c r="DA155" s="459">
        <f t="shared" si="856"/>
        <v>0</v>
      </c>
      <c r="DB155" s="459">
        <f t="shared" si="856"/>
        <v>0</v>
      </c>
      <c r="DC155" s="459">
        <f t="shared" si="856"/>
        <v>0</v>
      </c>
      <c r="DD155" s="459"/>
      <c r="DE155" s="459"/>
      <c r="DF155" s="459"/>
      <c r="DG155" s="459">
        <f t="shared" si="857"/>
        <v>0</v>
      </c>
      <c r="DH155" s="467"/>
      <c r="DI155" s="459">
        <f t="shared" si="862"/>
        <v>826.9</v>
      </c>
      <c r="DJ155" s="459">
        <f t="shared" si="858"/>
        <v>826.9</v>
      </c>
      <c r="DK155" s="467"/>
      <c r="DL155" s="459"/>
      <c r="DM155" s="459"/>
      <c r="DN155" s="467"/>
      <c r="DO155" s="459"/>
      <c r="DP155" s="467"/>
      <c r="DQ155" s="467"/>
      <c r="DR155" s="459">
        <f t="shared" si="733"/>
        <v>826.9</v>
      </c>
      <c r="DS155" s="459"/>
      <c r="DT155" s="460">
        <v>826.9</v>
      </c>
      <c r="DU155" s="459"/>
      <c r="DV155" s="461"/>
      <c r="DW155" s="459">
        <f t="shared" si="734"/>
        <v>200</v>
      </c>
      <c r="DX155" s="459"/>
      <c r="DY155" s="459">
        <v>200</v>
      </c>
      <c r="DZ155" s="459"/>
      <c r="EA155" s="146"/>
      <c r="EB155" s="279"/>
      <c r="EC155" s="279"/>
      <c r="ED155" s="279"/>
      <c r="EE155" s="366"/>
      <c r="EF155" s="366"/>
      <c r="EG155" s="279"/>
      <c r="EH155" s="279"/>
      <c r="EI155" s="279"/>
      <c r="EJ155" s="366"/>
      <c r="EK155" s="366"/>
      <c r="EL155" s="366">
        <v>2.2700000000000001E-2</v>
      </c>
      <c r="EM155" s="280"/>
      <c r="EN155" s="279"/>
      <c r="EO155" s="265" t="e">
        <f t="shared" si="861"/>
        <v>#DIV/0!</v>
      </c>
      <c r="EP155" s="323">
        <f t="shared" si="736"/>
        <v>1026.9000000000001</v>
      </c>
      <c r="EQ155" s="323">
        <f t="shared" si="796"/>
        <v>826.9</v>
      </c>
      <c r="ER155" s="323">
        <v>200</v>
      </c>
      <c r="ES155" s="358">
        <f t="shared" si="863"/>
        <v>0.80523906904274989</v>
      </c>
      <c r="ET155" s="358">
        <f t="shared" si="864"/>
        <v>0.19476093095724994</v>
      </c>
      <c r="EU155" s="323">
        <f t="shared" si="737"/>
        <v>1026.9000000000001</v>
      </c>
      <c r="EV155" s="323">
        <f t="shared" si="865"/>
        <v>826.9</v>
      </c>
      <c r="EW155" s="323">
        <f t="shared" si="866"/>
        <v>200</v>
      </c>
      <c r="EX155" s="358">
        <f t="shared" si="867"/>
        <v>0.80523906904274989</v>
      </c>
      <c r="EY155" s="358">
        <f t="shared" si="868"/>
        <v>0.19476093095724994</v>
      </c>
      <c r="EZ155" s="358">
        <v>7.5600000000000001E-2</v>
      </c>
      <c r="FA155" s="323">
        <f t="shared" si="869"/>
        <v>826.9</v>
      </c>
      <c r="FB155" s="323">
        <f t="shared" si="738"/>
        <v>0</v>
      </c>
      <c r="FC155" s="279"/>
      <c r="FD155" s="279"/>
      <c r="FE155" s="279"/>
      <c r="FF155" s="366"/>
      <c r="FG155" s="366"/>
      <c r="FH155" s="279"/>
      <c r="FI155" s="279"/>
      <c r="FJ155" s="279"/>
      <c r="FK155" s="366"/>
      <c r="FL155" s="366"/>
      <c r="FM155" s="366">
        <v>7.5600000000000001E-2</v>
      </c>
      <c r="FN155" s="280"/>
      <c r="FO155" s="279"/>
    </row>
    <row r="156" spans="2:171" s="40" customFormat="1" ht="15.6" customHeight="1" x14ac:dyDescent="0.25">
      <c r="B156" s="32"/>
      <c r="C156" s="33">
        <v>1</v>
      </c>
      <c r="D156" s="33"/>
      <c r="E156" s="434">
        <v>130</v>
      </c>
      <c r="F156" s="32"/>
      <c r="G156" s="33">
        <v>1</v>
      </c>
      <c r="H156" s="33">
        <v>1</v>
      </c>
      <c r="I156" s="434"/>
      <c r="J156" s="435"/>
      <c r="K156" s="435"/>
      <c r="L156" s="53"/>
      <c r="M156" s="434">
        <v>127</v>
      </c>
      <c r="N156" s="435" t="s">
        <v>56</v>
      </c>
      <c r="O156" s="435"/>
      <c r="P156" s="24">
        <f t="shared" si="735"/>
        <v>0</v>
      </c>
      <c r="Q156" s="435" t="s">
        <v>501</v>
      </c>
      <c r="R156" s="435" t="s">
        <v>488</v>
      </c>
      <c r="S156" s="435" t="s">
        <v>491</v>
      </c>
      <c r="T156" s="435" t="s">
        <v>488</v>
      </c>
      <c r="U156" s="161">
        <v>1</v>
      </c>
      <c r="V156" s="434">
        <v>3</v>
      </c>
      <c r="W156" s="459">
        <f t="shared" si="837"/>
        <v>21580.5</v>
      </c>
      <c r="X156" s="459"/>
      <c r="Y156" s="460">
        <v>4275.5</v>
      </c>
      <c r="Z156" s="459">
        <f>9666+7639</f>
        <v>17305</v>
      </c>
      <c r="AA156" s="461"/>
      <c r="AB156" s="459">
        <f t="shared" si="838"/>
        <v>4312.5</v>
      </c>
      <c r="AC156" s="459"/>
      <c r="AD156" s="460">
        <v>4312.5</v>
      </c>
      <c r="AE156" s="459"/>
      <c r="AF156" s="461"/>
      <c r="AG156" s="459">
        <f t="shared" si="839"/>
        <v>4312.5</v>
      </c>
      <c r="AH156" s="459"/>
      <c r="AI156" s="460">
        <v>4312.5</v>
      </c>
      <c r="AJ156" s="459"/>
      <c r="AK156" s="461"/>
      <c r="AL156" s="459">
        <f t="shared" si="840"/>
        <v>617</v>
      </c>
      <c r="AM156" s="459"/>
      <c r="AN156" s="460">
        <v>617</v>
      </c>
      <c r="AO156" s="459"/>
      <c r="AP156" s="461"/>
      <c r="AQ156" s="398" t="s">
        <v>526</v>
      </c>
      <c r="AR156" s="459">
        <f t="shared" si="841"/>
        <v>20999.564999999999</v>
      </c>
      <c r="AS156" s="459"/>
      <c r="AT156" s="462">
        <v>4275.5</v>
      </c>
      <c r="AU156" s="459">
        <f>9666+7639-580.935</f>
        <v>16724.064999999999</v>
      </c>
      <c r="AV156" s="461"/>
      <c r="AW156" s="459" t="e">
        <f t="shared" si="842"/>
        <v>#REF!</v>
      </c>
      <c r="AX156" s="459" t="e">
        <f>#REF!-AS156</f>
        <v>#REF!</v>
      </c>
      <c r="AY156" s="459" t="e">
        <f>#REF!-AT156</f>
        <v>#REF!</v>
      </c>
      <c r="AZ156" s="459" t="e">
        <f>#REF!-AU156</f>
        <v>#REF!</v>
      </c>
      <c r="BA156" s="459" t="e">
        <f>#REF!-AV156</f>
        <v>#REF!</v>
      </c>
      <c r="BB156" s="459">
        <f t="shared" si="843"/>
        <v>6215.6</v>
      </c>
      <c r="BC156" s="459"/>
      <c r="BD156" s="460">
        <f>617+3695.5+1903.1</f>
        <v>6215.6</v>
      </c>
      <c r="BE156" s="459"/>
      <c r="BF156" s="461"/>
      <c r="BG156" s="459">
        <f t="shared" si="844"/>
        <v>0</v>
      </c>
      <c r="BH156" s="459"/>
      <c r="BI156" s="460"/>
      <c r="BJ156" s="459"/>
      <c r="BK156" s="461"/>
      <c r="BL156" s="459">
        <f t="shared" si="845"/>
        <v>20999.565000000002</v>
      </c>
      <c r="BM156" s="459"/>
      <c r="BN156" s="460">
        <f>3655.5525+619.9475</f>
        <v>4275.5</v>
      </c>
      <c r="BO156" s="459">
        <f>7058.149+4312.68106+5353.23494</f>
        <v>16724.065000000002</v>
      </c>
      <c r="BP156" s="470"/>
      <c r="BQ156" s="459">
        <f t="shared" si="846"/>
        <v>20999.565000000002</v>
      </c>
      <c r="BR156" s="459"/>
      <c r="BS156" s="460">
        <f>3655.5525+619.9475</f>
        <v>4275.5</v>
      </c>
      <c r="BT156" s="459">
        <f>7058.149+4312.68106+5353.23494</f>
        <v>16724.065000000002</v>
      </c>
      <c r="BU156" s="461"/>
      <c r="BV156" s="459">
        <f t="shared" si="847"/>
        <v>1581.62788</v>
      </c>
      <c r="BW156" s="459"/>
      <c r="BX156" s="459">
        <f>274.77135+46.61065</f>
        <v>321.38200000000001</v>
      </c>
      <c r="BY156" s="459">
        <f>532.07588+728.17</f>
        <v>1260.2458799999999</v>
      </c>
      <c r="BZ156" s="459"/>
      <c r="CA156" s="464">
        <f t="shared" si="848"/>
        <v>22581.192880000002</v>
      </c>
      <c r="CB156" s="459">
        <f t="shared" si="849"/>
        <v>22581.192880000002</v>
      </c>
      <c r="CC156" s="459">
        <f t="shared" si="850"/>
        <v>0</v>
      </c>
      <c r="CD156" s="459">
        <f t="shared" si="850"/>
        <v>4596.8819999999996</v>
      </c>
      <c r="CE156" s="459">
        <f t="shared" si="850"/>
        <v>17984.310880000001</v>
      </c>
      <c r="CF156" s="459">
        <f t="shared" si="850"/>
        <v>0</v>
      </c>
      <c r="CG156" s="459">
        <f t="shared" si="851"/>
        <v>0</v>
      </c>
      <c r="CH156" s="459">
        <f t="shared" si="852"/>
        <v>0</v>
      </c>
      <c r="CI156" s="459">
        <f t="shared" si="852"/>
        <v>0</v>
      </c>
      <c r="CJ156" s="459">
        <f t="shared" si="852"/>
        <v>0</v>
      </c>
      <c r="CK156" s="459">
        <f t="shared" si="852"/>
        <v>0</v>
      </c>
      <c r="CL156" s="465"/>
      <c r="CM156" s="559">
        <f>BB156+BB157</f>
        <v>6825.1</v>
      </c>
      <c r="CN156" s="559">
        <f>CM156</f>
        <v>6825.1</v>
      </c>
      <c r="CO156" s="459">
        <f t="shared" si="853"/>
        <v>0</v>
      </c>
      <c r="CP156" s="459"/>
      <c r="CQ156" s="460"/>
      <c r="CR156" s="459"/>
      <c r="CS156" s="461"/>
      <c r="CT156" s="459">
        <f t="shared" si="854"/>
        <v>0</v>
      </c>
      <c r="CU156" s="459"/>
      <c r="CV156" s="460"/>
      <c r="CW156" s="459"/>
      <c r="CX156" s="461"/>
      <c r="CY156" s="459">
        <f t="shared" si="855"/>
        <v>0</v>
      </c>
      <c r="CZ156" s="459">
        <f t="shared" si="856"/>
        <v>0</v>
      </c>
      <c r="DA156" s="459">
        <f t="shared" si="856"/>
        <v>0</v>
      </c>
      <c r="DB156" s="459">
        <f t="shared" si="856"/>
        <v>0</v>
      </c>
      <c r="DC156" s="459">
        <f t="shared" si="856"/>
        <v>0</v>
      </c>
      <c r="DD156" s="459"/>
      <c r="DE156" s="459"/>
      <c r="DF156" s="459"/>
      <c r="DG156" s="459">
        <f t="shared" si="857"/>
        <v>0</v>
      </c>
      <c r="DH156" s="467"/>
      <c r="DI156" s="459">
        <f t="shared" si="862"/>
        <v>20999.565000000002</v>
      </c>
      <c r="DJ156" s="459">
        <f t="shared" si="858"/>
        <v>20999.565000000002</v>
      </c>
      <c r="DK156" s="467"/>
      <c r="DL156" s="560">
        <f>DJ156+DJ157</f>
        <v>21603.365000000002</v>
      </c>
      <c r="DM156" s="560">
        <f>DG156+DG157</f>
        <v>0</v>
      </c>
      <c r="DN156" s="467"/>
      <c r="DO156" s="459">
        <f>CN156-DL156</f>
        <v>-14778.265000000001</v>
      </c>
      <c r="DP156" s="467"/>
      <c r="DQ156" s="467"/>
      <c r="DR156" s="459">
        <f t="shared" si="733"/>
        <v>20999.564999999999</v>
      </c>
      <c r="DS156" s="459"/>
      <c r="DT156" s="460">
        <v>4275.5</v>
      </c>
      <c r="DU156" s="459">
        <f>7058.149+9665.916</f>
        <v>16724.064999999999</v>
      </c>
      <c r="DV156" s="461"/>
      <c r="DW156" s="459">
        <f t="shared" si="734"/>
        <v>1581.62788</v>
      </c>
      <c r="DX156" s="459"/>
      <c r="DY156" s="459">
        <v>321.38200000000001</v>
      </c>
      <c r="DZ156" s="459">
        <f>532.07588+728.17</f>
        <v>1260.2458799999999</v>
      </c>
      <c r="EA156" s="146"/>
      <c r="EB156" s="279"/>
      <c r="EC156" s="279"/>
      <c r="ED156" s="279"/>
      <c r="EE156" s="366"/>
      <c r="EF156" s="366"/>
      <c r="EG156" s="279"/>
      <c r="EH156" s="279"/>
      <c r="EI156" s="279"/>
      <c r="EJ156" s="366"/>
      <c r="EK156" s="366"/>
      <c r="EL156" s="366">
        <v>2.0400000000000001E-2</v>
      </c>
      <c r="EM156" s="280"/>
      <c r="EN156" s="279"/>
      <c r="EO156" s="265" t="e">
        <f t="shared" si="861"/>
        <v>#DIV/0!</v>
      </c>
      <c r="EP156" s="323">
        <f t="shared" si="736"/>
        <v>4596.8819999999996</v>
      </c>
      <c r="EQ156" s="323">
        <f t="shared" si="796"/>
        <v>4275.5</v>
      </c>
      <c r="ER156" s="323">
        <v>321.38200000000001</v>
      </c>
      <c r="ES156" s="358">
        <f t="shared" si="863"/>
        <v>0.93008695894304017</v>
      </c>
      <c r="ET156" s="358">
        <f t="shared" si="864"/>
        <v>6.9913041056959918E-2</v>
      </c>
      <c r="EU156" s="323">
        <f t="shared" si="737"/>
        <v>4596.8819999999996</v>
      </c>
      <c r="EV156" s="323">
        <f t="shared" si="865"/>
        <v>4275.5</v>
      </c>
      <c r="EW156" s="323">
        <f t="shared" si="866"/>
        <v>321.38200000000001</v>
      </c>
      <c r="EX156" s="358">
        <f t="shared" si="867"/>
        <v>0.93008695894304017</v>
      </c>
      <c r="EY156" s="358">
        <f t="shared" si="868"/>
        <v>6.9913041056959918E-2</v>
      </c>
      <c r="EZ156" s="358">
        <v>6.8000000000000005E-2</v>
      </c>
      <c r="FA156" s="323">
        <f t="shared" si="869"/>
        <v>4275.5</v>
      </c>
      <c r="FB156" s="323">
        <f t="shared" si="738"/>
        <v>0</v>
      </c>
      <c r="FC156" s="279">
        <f t="shared" ref="FC156" si="870">FD156+FE156</f>
        <v>17984.310879999997</v>
      </c>
      <c r="FD156" s="279">
        <f t="shared" si="759"/>
        <v>16724.064999999999</v>
      </c>
      <c r="FE156" s="279">
        <v>1260.2458799999999</v>
      </c>
      <c r="FF156" s="366">
        <f t="shared" ref="FF156" si="871">FD156/FC156</f>
        <v>0.9299252616122482</v>
      </c>
      <c r="FG156" s="366">
        <f t="shared" ref="FG156" si="872">FE156/FC156</f>
        <v>7.0074738387751898E-2</v>
      </c>
      <c r="FH156" s="279">
        <f t="shared" si="761"/>
        <v>17984.310879999997</v>
      </c>
      <c r="FI156" s="279">
        <f t="shared" si="820"/>
        <v>16724.064999999999</v>
      </c>
      <c r="FJ156" s="279">
        <f t="shared" si="821"/>
        <v>1260.2458799999999</v>
      </c>
      <c r="FK156" s="366">
        <f t="shared" ref="FK156" si="873">FI156/FH156</f>
        <v>0.9299252616122482</v>
      </c>
      <c r="FL156" s="366">
        <f t="shared" ref="FL156" si="874">FJ156/FH156</f>
        <v>7.0074738387751898E-2</v>
      </c>
      <c r="FM156" s="366">
        <v>6.8000000000000005E-2</v>
      </c>
      <c r="FN156" s="280">
        <f t="shared" si="581"/>
        <v>16724.064999999999</v>
      </c>
      <c r="FO156" s="279">
        <f t="shared" si="762"/>
        <v>0</v>
      </c>
    </row>
    <row r="157" spans="2:171" s="40" customFormat="1" ht="15.75" customHeight="1" x14ac:dyDescent="0.25">
      <c r="B157" s="32"/>
      <c r="C157" s="33">
        <v>1</v>
      </c>
      <c r="D157" s="33"/>
      <c r="E157" s="434">
        <v>131</v>
      </c>
      <c r="F157" s="32"/>
      <c r="G157" s="33">
        <v>1</v>
      </c>
      <c r="H157" s="33">
        <v>1</v>
      </c>
      <c r="I157" s="434"/>
      <c r="J157" s="435"/>
      <c r="K157" s="435"/>
      <c r="L157" s="53"/>
      <c r="M157" s="434">
        <v>128</v>
      </c>
      <c r="N157" s="435" t="s">
        <v>57</v>
      </c>
      <c r="O157" s="435"/>
      <c r="P157" s="24">
        <f t="shared" si="735"/>
        <v>0</v>
      </c>
      <c r="Q157" s="435" t="s">
        <v>491</v>
      </c>
      <c r="R157" s="435" t="s">
        <v>488</v>
      </c>
      <c r="S157" s="435" t="s">
        <v>490</v>
      </c>
      <c r="T157" s="435" t="s">
        <v>488</v>
      </c>
      <c r="U157" s="161">
        <v>1</v>
      </c>
      <c r="V157" s="434"/>
      <c r="W157" s="459">
        <f t="shared" si="837"/>
        <v>603.79999999999995</v>
      </c>
      <c r="X157" s="459"/>
      <c r="Y157" s="460">
        <v>603.79999999999995</v>
      </c>
      <c r="Z157" s="459"/>
      <c r="AA157" s="464"/>
      <c r="AB157" s="459">
        <f t="shared" si="838"/>
        <v>609.5</v>
      </c>
      <c r="AC157" s="459"/>
      <c r="AD157" s="460">
        <v>609.5</v>
      </c>
      <c r="AE157" s="459"/>
      <c r="AF157" s="464"/>
      <c r="AG157" s="459">
        <f t="shared" si="839"/>
        <v>609.5</v>
      </c>
      <c r="AH157" s="459"/>
      <c r="AI157" s="460">
        <v>609.5</v>
      </c>
      <c r="AJ157" s="459"/>
      <c r="AK157" s="464"/>
      <c r="AL157" s="459">
        <f t="shared" si="840"/>
        <v>265</v>
      </c>
      <c r="AM157" s="459"/>
      <c r="AN157" s="460">
        <v>265</v>
      </c>
      <c r="AO157" s="459"/>
      <c r="AP157" s="459"/>
      <c r="AQ157" s="383" t="s">
        <v>399</v>
      </c>
      <c r="AR157" s="459">
        <f t="shared" si="841"/>
        <v>603.79999999999995</v>
      </c>
      <c r="AS157" s="459"/>
      <c r="AT157" s="462">
        <v>603.79999999999995</v>
      </c>
      <c r="AU157" s="459"/>
      <c r="AV157" s="459"/>
      <c r="AW157" s="459" t="e">
        <f t="shared" si="842"/>
        <v>#REF!</v>
      </c>
      <c r="AX157" s="459" t="e">
        <f>#REF!-AS157</f>
        <v>#REF!</v>
      </c>
      <c r="AY157" s="459" t="e">
        <f>#REF!-AT157</f>
        <v>#REF!</v>
      </c>
      <c r="AZ157" s="459" t="e">
        <f>#REF!-AU157</f>
        <v>#REF!</v>
      </c>
      <c r="BA157" s="459" t="e">
        <f>#REF!-AV157</f>
        <v>#REF!</v>
      </c>
      <c r="BB157" s="459">
        <f>BC157+BD157+BE157+BF157</f>
        <v>609.5</v>
      </c>
      <c r="BC157" s="459"/>
      <c r="BD157" s="460">
        <f>265+344.5</f>
        <v>609.5</v>
      </c>
      <c r="BE157" s="459"/>
      <c r="BF157" s="459"/>
      <c r="BG157" s="459">
        <f t="shared" si="844"/>
        <v>0</v>
      </c>
      <c r="BH157" s="459"/>
      <c r="BI157" s="460"/>
      <c r="BJ157" s="459"/>
      <c r="BK157" s="459"/>
      <c r="BL157" s="459">
        <f t="shared" si="845"/>
        <v>603.79999999999995</v>
      </c>
      <c r="BM157" s="459"/>
      <c r="BN157" s="462">
        <v>603.79999999999995</v>
      </c>
      <c r="BO157" s="459"/>
      <c r="BP157" s="459"/>
      <c r="BQ157" s="459">
        <f t="shared" si="846"/>
        <v>603.80000000000007</v>
      </c>
      <c r="BR157" s="459"/>
      <c r="BS157" s="470">
        <f>154.36+224.72+224.72</f>
        <v>603.80000000000007</v>
      </c>
      <c r="BT157" s="459"/>
      <c r="BU157" s="459"/>
      <c r="BV157" s="459">
        <f t="shared" si="847"/>
        <v>60</v>
      </c>
      <c r="BW157" s="459"/>
      <c r="BX157" s="459">
        <f>22.33054+15.33892+22.33054</f>
        <v>60</v>
      </c>
      <c r="BY157" s="459"/>
      <c r="BZ157" s="459"/>
      <c r="CA157" s="464">
        <f t="shared" si="848"/>
        <v>663.80000000000007</v>
      </c>
      <c r="CB157" s="459">
        <f t="shared" si="849"/>
        <v>663.80000000000007</v>
      </c>
      <c r="CC157" s="459">
        <f t="shared" si="850"/>
        <v>0</v>
      </c>
      <c r="CD157" s="459">
        <f t="shared" si="850"/>
        <v>663.80000000000007</v>
      </c>
      <c r="CE157" s="459">
        <f t="shared" si="850"/>
        <v>0</v>
      </c>
      <c r="CF157" s="459">
        <f t="shared" si="850"/>
        <v>0</v>
      </c>
      <c r="CG157" s="459">
        <f t="shared" si="851"/>
        <v>0</v>
      </c>
      <c r="CH157" s="459">
        <f t="shared" si="852"/>
        <v>0</v>
      </c>
      <c r="CI157" s="459">
        <f t="shared" si="852"/>
        <v>0</v>
      </c>
      <c r="CJ157" s="459">
        <f t="shared" si="852"/>
        <v>0</v>
      </c>
      <c r="CK157" s="459">
        <f t="shared" si="852"/>
        <v>0</v>
      </c>
      <c r="CL157" s="465"/>
      <c r="CM157" s="466"/>
      <c r="CN157" s="466"/>
      <c r="CO157" s="459">
        <f t="shared" si="853"/>
        <v>0</v>
      </c>
      <c r="CP157" s="459"/>
      <c r="CQ157" s="460"/>
      <c r="CR157" s="459"/>
      <c r="CS157" s="459"/>
      <c r="CT157" s="459">
        <f t="shared" si="854"/>
        <v>0</v>
      </c>
      <c r="CU157" s="459"/>
      <c r="CV157" s="460"/>
      <c r="CW157" s="459"/>
      <c r="CX157" s="459"/>
      <c r="CY157" s="459">
        <f t="shared" si="855"/>
        <v>0</v>
      </c>
      <c r="CZ157" s="459">
        <f t="shared" si="856"/>
        <v>0</v>
      </c>
      <c r="DA157" s="459">
        <f t="shared" si="856"/>
        <v>0</v>
      </c>
      <c r="DB157" s="459">
        <f t="shared" si="856"/>
        <v>0</v>
      </c>
      <c r="DC157" s="459">
        <f t="shared" si="856"/>
        <v>0</v>
      </c>
      <c r="DD157" s="459"/>
      <c r="DE157" s="459"/>
      <c r="DF157" s="459"/>
      <c r="DG157" s="459">
        <f t="shared" si="857"/>
        <v>0</v>
      </c>
      <c r="DH157" s="467"/>
      <c r="DI157" s="459">
        <f t="shared" si="862"/>
        <v>603.79999999999995</v>
      </c>
      <c r="DJ157" s="459">
        <f t="shared" si="858"/>
        <v>603.80000000000007</v>
      </c>
      <c r="DK157" s="467"/>
      <c r="DL157" s="459"/>
      <c r="DM157" s="459"/>
      <c r="DN157" s="467"/>
      <c r="DO157" s="459"/>
      <c r="DP157" s="467"/>
      <c r="DQ157" s="467"/>
      <c r="DR157" s="459">
        <f t="shared" si="733"/>
        <v>603.79999999999995</v>
      </c>
      <c r="DS157" s="459"/>
      <c r="DT157" s="460">
        <v>603.79999999999995</v>
      </c>
      <c r="DU157" s="459"/>
      <c r="DV157" s="459"/>
      <c r="DW157" s="459">
        <f>DX157+DY157+DZ157</f>
        <v>60</v>
      </c>
      <c r="DX157" s="459"/>
      <c r="DY157" s="459">
        <v>60</v>
      </c>
      <c r="DZ157" s="459"/>
      <c r="EA157" s="146"/>
      <c r="EB157" s="279"/>
      <c r="EC157" s="279"/>
      <c r="ED157" s="279"/>
      <c r="EE157" s="366"/>
      <c r="EF157" s="366"/>
      <c r="EG157" s="279"/>
      <c r="EH157" s="279"/>
      <c r="EI157" s="279"/>
      <c r="EJ157" s="366"/>
      <c r="EK157" s="366"/>
      <c r="EL157" s="366">
        <v>2.47E-2</v>
      </c>
      <c r="EM157" s="280"/>
      <c r="EN157" s="279"/>
      <c r="EO157" s="265" t="e">
        <f t="shared" si="861"/>
        <v>#DIV/0!</v>
      </c>
      <c r="EP157" s="323">
        <f t="shared" si="736"/>
        <v>663.8</v>
      </c>
      <c r="EQ157" s="323">
        <f t="shared" si="796"/>
        <v>603.79999999999995</v>
      </c>
      <c r="ER157" s="323">
        <v>60</v>
      </c>
      <c r="ES157" s="358">
        <f t="shared" si="863"/>
        <v>0.90961132871346795</v>
      </c>
      <c r="ET157" s="358">
        <f t="shared" si="864"/>
        <v>9.0388671286532093E-2</v>
      </c>
      <c r="EU157" s="323">
        <f t="shared" si="737"/>
        <v>663.8</v>
      </c>
      <c r="EV157" s="323">
        <f t="shared" si="865"/>
        <v>603.79999999999995</v>
      </c>
      <c r="EW157" s="323">
        <f t="shared" si="866"/>
        <v>60</v>
      </c>
      <c r="EX157" s="358">
        <f t="shared" si="867"/>
        <v>0.90961132871346795</v>
      </c>
      <c r="EY157" s="358">
        <f t="shared" si="868"/>
        <v>9.0388671286532093E-2</v>
      </c>
      <c r="EZ157" s="358">
        <v>8.2299999999999998E-2</v>
      </c>
      <c r="FA157" s="323">
        <f t="shared" si="869"/>
        <v>603.79999999999995</v>
      </c>
      <c r="FB157" s="323">
        <f t="shared" si="738"/>
        <v>0</v>
      </c>
      <c r="FC157" s="279"/>
      <c r="FD157" s="279"/>
      <c r="FE157" s="279"/>
      <c r="FF157" s="366"/>
      <c r="FG157" s="366"/>
      <c r="FH157" s="279"/>
      <c r="FI157" s="279"/>
      <c r="FJ157" s="279"/>
      <c r="FK157" s="366"/>
      <c r="FL157" s="366"/>
      <c r="FM157" s="366">
        <v>8.2299999999999998E-2</v>
      </c>
      <c r="FN157" s="280"/>
      <c r="FO157" s="279"/>
    </row>
    <row r="158" spans="2:171" s="40" customFormat="1" ht="15.75" customHeight="1" x14ac:dyDescent="0.25">
      <c r="B158" s="32"/>
      <c r="C158" s="33"/>
      <c r="D158" s="33">
        <v>1</v>
      </c>
      <c r="E158" s="434">
        <v>132</v>
      </c>
      <c r="F158" s="32"/>
      <c r="G158" s="33"/>
      <c r="H158" s="33">
        <v>1</v>
      </c>
      <c r="I158" s="436"/>
      <c r="J158" s="436"/>
      <c r="K158" s="436"/>
      <c r="L158" s="568"/>
      <c r="M158" s="434">
        <v>129</v>
      </c>
      <c r="N158" s="435" t="s">
        <v>117</v>
      </c>
      <c r="O158" s="435"/>
      <c r="P158" s="24">
        <f t="shared" si="735"/>
        <v>0</v>
      </c>
      <c r="Q158" s="435" t="s">
        <v>501</v>
      </c>
      <c r="R158" s="435" t="s">
        <v>488</v>
      </c>
      <c r="S158" s="435" t="s">
        <v>491</v>
      </c>
      <c r="T158" s="435" t="s">
        <v>488</v>
      </c>
      <c r="U158" s="161">
        <v>1</v>
      </c>
      <c r="V158" s="434">
        <v>2</v>
      </c>
      <c r="W158" s="459">
        <f t="shared" si="837"/>
        <v>745</v>
      </c>
      <c r="X158" s="459"/>
      <c r="Y158" s="460">
        <v>745</v>
      </c>
      <c r="Z158" s="459"/>
      <c r="AA158" s="464"/>
      <c r="AB158" s="459">
        <f t="shared" si="838"/>
        <v>752.1</v>
      </c>
      <c r="AC158" s="459"/>
      <c r="AD158" s="460">
        <v>752.1</v>
      </c>
      <c r="AE158" s="459"/>
      <c r="AF158" s="464"/>
      <c r="AG158" s="459">
        <f t="shared" si="839"/>
        <v>752.1</v>
      </c>
      <c r="AH158" s="459"/>
      <c r="AI158" s="460">
        <v>752.1</v>
      </c>
      <c r="AJ158" s="459"/>
      <c r="AK158" s="464"/>
      <c r="AL158" s="459">
        <f t="shared" si="840"/>
        <v>327</v>
      </c>
      <c r="AM158" s="459"/>
      <c r="AN158" s="460">
        <v>327</v>
      </c>
      <c r="AO158" s="459"/>
      <c r="AP158" s="459"/>
      <c r="AQ158" s="383" t="s">
        <v>559</v>
      </c>
      <c r="AR158" s="459">
        <f t="shared" si="841"/>
        <v>741.58145999999999</v>
      </c>
      <c r="AS158" s="459"/>
      <c r="AT158" s="460">
        <f>745-3.41854</f>
        <v>741.58145999999999</v>
      </c>
      <c r="AU158" s="459"/>
      <c r="AV158" s="459"/>
      <c r="AW158" s="459" t="e">
        <f t="shared" si="842"/>
        <v>#REF!</v>
      </c>
      <c r="AX158" s="459" t="e">
        <f>#REF!-AS158</f>
        <v>#REF!</v>
      </c>
      <c r="AY158" s="459" t="e">
        <f>#REF!-AT158</f>
        <v>#REF!</v>
      </c>
      <c r="AZ158" s="459" t="e">
        <f>#REF!-AU158</f>
        <v>#REF!</v>
      </c>
      <c r="BA158" s="459" t="e">
        <f>#REF!-AV158</f>
        <v>#REF!</v>
      </c>
      <c r="BB158" s="459">
        <f t="shared" si="843"/>
        <v>326.92599999999999</v>
      </c>
      <c r="BC158" s="459"/>
      <c r="BD158" s="460">
        <v>326.92599999999999</v>
      </c>
      <c r="BE158" s="459"/>
      <c r="BF158" s="459"/>
      <c r="BG158" s="459">
        <f t="shared" si="844"/>
        <v>0</v>
      </c>
      <c r="BH158" s="459"/>
      <c r="BI158" s="460"/>
      <c r="BJ158" s="459"/>
      <c r="BK158" s="459"/>
      <c r="BL158" s="459">
        <f t="shared" si="845"/>
        <v>741.58145999999999</v>
      </c>
      <c r="BM158" s="459"/>
      <c r="BN158" s="460">
        <v>741.58145999999999</v>
      </c>
      <c r="BO158" s="459"/>
      <c r="BP158" s="459"/>
      <c r="BQ158" s="459">
        <f t="shared" si="846"/>
        <v>741.58145999999999</v>
      </c>
      <c r="BR158" s="459"/>
      <c r="BS158" s="460">
        <v>741.58145999999999</v>
      </c>
      <c r="BT158" s="459"/>
      <c r="BU158" s="459"/>
      <c r="BV158" s="459">
        <f t="shared" si="847"/>
        <v>58.398539999999997</v>
      </c>
      <c r="BW158" s="459"/>
      <c r="BX158" s="459">
        <v>58.398539999999997</v>
      </c>
      <c r="BY158" s="459"/>
      <c r="BZ158" s="459"/>
      <c r="CA158" s="464">
        <f t="shared" si="848"/>
        <v>799.98</v>
      </c>
      <c r="CB158" s="459">
        <f t="shared" si="849"/>
        <v>799.98</v>
      </c>
      <c r="CC158" s="459">
        <f t="shared" si="850"/>
        <v>0</v>
      </c>
      <c r="CD158" s="459">
        <f t="shared" si="850"/>
        <v>799.98</v>
      </c>
      <c r="CE158" s="459">
        <f t="shared" si="850"/>
        <v>0</v>
      </c>
      <c r="CF158" s="459">
        <f t="shared" si="850"/>
        <v>0</v>
      </c>
      <c r="CG158" s="459">
        <f t="shared" si="851"/>
        <v>0</v>
      </c>
      <c r="CH158" s="459">
        <f t="shared" si="852"/>
        <v>0</v>
      </c>
      <c r="CI158" s="459">
        <f t="shared" si="852"/>
        <v>0</v>
      </c>
      <c r="CJ158" s="459">
        <f t="shared" si="852"/>
        <v>0</v>
      </c>
      <c r="CK158" s="459">
        <f t="shared" si="852"/>
        <v>0</v>
      </c>
      <c r="CL158" s="465"/>
      <c r="CM158" s="466">
        <f>BB154+BB155+BB158</f>
        <v>2180.1410000000001</v>
      </c>
      <c r="CN158" s="466">
        <f>CM158-BG154</f>
        <v>2180.1410000000001</v>
      </c>
      <c r="CO158" s="459">
        <f t="shared" si="853"/>
        <v>0</v>
      </c>
      <c r="CP158" s="459"/>
      <c r="CQ158" s="460"/>
      <c r="CR158" s="459"/>
      <c r="CS158" s="459"/>
      <c r="CT158" s="459">
        <f t="shared" si="854"/>
        <v>0</v>
      </c>
      <c r="CU158" s="459"/>
      <c r="CV158" s="460"/>
      <c r="CW158" s="459"/>
      <c r="CX158" s="459"/>
      <c r="CY158" s="459">
        <f t="shared" si="855"/>
        <v>0</v>
      </c>
      <c r="CZ158" s="459">
        <f t="shared" si="856"/>
        <v>0</v>
      </c>
      <c r="DA158" s="459">
        <f t="shared" si="856"/>
        <v>0</v>
      </c>
      <c r="DB158" s="459">
        <f t="shared" si="856"/>
        <v>0</v>
      </c>
      <c r="DC158" s="459">
        <f t="shared" si="856"/>
        <v>0</v>
      </c>
      <c r="DD158" s="459"/>
      <c r="DE158" s="459"/>
      <c r="DF158" s="459"/>
      <c r="DG158" s="459">
        <f t="shared" si="857"/>
        <v>0</v>
      </c>
      <c r="DH158" s="467"/>
      <c r="DI158" s="459">
        <f t="shared" si="862"/>
        <v>741.58145999999999</v>
      </c>
      <c r="DJ158" s="459">
        <f t="shared" si="858"/>
        <v>741.58145999999999</v>
      </c>
      <c r="DK158" s="467"/>
      <c r="DL158" s="459">
        <f>DJ154+DJ155+DJ158</f>
        <v>4165.6814599999998</v>
      </c>
      <c r="DM158" s="459">
        <f>DG154+DG155+DG158</f>
        <v>0</v>
      </c>
      <c r="DN158" s="467"/>
      <c r="DO158" s="459">
        <f>CN158-DL158</f>
        <v>-1985.5404599999997</v>
      </c>
      <c r="DP158" s="467"/>
      <c r="DQ158" s="467"/>
      <c r="DR158" s="459">
        <f t="shared" si="733"/>
        <v>741.58145999999999</v>
      </c>
      <c r="DS158" s="459"/>
      <c r="DT158" s="460">
        <v>741.58145999999999</v>
      </c>
      <c r="DU158" s="459"/>
      <c r="DV158" s="459"/>
      <c r="DW158" s="459">
        <f>DX158+DY158+DZ158</f>
        <v>58.398539999999997</v>
      </c>
      <c r="DX158" s="459"/>
      <c r="DY158" s="459">
        <v>58.398539999999997</v>
      </c>
      <c r="DZ158" s="459"/>
      <c r="EA158" s="146"/>
      <c r="EB158" s="279"/>
      <c r="EC158" s="279"/>
      <c r="ED158" s="279"/>
      <c r="EE158" s="366"/>
      <c r="EF158" s="366"/>
      <c r="EG158" s="279"/>
      <c r="EH158" s="279"/>
      <c r="EI158" s="279"/>
      <c r="EJ158" s="366"/>
      <c r="EK158" s="366"/>
      <c r="EL158" s="366">
        <v>2.1399999999999999E-2</v>
      </c>
      <c r="EM158" s="280"/>
      <c r="EN158" s="279"/>
      <c r="EO158" s="265" t="e">
        <f t="shared" si="861"/>
        <v>#DIV/0!</v>
      </c>
      <c r="EP158" s="323">
        <f t="shared" si="736"/>
        <v>799.98</v>
      </c>
      <c r="EQ158" s="323">
        <f t="shared" si="796"/>
        <v>741.58145999999999</v>
      </c>
      <c r="ER158" s="323">
        <v>58.398539999999997</v>
      </c>
      <c r="ES158" s="358">
        <f t="shared" si="863"/>
        <v>0.92699999999999994</v>
      </c>
      <c r="ET158" s="358">
        <f t="shared" si="864"/>
        <v>7.2999999999999995E-2</v>
      </c>
      <c r="EU158" s="323">
        <f t="shared" si="737"/>
        <v>799.98</v>
      </c>
      <c r="EV158" s="323">
        <f t="shared" si="865"/>
        <v>741.58145999999999</v>
      </c>
      <c r="EW158" s="323">
        <f t="shared" si="866"/>
        <v>58.398539999999997</v>
      </c>
      <c r="EX158" s="358">
        <f t="shared" si="867"/>
        <v>0.92699999999999994</v>
      </c>
      <c r="EY158" s="358">
        <f t="shared" si="868"/>
        <v>7.2999999999999995E-2</v>
      </c>
      <c r="EZ158" s="358">
        <v>7.1199999999999999E-2</v>
      </c>
      <c r="FA158" s="323">
        <f t="shared" si="869"/>
        <v>741.58145999999999</v>
      </c>
      <c r="FB158" s="323">
        <f t="shared" si="738"/>
        <v>0</v>
      </c>
      <c r="FC158" s="279"/>
      <c r="FD158" s="279"/>
      <c r="FE158" s="279"/>
      <c r="FF158" s="366"/>
      <c r="FG158" s="366"/>
      <c r="FH158" s="279"/>
      <c r="FI158" s="279"/>
      <c r="FJ158" s="279"/>
      <c r="FK158" s="366"/>
      <c r="FL158" s="366"/>
      <c r="FM158" s="366">
        <v>7.1199999999999999E-2</v>
      </c>
      <c r="FN158" s="280"/>
      <c r="FO158" s="279"/>
    </row>
    <row r="159" spans="2:171" s="119" customFormat="1" ht="15.6" customHeight="1" x14ac:dyDescent="0.2">
      <c r="B159" s="113"/>
      <c r="C159" s="114"/>
      <c r="D159" s="114"/>
      <c r="E159" s="115"/>
      <c r="F159" s="113"/>
      <c r="G159" s="114"/>
      <c r="H159" s="114"/>
      <c r="M159" s="115"/>
      <c r="N159" s="118" t="s">
        <v>21</v>
      </c>
      <c r="O159" s="118"/>
      <c r="P159" s="68">
        <f t="shared" si="735"/>
        <v>9620.6760000000068</v>
      </c>
      <c r="Q159" s="118"/>
      <c r="R159" s="118"/>
      <c r="S159" s="118"/>
      <c r="T159" s="118"/>
      <c r="U159" s="163">
        <f>U160+U161+U162+U163+U164+U165+U166+U167+U168+U169+U170+U172+U171+U173+U174+U175+U176</f>
        <v>15</v>
      </c>
      <c r="V159" s="163">
        <f>V160+V161+V162+V163+V164+V165+V166+V167+V168+V169+V170+V172+V171+V173+V174+V175+V176</f>
        <v>14</v>
      </c>
      <c r="W159" s="452">
        <f t="shared" ref="W159:AA159" si="875">SUM(W160:W176)-W161</f>
        <v>62246.786000000007</v>
      </c>
      <c r="X159" s="452">
        <f t="shared" si="875"/>
        <v>43584.803</v>
      </c>
      <c r="Y159" s="452">
        <f t="shared" si="875"/>
        <v>10736.699999999999</v>
      </c>
      <c r="Z159" s="452">
        <f t="shared" si="875"/>
        <v>7925.2830000000004</v>
      </c>
      <c r="AA159" s="452">
        <f t="shared" si="875"/>
        <v>0</v>
      </c>
      <c r="AB159" s="452">
        <f t="shared" ref="AB159:AF159" si="876">SUM(AB160:AB176)-AB161</f>
        <v>21839.518000000004</v>
      </c>
      <c r="AC159" s="452">
        <f t="shared" si="876"/>
        <v>0</v>
      </c>
      <c r="AD159" s="452">
        <f t="shared" si="876"/>
        <v>10575.4</v>
      </c>
      <c r="AE159" s="452">
        <f t="shared" si="876"/>
        <v>11264.118</v>
      </c>
      <c r="AF159" s="452">
        <f t="shared" si="876"/>
        <v>0</v>
      </c>
      <c r="AG159" s="452">
        <f t="shared" ref="AG159:AK159" si="877">SUM(AG160:AG176)-AG161</f>
        <v>18825.400000000005</v>
      </c>
      <c r="AH159" s="452">
        <f t="shared" si="877"/>
        <v>0</v>
      </c>
      <c r="AI159" s="452">
        <f t="shared" si="877"/>
        <v>10575.4</v>
      </c>
      <c r="AJ159" s="452">
        <f t="shared" si="877"/>
        <v>8250</v>
      </c>
      <c r="AK159" s="452">
        <f t="shared" si="877"/>
        <v>0</v>
      </c>
      <c r="AL159" s="454">
        <f t="shared" ref="AL159:AP159" si="878">SUM(AL160:AL176)-AL161</f>
        <v>12848</v>
      </c>
      <c r="AM159" s="452">
        <f t="shared" si="878"/>
        <v>0</v>
      </c>
      <c r="AN159" s="452">
        <f t="shared" si="878"/>
        <v>4598</v>
      </c>
      <c r="AO159" s="452">
        <f t="shared" si="878"/>
        <v>8250</v>
      </c>
      <c r="AP159" s="452">
        <f t="shared" si="878"/>
        <v>0</v>
      </c>
      <c r="AQ159" s="453"/>
      <c r="AR159" s="452">
        <f t="shared" ref="AR159:AU159" si="879">SUM(AR160:AR176)-AR161</f>
        <v>61673.704650000007</v>
      </c>
      <c r="AS159" s="452">
        <f t="shared" si="879"/>
        <v>43584.803</v>
      </c>
      <c r="AT159" s="452">
        <f t="shared" si="879"/>
        <v>10297.584650000001</v>
      </c>
      <c r="AU159" s="452">
        <f t="shared" si="879"/>
        <v>7791.3170000000009</v>
      </c>
      <c r="AV159" s="452">
        <f>SUM(AV160:AV176)-AV161</f>
        <v>0</v>
      </c>
      <c r="AW159" s="452" t="e">
        <f t="shared" ref="AW159:BF159" si="880">SUM(AW160:AW176)-AW161</f>
        <v>#REF!</v>
      </c>
      <c r="AX159" s="452" t="e">
        <f t="shared" si="880"/>
        <v>#REF!</v>
      </c>
      <c r="AY159" s="452" t="e">
        <f t="shared" si="880"/>
        <v>#REF!</v>
      </c>
      <c r="AZ159" s="452" t="e">
        <f t="shared" si="880"/>
        <v>#REF!</v>
      </c>
      <c r="BA159" s="452" t="e">
        <f t="shared" si="880"/>
        <v>#REF!</v>
      </c>
      <c r="BB159" s="452">
        <f t="shared" si="880"/>
        <v>21689.940000000006</v>
      </c>
      <c r="BC159" s="452">
        <f t="shared" si="880"/>
        <v>0</v>
      </c>
      <c r="BD159" s="452">
        <f t="shared" si="880"/>
        <v>10426.159999999998</v>
      </c>
      <c r="BE159" s="452">
        <f t="shared" si="880"/>
        <v>11263.779999999999</v>
      </c>
      <c r="BF159" s="452">
        <f t="shared" si="880"/>
        <v>0</v>
      </c>
      <c r="BG159" s="452">
        <f t="shared" ref="BG159:CK159" si="881">SUM(BG160:BG176)-BG161</f>
        <v>0</v>
      </c>
      <c r="BH159" s="452">
        <f t="shared" si="881"/>
        <v>0</v>
      </c>
      <c r="BI159" s="452">
        <f t="shared" si="881"/>
        <v>0</v>
      </c>
      <c r="BJ159" s="452">
        <f t="shared" si="881"/>
        <v>0</v>
      </c>
      <c r="BK159" s="452">
        <f t="shared" si="881"/>
        <v>0</v>
      </c>
      <c r="BL159" s="452">
        <f t="shared" si="881"/>
        <v>61673.704650000007</v>
      </c>
      <c r="BM159" s="452">
        <f t="shared" si="881"/>
        <v>43584.803</v>
      </c>
      <c r="BN159" s="452">
        <f t="shared" si="881"/>
        <v>10297.584650000001</v>
      </c>
      <c r="BO159" s="452">
        <f t="shared" si="881"/>
        <v>7791.3170000000009</v>
      </c>
      <c r="BP159" s="452">
        <f t="shared" si="881"/>
        <v>0</v>
      </c>
      <c r="BQ159" s="452">
        <f t="shared" si="881"/>
        <v>52053.02865</v>
      </c>
      <c r="BR159" s="452">
        <f t="shared" si="881"/>
        <v>33964.127</v>
      </c>
      <c r="BS159" s="452">
        <f t="shared" si="881"/>
        <v>10297.584650000001</v>
      </c>
      <c r="BT159" s="452">
        <f t="shared" si="881"/>
        <v>7791.3170000000009</v>
      </c>
      <c r="BU159" s="452">
        <f t="shared" si="881"/>
        <v>0</v>
      </c>
      <c r="BV159" s="454">
        <f t="shared" si="881"/>
        <v>9489.594909999998</v>
      </c>
      <c r="BW159" s="452">
        <f t="shared" si="881"/>
        <v>2599.1485600000001</v>
      </c>
      <c r="BX159" s="452">
        <f t="shared" si="881"/>
        <v>5790.0974999999999</v>
      </c>
      <c r="BY159" s="452">
        <f t="shared" si="881"/>
        <v>1100.3488500000001</v>
      </c>
      <c r="BZ159" s="452">
        <f t="shared" si="881"/>
        <v>0</v>
      </c>
      <c r="CA159" s="452">
        <f t="shared" si="881"/>
        <v>61542.62356</v>
      </c>
      <c r="CB159" s="452">
        <f t="shared" si="881"/>
        <v>61542.62356</v>
      </c>
      <c r="CC159" s="452">
        <f t="shared" si="881"/>
        <v>36563.275560000002</v>
      </c>
      <c r="CD159" s="452">
        <f t="shared" si="881"/>
        <v>16087.682150000001</v>
      </c>
      <c r="CE159" s="452">
        <f t="shared" si="881"/>
        <v>8891.6658500000012</v>
      </c>
      <c r="CF159" s="452">
        <f t="shared" si="881"/>
        <v>0</v>
      </c>
      <c r="CG159" s="452">
        <f t="shared" si="881"/>
        <v>9620.6759999999995</v>
      </c>
      <c r="CH159" s="452">
        <f t="shared" si="881"/>
        <v>9620.6759999999995</v>
      </c>
      <c r="CI159" s="452">
        <f t="shared" si="881"/>
        <v>0</v>
      </c>
      <c r="CJ159" s="452">
        <f t="shared" si="881"/>
        <v>0</v>
      </c>
      <c r="CK159" s="452">
        <f t="shared" si="881"/>
        <v>0</v>
      </c>
      <c r="CL159" s="455">
        <f>CM159+CO159-BG159</f>
        <v>21689.940000000006</v>
      </c>
      <c r="CM159" s="456">
        <f t="shared" ref="CM159:DG159" si="882">SUM(CM160:CM176)-CM161</f>
        <v>21689.940000000006</v>
      </c>
      <c r="CN159" s="456">
        <f t="shared" si="882"/>
        <v>21689.940000000006</v>
      </c>
      <c r="CO159" s="452">
        <f t="shared" si="882"/>
        <v>0</v>
      </c>
      <c r="CP159" s="452">
        <f t="shared" si="882"/>
        <v>0</v>
      </c>
      <c r="CQ159" s="452">
        <f t="shared" si="882"/>
        <v>0</v>
      </c>
      <c r="CR159" s="452">
        <f t="shared" si="882"/>
        <v>0</v>
      </c>
      <c r="CS159" s="452">
        <f t="shared" si="882"/>
        <v>0</v>
      </c>
      <c r="CT159" s="452">
        <f t="shared" si="882"/>
        <v>0</v>
      </c>
      <c r="CU159" s="452">
        <f t="shared" si="882"/>
        <v>0</v>
      </c>
      <c r="CV159" s="452">
        <f t="shared" si="882"/>
        <v>0</v>
      </c>
      <c r="CW159" s="452">
        <f t="shared" si="882"/>
        <v>0</v>
      </c>
      <c r="CX159" s="452">
        <f t="shared" si="882"/>
        <v>0</v>
      </c>
      <c r="CY159" s="452">
        <f t="shared" si="882"/>
        <v>0</v>
      </c>
      <c r="CZ159" s="452">
        <f t="shared" si="882"/>
        <v>0</v>
      </c>
      <c r="DA159" s="452">
        <f t="shared" si="882"/>
        <v>0</v>
      </c>
      <c r="DB159" s="452">
        <f t="shared" si="882"/>
        <v>0</v>
      </c>
      <c r="DC159" s="452">
        <f t="shared" si="882"/>
        <v>0</v>
      </c>
      <c r="DD159" s="452">
        <f t="shared" si="882"/>
        <v>0</v>
      </c>
      <c r="DE159" s="452">
        <f t="shared" si="882"/>
        <v>0</v>
      </c>
      <c r="DF159" s="452">
        <f t="shared" si="882"/>
        <v>0</v>
      </c>
      <c r="DG159" s="452">
        <f t="shared" si="882"/>
        <v>9620.6759999999995</v>
      </c>
      <c r="DH159" s="457"/>
      <c r="DI159" s="452">
        <f>SUM(DI160:DI176)-DI161</f>
        <v>61673.704650000007</v>
      </c>
      <c r="DJ159" s="452">
        <f>SUM(DJ160:DJ176)-DJ161</f>
        <v>52053.02865</v>
      </c>
      <c r="DK159" s="457"/>
      <c r="DL159" s="452">
        <f>SUM(DL160:DL176)-DL161</f>
        <v>52053.028650000007</v>
      </c>
      <c r="DM159" s="452">
        <f>SUM(DM160:DM176)-DM161</f>
        <v>9620.6759999999995</v>
      </c>
      <c r="DN159" s="457"/>
      <c r="DO159" s="452">
        <f>SUM(DO160:DO176)-DO161</f>
        <v>-30363.088650000002</v>
      </c>
      <c r="DP159" s="457">
        <f>DG159-DO159</f>
        <v>39983.764649999997</v>
      </c>
      <c r="DQ159" s="457"/>
      <c r="DR159" s="452">
        <f t="shared" si="733"/>
        <v>52053.02865</v>
      </c>
      <c r="DS159" s="452">
        <f t="shared" ref="DS159:DU159" si="883">SUM(DS160:DS176)-DS161</f>
        <v>33964.127</v>
      </c>
      <c r="DT159" s="452">
        <f t="shared" si="883"/>
        <v>10297.584650000001</v>
      </c>
      <c r="DU159" s="452">
        <f t="shared" si="883"/>
        <v>7791.3170000000009</v>
      </c>
      <c r="DV159" s="452">
        <f t="shared" ref="DV159" si="884">SUM(DV160:DV176)-DV161</f>
        <v>0</v>
      </c>
      <c r="DW159" s="452">
        <f t="shared" si="734"/>
        <v>9489.5949099999998</v>
      </c>
      <c r="DX159" s="452">
        <f t="shared" ref="DX159:DZ159" si="885">SUM(DX160:DX176)-DX161</f>
        <v>2599.1485600000001</v>
      </c>
      <c r="DY159" s="452">
        <f t="shared" si="885"/>
        <v>5790.0974999999999</v>
      </c>
      <c r="DZ159" s="452">
        <f t="shared" si="885"/>
        <v>1100.3488500000001</v>
      </c>
      <c r="EA159" s="145">
        <f t="shared" ref="EA159" si="886">SUM(EA160:EA176)-EA161</f>
        <v>0</v>
      </c>
      <c r="EB159" s="57">
        <f t="shared" ref="EB159:EB195" si="887">EC159+ED159+EE159</f>
        <v>46920.186000000002</v>
      </c>
      <c r="EC159" s="57">
        <f t="shared" si="752"/>
        <v>43584.803</v>
      </c>
      <c r="ED159" s="57">
        <f t="shared" ref="ED159" si="888">SUM(ED160:ED176)-ED161</f>
        <v>3335.3829999999998</v>
      </c>
      <c r="EE159" s="360"/>
      <c r="EF159" s="360"/>
      <c r="EG159" s="57">
        <f t="shared" si="754"/>
        <v>36563.275560000002</v>
      </c>
      <c r="EH159" s="57">
        <f>SUM(EH160:EH176)</f>
        <v>33964.127</v>
      </c>
      <c r="EI159" s="57">
        <f>SUM(EI160:EI176)</f>
        <v>2599.1485600000001</v>
      </c>
      <c r="EJ159" s="360"/>
      <c r="EK159" s="360"/>
      <c r="EL159" s="360"/>
      <c r="EM159" s="273">
        <f t="shared" ref="EM159" si="889">SUM(EM160:EM176)</f>
        <v>33964.1271310671</v>
      </c>
      <c r="EN159" s="57">
        <f t="shared" si="756"/>
        <v>33964.1271310671</v>
      </c>
      <c r="EO159" s="264"/>
      <c r="EP159" s="57">
        <f t="shared" si="736"/>
        <v>16087.682150000001</v>
      </c>
      <c r="EQ159" s="57">
        <f t="shared" si="796"/>
        <v>10297.584650000001</v>
      </c>
      <c r="ER159" s="57">
        <f t="shared" ref="ER159" si="890">SUM(ER160:ER176)-ER161</f>
        <v>5790.0974999999999</v>
      </c>
      <c r="ES159" s="360"/>
      <c r="ET159" s="360"/>
      <c r="EU159" s="57">
        <f t="shared" si="737"/>
        <v>16087.682150000001</v>
      </c>
      <c r="EV159" s="57">
        <f>SUM(EV160:EV176)</f>
        <v>10297.584650000001</v>
      </c>
      <c r="EW159" s="57">
        <f>SUM(EW160:EW176)</f>
        <v>5790.0974999999999</v>
      </c>
      <c r="EX159" s="360"/>
      <c r="EY159" s="360"/>
      <c r="EZ159" s="360"/>
      <c r="FA159" s="57" t="e">
        <f t="shared" ref="FA159" si="891">SUM(FA160:FA176)</f>
        <v>#DIV/0!</v>
      </c>
      <c r="FB159" s="57" t="e">
        <f t="shared" si="738"/>
        <v>#DIV/0!</v>
      </c>
      <c r="FC159" s="57">
        <f t="shared" ref="FC159" si="892">FD159+FE159+FF159</f>
        <v>8891.6658500000012</v>
      </c>
      <c r="FD159" s="57">
        <f t="shared" si="759"/>
        <v>7791.3170000000009</v>
      </c>
      <c r="FE159" s="57">
        <f t="shared" ref="FE159" si="893">SUM(FE160:FE176)-FE161</f>
        <v>1100.3488500000001</v>
      </c>
      <c r="FF159" s="360"/>
      <c r="FG159" s="360"/>
      <c r="FH159" s="57">
        <f t="shared" si="761"/>
        <v>8891.6658500000012</v>
      </c>
      <c r="FI159" s="57">
        <f t="shared" si="820"/>
        <v>7791.3170000000009</v>
      </c>
      <c r="FJ159" s="57">
        <f t="shared" si="821"/>
        <v>1100.3488500000001</v>
      </c>
      <c r="FK159" s="360"/>
      <c r="FL159" s="360"/>
      <c r="FM159" s="360"/>
      <c r="FN159" s="273">
        <f t="shared" si="581"/>
        <v>0</v>
      </c>
      <c r="FO159" s="57">
        <f t="shared" si="762"/>
        <v>7791.3170000000009</v>
      </c>
    </row>
    <row r="160" spans="2:171" s="40" customFormat="1" ht="15.75" customHeight="1" x14ac:dyDescent="0.25">
      <c r="B160" s="32">
        <v>1</v>
      </c>
      <c r="C160" s="33"/>
      <c r="D160" s="33"/>
      <c r="E160" s="434">
        <v>133</v>
      </c>
      <c r="F160" s="32">
        <v>1</v>
      </c>
      <c r="G160" s="33"/>
      <c r="H160" s="33">
        <v>1</v>
      </c>
      <c r="M160" s="434">
        <v>130</v>
      </c>
      <c r="N160" s="435" t="s">
        <v>234</v>
      </c>
      <c r="O160" s="435"/>
      <c r="P160" s="24">
        <f t="shared" si="735"/>
        <v>0</v>
      </c>
      <c r="Q160" s="435" t="s">
        <v>490</v>
      </c>
      <c r="R160" s="435" t="s">
        <v>488</v>
      </c>
      <c r="S160" s="435" t="s">
        <v>490</v>
      </c>
      <c r="T160" s="435" t="s">
        <v>488</v>
      </c>
      <c r="U160" s="161">
        <v>1</v>
      </c>
      <c r="V160" s="434">
        <v>1</v>
      </c>
      <c r="W160" s="459">
        <f t="shared" ref="W160:W176" si="894">X160+Y160+Z160+AA160</f>
        <v>1554.2</v>
      </c>
      <c r="X160" s="459"/>
      <c r="Y160" s="460">
        <f>923+631.2</f>
        <v>1554.2</v>
      </c>
      <c r="Z160" s="470"/>
      <c r="AA160" s="464"/>
      <c r="AB160" s="459">
        <f t="shared" ref="AB160:AB176" si="895">AC160+AD160+AE160+AF160</f>
        <v>5681.1</v>
      </c>
      <c r="AC160" s="459"/>
      <c r="AD160" s="460">
        <v>1051.0999999999999</v>
      </c>
      <c r="AE160" s="461">
        <v>4630</v>
      </c>
      <c r="AF160" s="464"/>
      <c r="AG160" s="459">
        <f t="shared" ref="AG160:AG176" si="896">AH160+AI160+AJ160+AK160</f>
        <v>1051.0999999999999</v>
      </c>
      <c r="AH160" s="459"/>
      <c r="AI160" s="460">
        <v>1051.0999999999999</v>
      </c>
      <c r="AJ160" s="461"/>
      <c r="AK160" s="464"/>
      <c r="AL160" s="459">
        <f t="shared" ref="AL160:AL176" si="897">AM160+AN160+AO160+AP160</f>
        <v>453</v>
      </c>
      <c r="AM160" s="459"/>
      <c r="AN160" s="460">
        <v>453</v>
      </c>
      <c r="AO160" s="461"/>
      <c r="AP160" s="495"/>
      <c r="AQ160" s="384" t="s">
        <v>478</v>
      </c>
      <c r="AR160" s="459">
        <f t="shared" ref="AR160:AR176" si="898">AS160+AT160+AU160+AV160</f>
        <v>1554.2</v>
      </c>
      <c r="AS160" s="459"/>
      <c r="AT160" s="462">
        <f>923+631.2</f>
        <v>1554.2</v>
      </c>
      <c r="AU160" s="470"/>
      <c r="AV160" s="459"/>
      <c r="AW160" s="459" t="e">
        <f t="shared" ref="AW160:AW176" si="899">AX160+AY160+AZ160+BA160</f>
        <v>#REF!</v>
      </c>
      <c r="AX160" s="459" t="e">
        <f>#REF!-AS160</f>
        <v>#REF!</v>
      </c>
      <c r="AY160" s="459" t="e">
        <f>#REF!-AT160</f>
        <v>#REF!</v>
      </c>
      <c r="AZ160" s="459" t="e">
        <f>#REF!-AU160</f>
        <v>#REF!</v>
      </c>
      <c r="BA160" s="459" t="e">
        <f>#REF!-AV160</f>
        <v>#REF!</v>
      </c>
      <c r="BB160" s="459">
        <f t="shared" ref="BB160:BB176" si="900">BC160+BD160+BE160+BF160</f>
        <v>5681.1</v>
      </c>
      <c r="BC160" s="459"/>
      <c r="BD160" s="460">
        <f>330+721.1</f>
        <v>1051.0999999999999</v>
      </c>
      <c r="BE160" s="461">
        <v>4630</v>
      </c>
      <c r="BF160" s="459"/>
      <c r="BG160" s="459">
        <f t="shared" ref="BG160:BG176" si="901">BH160+BI160+BJ160+BK160</f>
        <v>0</v>
      </c>
      <c r="BH160" s="459"/>
      <c r="BI160" s="460"/>
      <c r="BJ160" s="461"/>
      <c r="BK160" s="459"/>
      <c r="BL160" s="459">
        <f t="shared" ref="BL160:BL176" si="902">BM160+BN160+BO160+BP160</f>
        <v>1554.2</v>
      </c>
      <c r="BM160" s="459"/>
      <c r="BN160" s="462">
        <f>923+631.2</f>
        <v>1554.2</v>
      </c>
      <c r="BO160" s="461"/>
      <c r="BP160" s="459"/>
      <c r="BQ160" s="459">
        <f t="shared" ref="BQ160:BQ176" si="903">BR160+BS160+BT160+BU160</f>
        <v>1554.2</v>
      </c>
      <c r="BR160" s="459"/>
      <c r="BS160" s="462">
        <f>923+631.2</f>
        <v>1554.2</v>
      </c>
      <c r="BT160" s="461"/>
      <c r="BU160" s="459"/>
      <c r="BV160" s="459">
        <f t="shared" si="847"/>
        <v>843.19</v>
      </c>
      <c r="BW160" s="459"/>
      <c r="BX160" s="459">
        <v>843.19</v>
      </c>
      <c r="BY160" s="459"/>
      <c r="BZ160" s="459"/>
      <c r="CA160" s="464">
        <f t="shared" ref="CA160:CA176" si="904">CB160</f>
        <v>2397.3900000000003</v>
      </c>
      <c r="CB160" s="459">
        <f t="shared" ref="CB160:CB176" si="905">CC160+CD160+CE160+CF160</f>
        <v>2397.3900000000003</v>
      </c>
      <c r="CC160" s="459">
        <f t="shared" ref="CC160:CF176" si="906">BR160+BW160</f>
        <v>0</v>
      </c>
      <c r="CD160" s="459">
        <f t="shared" si="906"/>
        <v>2397.3900000000003</v>
      </c>
      <c r="CE160" s="459">
        <f t="shared" si="906"/>
        <v>0</v>
      </c>
      <c r="CF160" s="459">
        <f t="shared" si="906"/>
        <v>0</v>
      </c>
      <c r="CG160" s="459">
        <f t="shared" ref="CG160:CG176" si="907">CH160+CI160+CJ160+CK160</f>
        <v>0</v>
      </c>
      <c r="CH160" s="459">
        <f t="shared" ref="CH160:CK176" si="908">BM160-BR160</f>
        <v>0</v>
      </c>
      <c r="CI160" s="459">
        <f t="shared" si="908"/>
        <v>0</v>
      </c>
      <c r="CJ160" s="459">
        <f t="shared" si="908"/>
        <v>0</v>
      </c>
      <c r="CK160" s="459">
        <f t="shared" si="908"/>
        <v>0</v>
      </c>
      <c r="CL160" s="465"/>
      <c r="CM160" s="466">
        <f>BB160</f>
        <v>5681.1</v>
      </c>
      <c r="CN160" s="466">
        <f>CM160</f>
        <v>5681.1</v>
      </c>
      <c r="CO160" s="459">
        <f t="shared" ref="CO160:CO176" si="909">CP160+CQ160+CR160+CS160</f>
        <v>0</v>
      </c>
      <c r="CP160" s="459"/>
      <c r="CQ160" s="460"/>
      <c r="CR160" s="461"/>
      <c r="CS160" s="459"/>
      <c r="CT160" s="459">
        <f t="shared" ref="CT160:CT176" si="910">CU160+CV160+CW160+CX160</f>
        <v>0</v>
      </c>
      <c r="CU160" s="459"/>
      <c r="CV160" s="460"/>
      <c r="CW160" s="461"/>
      <c r="CX160" s="459"/>
      <c r="CY160" s="459">
        <f t="shared" ref="CY160:CY176" si="911">CZ160+DA160+DB160+DC160</f>
        <v>0</v>
      </c>
      <c r="CZ160" s="459">
        <f t="shared" ref="CZ160:DC176" si="912">CP160-CU160</f>
        <v>0</v>
      </c>
      <c r="DA160" s="459">
        <f t="shared" si="912"/>
        <v>0</v>
      </c>
      <c r="DB160" s="459">
        <f t="shared" si="912"/>
        <v>0</v>
      </c>
      <c r="DC160" s="459">
        <f t="shared" si="912"/>
        <v>0</v>
      </c>
      <c r="DD160" s="459"/>
      <c r="DE160" s="459"/>
      <c r="DF160" s="459"/>
      <c r="DG160" s="459">
        <f t="shared" ref="DG160:DG176" si="913">CG160+CY160+DF160</f>
        <v>0</v>
      </c>
      <c r="DH160" s="467"/>
      <c r="DI160" s="459">
        <f t="shared" ref="DI160:DI176" si="914">BL160+CO160+DD160</f>
        <v>1554.2</v>
      </c>
      <c r="DJ160" s="459">
        <f t="shared" ref="DJ160:DJ176" si="915">BQ160+CT160+DE160</f>
        <v>1554.2</v>
      </c>
      <c r="DK160" s="467"/>
      <c r="DL160" s="459">
        <f t="shared" ref="DL160:DL161" si="916">DJ160</f>
        <v>1554.2</v>
      </c>
      <c r="DM160" s="459">
        <f t="shared" ref="DM160:DM161" si="917">DG160</f>
        <v>0</v>
      </c>
      <c r="DN160" s="467"/>
      <c r="DO160" s="459">
        <f>CN160-DL160</f>
        <v>4126.9000000000005</v>
      </c>
      <c r="DP160" s="467"/>
      <c r="DQ160" s="467"/>
      <c r="DR160" s="459">
        <f t="shared" si="733"/>
        <v>1554.2</v>
      </c>
      <c r="DS160" s="459"/>
      <c r="DT160" s="460">
        <v>1554.2</v>
      </c>
      <c r="DU160" s="461"/>
      <c r="DV160" s="459"/>
      <c r="DW160" s="459">
        <f t="shared" si="734"/>
        <v>843.19</v>
      </c>
      <c r="DX160" s="459"/>
      <c r="DY160" s="459">
        <v>843.19</v>
      </c>
      <c r="DZ160" s="459"/>
      <c r="EA160" s="146"/>
      <c r="EB160" s="279"/>
      <c r="EC160" s="279"/>
      <c r="ED160" s="279"/>
      <c r="EE160" s="366"/>
      <c r="EF160" s="366"/>
      <c r="EG160" s="279"/>
      <c r="EH160" s="279"/>
      <c r="EI160" s="279"/>
      <c r="EJ160" s="366"/>
      <c r="EK160" s="366"/>
      <c r="EL160" s="366">
        <v>2.9700000000000001E-2</v>
      </c>
      <c r="EM160" s="280"/>
      <c r="EN160" s="279"/>
      <c r="EO160" s="265" t="e">
        <f t="shared" ref="EO160:EO176" si="918">EM160/EJ160</f>
        <v>#DIV/0!</v>
      </c>
      <c r="EP160" s="323">
        <f t="shared" si="736"/>
        <v>2397.3900000000003</v>
      </c>
      <c r="EQ160" s="323">
        <f t="shared" si="796"/>
        <v>1554.2</v>
      </c>
      <c r="ER160" s="323">
        <v>843.19</v>
      </c>
      <c r="ES160" s="358">
        <f t="shared" ref="ES160:ES175" si="919">EQ160/EP160</f>
        <v>0.64828834691059856</v>
      </c>
      <c r="ET160" s="358">
        <f t="shared" ref="ET160:ET175" si="920">ER160/EP160</f>
        <v>0.35171165308940139</v>
      </c>
      <c r="EU160" s="323">
        <f t="shared" si="737"/>
        <v>2397.3900000000003</v>
      </c>
      <c r="EV160" s="323">
        <f t="shared" ref="EV160:EV175" si="921">DT160</f>
        <v>1554.2</v>
      </c>
      <c r="EW160" s="323">
        <f t="shared" ref="EW160:EW175" si="922">DY160</f>
        <v>843.19</v>
      </c>
      <c r="EX160" s="358">
        <f t="shared" ref="EX160:EX175" si="923">EV160/EU160</f>
        <v>0.64828834691059856</v>
      </c>
      <c r="EY160" s="358">
        <f t="shared" ref="EY160:EY175" si="924">EW160/EU160</f>
        <v>0.35171165308940139</v>
      </c>
      <c r="EZ160" s="358">
        <v>0.1</v>
      </c>
      <c r="FA160" s="323">
        <f t="shared" ref="FA160:FA175" si="925">EU160*ES160</f>
        <v>1554.2</v>
      </c>
      <c r="FB160" s="323">
        <f t="shared" si="738"/>
        <v>0</v>
      </c>
      <c r="FC160" s="279">
        <f t="shared" ref="FC160" si="926">FD160+FE160</f>
        <v>0</v>
      </c>
      <c r="FD160" s="279">
        <f t="shared" si="759"/>
        <v>0</v>
      </c>
      <c r="FE160" s="279"/>
      <c r="FF160" s="366" t="e">
        <f t="shared" ref="FF160" si="927">FD160/FC160</f>
        <v>#DIV/0!</v>
      </c>
      <c r="FG160" s="366" t="e">
        <f t="shared" ref="FG160" si="928">FE160/FC160</f>
        <v>#DIV/0!</v>
      </c>
      <c r="FH160" s="279">
        <f t="shared" si="761"/>
        <v>0</v>
      </c>
      <c r="FI160" s="279">
        <f t="shared" si="820"/>
        <v>0</v>
      </c>
      <c r="FJ160" s="279">
        <f t="shared" si="821"/>
        <v>0</v>
      </c>
      <c r="FK160" s="366" t="e">
        <f t="shared" ref="FK160" si="929">FI160/FH160</f>
        <v>#DIV/0!</v>
      </c>
      <c r="FL160" s="366" t="e">
        <f t="shared" ref="FL160" si="930">FJ160/FH160</f>
        <v>#DIV/0!</v>
      </c>
      <c r="FM160" s="366">
        <v>0.1</v>
      </c>
      <c r="FN160" s="280" t="e">
        <f t="shared" si="581"/>
        <v>#DIV/0!</v>
      </c>
      <c r="FO160" s="279" t="e">
        <f t="shared" si="762"/>
        <v>#DIV/0!</v>
      </c>
    </row>
    <row r="161" spans="2:171" s="40" customFormat="1" ht="15.75" customHeight="1" x14ac:dyDescent="0.25">
      <c r="B161" s="32"/>
      <c r="C161" s="33"/>
      <c r="D161" s="33"/>
      <c r="E161" s="434"/>
      <c r="F161" s="32"/>
      <c r="G161" s="33"/>
      <c r="H161" s="33"/>
      <c r="M161" s="434"/>
      <c r="N161" s="19" t="s">
        <v>251</v>
      </c>
      <c r="O161" s="133"/>
      <c r="P161" s="2">
        <f t="shared" si="735"/>
        <v>0</v>
      </c>
      <c r="Q161" s="133"/>
      <c r="R161" s="133"/>
      <c r="S161" s="133"/>
      <c r="T161" s="133"/>
      <c r="U161" s="133"/>
      <c r="V161" s="133"/>
      <c r="W161" s="459">
        <f t="shared" si="894"/>
        <v>0</v>
      </c>
      <c r="X161" s="459"/>
      <c r="Y161" s="468"/>
      <c r="Z161" s="459"/>
      <c r="AA161" s="464"/>
      <c r="AB161" s="459">
        <f t="shared" si="895"/>
        <v>0</v>
      </c>
      <c r="AC161" s="459"/>
      <c r="AD161" s="468"/>
      <c r="AE161" s="459"/>
      <c r="AF161" s="464"/>
      <c r="AG161" s="459">
        <f t="shared" si="896"/>
        <v>0</v>
      </c>
      <c r="AH161" s="459"/>
      <c r="AI161" s="468"/>
      <c r="AJ161" s="459"/>
      <c r="AK161" s="464"/>
      <c r="AL161" s="459">
        <f t="shared" si="897"/>
        <v>0</v>
      </c>
      <c r="AM161" s="459"/>
      <c r="AN161" s="468"/>
      <c r="AO161" s="459"/>
      <c r="AP161" s="495"/>
      <c r="AQ161" s="384"/>
      <c r="AR161" s="459">
        <f t="shared" si="898"/>
        <v>0</v>
      </c>
      <c r="AS161" s="459"/>
      <c r="AT161" s="493"/>
      <c r="AU161" s="459"/>
      <c r="AV161" s="459"/>
      <c r="AW161" s="459" t="e">
        <f t="shared" si="899"/>
        <v>#REF!</v>
      </c>
      <c r="AX161" s="459" t="e">
        <f>#REF!-AS161</f>
        <v>#REF!</v>
      </c>
      <c r="AY161" s="459" t="e">
        <f>#REF!-AT161</f>
        <v>#REF!</v>
      </c>
      <c r="AZ161" s="459" t="e">
        <f>#REF!-AU161</f>
        <v>#REF!</v>
      </c>
      <c r="BA161" s="459" t="e">
        <f>#REF!-AV161</f>
        <v>#REF!</v>
      </c>
      <c r="BB161" s="459">
        <f t="shared" si="900"/>
        <v>0</v>
      </c>
      <c r="BC161" s="459"/>
      <c r="BD161" s="468"/>
      <c r="BE161" s="459"/>
      <c r="BF161" s="459"/>
      <c r="BG161" s="459">
        <f t="shared" si="901"/>
        <v>0</v>
      </c>
      <c r="BH161" s="459"/>
      <c r="BI161" s="468"/>
      <c r="BJ161" s="459"/>
      <c r="BK161" s="459"/>
      <c r="BL161" s="459">
        <f t="shared" si="902"/>
        <v>0</v>
      </c>
      <c r="BM161" s="459"/>
      <c r="BN161" s="494"/>
      <c r="BO161" s="459"/>
      <c r="BP161" s="459"/>
      <c r="BQ161" s="459">
        <f t="shared" si="903"/>
        <v>0</v>
      </c>
      <c r="BR161" s="459"/>
      <c r="BS161" s="494"/>
      <c r="BT161" s="459"/>
      <c r="BU161" s="459"/>
      <c r="BV161" s="459">
        <f t="shared" si="847"/>
        <v>0</v>
      </c>
      <c r="BW161" s="459"/>
      <c r="BX161" s="459"/>
      <c r="BY161" s="459"/>
      <c r="BZ161" s="459"/>
      <c r="CA161" s="464">
        <f t="shared" si="904"/>
        <v>0</v>
      </c>
      <c r="CB161" s="459">
        <f t="shared" si="905"/>
        <v>0</v>
      </c>
      <c r="CC161" s="459">
        <f t="shared" si="906"/>
        <v>0</v>
      </c>
      <c r="CD161" s="459">
        <f t="shared" si="906"/>
        <v>0</v>
      </c>
      <c r="CE161" s="459">
        <f t="shared" si="906"/>
        <v>0</v>
      </c>
      <c r="CF161" s="459">
        <f t="shared" si="906"/>
        <v>0</v>
      </c>
      <c r="CG161" s="459">
        <f t="shared" si="907"/>
        <v>0</v>
      </c>
      <c r="CH161" s="459">
        <f t="shared" si="908"/>
        <v>0</v>
      </c>
      <c r="CI161" s="459">
        <f t="shared" si="908"/>
        <v>0</v>
      </c>
      <c r="CJ161" s="459">
        <f t="shared" si="908"/>
        <v>0</v>
      </c>
      <c r="CK161" s="459">
        <f t="shared" si="908"/>
        <v>0</v>
      </c>
      <c r="CL161" s="465"/>
      <c r="CM161" s="466"/>
      <c r="CN161" s="466"/>
      <c r="CO161" s="459">
        <f t="shared" si="909"/>
        <v>0</v>
      </c>
      <c r="CP161" s="459"/>
      <c r="CQ161" s="468"/>
      <c r="CR161" s="459"/>
      <c r="CS161" s="459"/>
      <c r="CT161" s="459">
        <f t="shared" si="910"/>
        <v>0</v>
      </c>
      <c r="CU161" s="459"/>
      <c r="CV161" s="468"/>
      <c r="CW161" s="459"/>
      <c r="CX161" s="459"/>
      <c r="CY161" s="459">
        <f t="shared" si="911"/>
        <v>0</v>
      </c>
      <c r="CZ161" s="459">
        <f t="shared" si="912"/>
        <v>0</v>
      </c>
      <c r="DA161" s="459">
        <f t="shared" si="912"/>
        <v>0</v>
      </c>
      <c r="DB161" s="459">
        <f t="shared" si="912"/>
        <v>0</v>
      </c>
      <c r="DC161" s="459">
        <f t="shared" si="912"/>
        <v>0</v>
      </c>
      <c r="DD161" s="459"/>
      <c r="DE161" s="459"/>
      <c r="DF161" s="459"/>
      <c r="DG161" s="459">
        <f t="shared" si="913"/>
        <v>0</v>
      </c>
      <c r="DH161" s="467"/>
      <c r="DI161" s="459">
        <f t="shared" si="914"/>
        <v>0</v>
      </c>
      <c r="DJ161" s="459">
        <f t="shared" si="915"/>
        <v>0</v>
      </c>
      <c r="DK161" s="467"/>
      <c r="DL161" s="459">
        <f t="shared" si="916"/>
        <v>0</v>
      </c>
      <c r="DM161" s="459">
        <f t="shared" si="917"/>
        <v>0</v>
      </c>
      <c r="DN161" s="467"/>
      <c r="DO161" s="459"/>
      <c r="DP161" s="467"/>
      <c r="DQ161" s="467"/>
      <c r="DR161" s="459">
        <f t="shared" si="733"/>
        <v>0</v>
      </c>
      <c r="DS161" s="459"/>
      <c r="DT161" s="494"/>
      <c r="DU161" s="459"/>
      <c r="DV161" s="459"/>
      <c r="DW161" s="459">
        <f t="shared" si="734"/>
        <v>0</v>
      </c>
      <c r="DX161" s="459"/>
      <c r="DY161" s="459"/>
      <c r="DZ161" s="459"/>
      <c r="EA161" s="146"/>
      <c r="EB161" s="279"/>
      <c r="EC161" s="279"/>
      <c r="ED161" s="279"/>
      <c r="EE161" s="366"/>
      <c r="EF161" s="366"/>
      <c r="EG161" s="279"/>
      <c r="EH161" s="279"/>
      <c r="EI161" s="279"/>
      <c r="EJ161" s="366"/>
      <c r="EK161" s="366"/>
      <c r="EL161" s="366"/>
      <c r="EM161" s="280"/>
      <c r="EN161" s="279"/>
      <c r="EO161" s="265" t="e">
        <f t="shared" si="918"/>
        <v>#DIV/0!</v>
      </c>
      <c r="EP161" s="323"/>
      <c r="EQ161" s="323"/>
      <c r="ER161" s="323"/>
      <c r="ES161" s="358"/>
      <c r="ET161" s="358"/>
      <c r="EU161" s="323"/>
      <c r="EV161" s="323"/>
      <c r="EW161" s="323"/>
      <c r="EX161" s="358"/>
      <c r="EY161" s="358"/>
      <c r="EZ161" s="358"/>
      <c r="FA161" s="323"/>
      <c r="FB161" s="323">
        <f t="shared" si="738"/>
        <v>0</v>
      </c>
      <c r="FC161" s="279"/>
      <c r="FD161" s="279"/>
      <c r="FE161" s="279"/>
      <c r="FF161" s="366"/>
      <c r="FG161" s="366"/>
      <c r="FH161" s="279"/>
      <c r="FI161" s="279"/>
      <c r="FJ161" s="279"/>
      <c r="FK161" s="366"/>
      <c r="FL161" s="366"/>
      <c r="FM161" s="366"/>
      <c r="FN161" s="280"/>
      <c r="FO161" s="279"/>
    </row>
    <row r="162" spans="2:171" s="40" customFormat="1" ht="15.75" customHeight="1" x14ac:dyDescent="0.25">
      <c r="B162" s="32"/>
      <c r="C162" s="33"/>
      <c r="D162" s="33">
        <v>1</v>
      </c>
      <c r="E162" s="434">
        <v>134</v>
      </c>
      <c r="F162" s="32"/>
      <c r="G162" s="33"/>
      <c r="H162" s="33">
        <v>1</v>
      </c>
      <c r="I162" s="434"/>
      <c r="J162" s="435"/>
      <c r="K162" s="435"/>
      <c r="L162" s="53"/>
      <c r="M162" s="434">
        <v>131</v>
      </c>
      <c r="N162" s="435" t="s">
        <v>333</v>
      </c>
      <c r="O162" s="435"/>
      <c r="P162" s="68">
        <f t="shared" si="735"/>
        <v>9620.6759999999995</v>
      </c>
      <c r="Q162" s="435" t="s">
        <v>501</v>
      </c>
      <c r="R162" s="435" t="s">
        <v>488</v>
      </c>
      <c r="S162" s="435" t="s">
        <v>490</v>
      </c>
      <c r="T162" s="435" t="s">
        <v>488</v>
      </c>
      <c r="U162" s="161">
        <v>2</v>
      </c>
      <c r="V162" s="434">
        <v>3</v>
      </c>
      <c r="W162" s="459">
        <f t="shared" si="894"/>
        <v>44610.203000000001</v>
      </c>
      <c r="X162" s="459">
        <f>45878.74-2293.937</f>
        <v>43584.803</v>
      </c>
      <c r="Y162" s="460">
        <v>1025.4000000000001</v>
      </c>
      <c r="Z162" s="459"/>
      <c r="AA162" s="461"/>
      <c r="AB162" s="459">
        <f t="shared" si="895"/>
        <v>1035</v>
      </c>
      <c r="AC162" s="459"/>
      <c r="AD162" s="460">
        <v>1035</v>
      </c>
      <c r="AE162" s="459"/>
      <c r="AF162" s="461"/>
      <c r="AG162" s="459">
        <f t="shared" si="896"/>
        <v>1035</v>
      </c>
      <c r="AH162" s="459"/>
      <c r="AI162" s="460">
        <v>1035</v>
      </c>
      <c r="AJ162" s="459"/>
      <c r="AK162" s="461"/>
      <c r="AL162" s="459">
        <f t="shared" si="897"/>
        <v>450</v>
      </c>
      <c r="AM162" s="459"/>
      <c r="AN162" s="460">
        <v>450</v>
      </c>
      <c r="AO162" s="459"/>
      <c r="AP162" s="496"/>
      <c r="AQ162" s="384" t="s">
        <v>567</v>
      </c>
      <c r="AR162" s="459">
        <f t="shared" si="898"/>
        <v>44610.203000000001</v>
      </c>
      <c r="AS162" s="459">
        <f>45878.74-2293.937</f>
        <v>43584.803</v>
      </c>
      <c r="AT162" s="462">
        <v>1025.4000000000001</v>
      </c>
      <c r="AU162" s="459"/>
      <c r="AV162" s="461"/>
      <c r="AW162" s="459" t="e">
        <f t="shared" si="899"/>
        <v>#REF!</v>
      </c>
      <c r="AX162" s="459" t="e">
        <f>#REF!-AS162</f>
        <v>#REF!</v>
      </c>
      <c r="AY162" s="459" t="e">
        <f>#REF!-AT162</f>
        <v>#REF!</v>
      </c>
      <c r="AZ162" s="459" t="e">
        <f>#REF!-AU162</f>
        <v>#REF!</v>
      </c>
      <c r="BA162" s="459" t="e">
        <f>#REF!-AV162</f>
        <v>#REF!</v>
      </c>
      <c r="BB162" s="459">
        <f t="shared" si="900"/>
        <v>1035</v>
      </c>
      <c r="BC162" s="459"/>
      <c r="BD162" s="460">
        <v>1035</v>
      </c>
      <c r="BE162" s="459"/>
      <c r="BF162" s="461"/>
      <c r="BG162" s="459">
        <f t="shared" si="901"/>
        <v>0</v>
      </c>
      <c r="BH162" s="459"/>
      <c r="BI162" s="460"/>
      <c r="BJ162" s="459"/>
      <c r="BK162" s="461"/>
      <c r="BL162" s="459">
        <f t="shared" si="902"/>
        <v>44610.203000000001</v>
      </c>
      <c r="BM162" s="459">
        <f>2051.2221+1854.91742+11427.69756+18630.28992+9620.676</f>
        <v>43584.803</v>
      </c>
      <c r="BN162" s="460">
        <v>1025.4000000000001</v>
      </c>
      <c r="BO162" s="459"/>
      <c r="BP162" s="470"/>
      <c r="BQ162" s="459">
        <f t="shared" si="903"/>
        <v>34989.527000000002</v>
      </c>
      <c r="BR162" s="459">
        <f>2051.2221+1854.91742+18630.28992+11427.69756</f>
        <v>33964.127</v>
      </c>
      <c r="BS162" s="460">
        <v>1025.4000000000001</v>
      </c>
      <c r="BT162" s="459"/>
      <c r="BU162" s="470"/>
      <c r="BV162" s="459">
        <f t="shared" si="847"/>
        <v>3939.3895600000001</v>
      </c>
      <c r="BW162" s="459">
        <f>112.0579+107.19858+748.20744+1010.58048+406.56602+214.53814</f>
        <v>2599.1485600000001</v>
      </c>
      <c r="BX162" s="459">
        <v>1340.241</v>
      </c>
      <c r="BY162" s="459"/>
      <c r="BZ162" s="459"/>
      <c r="CA162" s="464">
        <f t="shared" si="904"/>
        <v>38928.916560000005</v>
      </c>
      <c r="CB162" s="459">
        <f t="shared" si="905"/>
        <v>38928.916560000005</v>
      </c>
      <c r="CC162" s="459">
        <f t="shared" si="906"/>
        <v>36563.275560000002</v>
      </c>
      <c r="CD162" s="459">
        <f t="shared" si="906"/>
        <v>2365.6410000000001</v>
      </c>
      <c r="CE162" s="459">
        <f t="shared" si="906"/>
        <v>0</v>
      </c>
      <c r="CF162" s="459">
        <f t="shared" si="906"/>
        <v>0</v>
      </c>
      <c r="CG162" s="459">
        <f t="shared" si="907"/>
        <v>9620.6759999999995</v>
      </c>
      <c r="CH162" s="459">
        <f t="shared" si="908"/>
        <v>9620.6759999999995</v>
      </c>
      <c r="CI162" s="459">
        <f t="shared" si="908"/>
        <v>0</v>
      </c>
      <c r="CJ162" s="459">
        <f t="shared" si="908"/>
        <v>0</v>
      </c>
      <c r="CK162" s="459">
        <f t="shared" si="908"/>
        <v>0</v>
      </c>
      <c r="CL162" s="465"/>
      <c r="CM162" s="466"/>
      <c r="CN162" s="569"/>
      <c r="CO162" s="459">
        <f t="shared" si="909"/>
        <v>0</v>
      </c>
      <c r="CP162" s="459"/>
      <c r="CQ162" s="460"/>
      <c r="CR162" s="459"/>
      <c r="CS162" s="461"/>
      <c r="CT162" s="459">
        <f t="shared" si="910"/>
        <v>0</v>
      </c>
      <c r="CU162" s="459"/>
      <c r="CV162" s="460"/>
      <c r="CW162" s="459"/>
      <c r="CX162" s="461"/>
      <c r="CY162" s="459">
        <f t="shared" si="911"/>
        <v>0</v>
      </c>
      <c r="CZ162" s="459">
        <f t="shared" si="912"/>
        <v>0</v>
      </c>
      <c r="DA162" s="459">
        <f t="shared" si="912"/>
        <v>0</v>
      </c>
      <c r="DB162" s="459">
        <f t="shared" si="912"/>
        <v>0</v>
      </c>
      <c r="DC162" s="459">
        <f t="shared" si="912"/>
        <v>0</v>
      </c>
      <c r="DD162" s="459"/>
      <c r="DE162" s="459"/>
      <c r="DF162" s="459"/>
      <c r="DG162" s="459">
        <f t="shared" si="913"/>
        <v>9620.6759999999995</v>
      </c>
      <c r="DH162" s="467"/>
      <c r="DI162" s="459">
        <f t="shared" si="914"/>
        <v>44610.203000000001</v>
      </c>
      <c r="DJ162" s="459">
        <f t="shared" si="915"/>
        <v>34989.527000000002</v>
      </c>
      <c r="DK162" s="467"/>
      <c r="DL162" s="459"/>
      <c r="DM162" s="459"/>
      <c r="DN162" s="467"/>
      <c r="DO162" s="459"/>
      <c r="DP162" s="467"/>
      <c r="DQ162" s="467"/>
      <c r="DR162" s="459">
        <f t="shared" si="733"/>
        <v>34989.527000000002</v>
      </c>
      <c r="DS162" s="459">
        <f>2051.2221+1854.91742+11427.69756+18630.28992</f>
        <v>33964.127</v>
      </c>
      <c r="DT162" s="460">
        <v>1025.4000000000001</v>
      </c>
      <c r="DU162" s="459"/>
      <c r="DV162" s="470"/>
      <c r="DW162" s="459">
        <f t="shared" si="734"/>
        <v>3939.3895600000001</v>
      </c>
      <c r="DX162" s="459">
        <v>2599.1485600000001</v>
      </c>
      <c r="DY162" s="459">
        <v>1340.241</v>
      </c>
      <c r="DZ162" s="459"/>
      <c r="EA162" s="146"/>
      <c r="EB162" s="279">
        <f t="shared" ref="EB162" si="931">EC162+ED162</f>
        <v>46920.186000000002</v>
      </c>
      <c r="EC162" s="279">
        <f t="shared" ref="EC162" si="932">AS162</f>
        <v>43584.803</v>
      </c>
      <c r="ED162" s="279">
        <v>3335.3829999999998</v>
      </c>
      <c r="EE162" s="366">
        <f t="shared" ref="EE162" si="933">EC162/EB162</f>
        <v>0.92891368759706106</v>
      </c>
      <c r="EF162" s="366">
        <f t="shared" ref="EF162" si="934">ED162/EB162</f>
        <v>7.1086312402938889E-2</v>
      </c>
      <c r="EG162" s="279">
        <f t="shared" ref="EG162" si="935">EH162+EI162</f>
        <v>36563.275560000002</v>
      </c>
      <c r="EH162" s="279">
        <f t="shared" ref="EH162" si="936">DS162</f>
        <v>33964.127</v>
      </c>
      <c r="EI162" s="279">
        <f t="shared" ref="EI162" si="937">DX162</f>
        <v>2599.1485600000001</v>
      </c>
      <c r="EJ162" s="366">
        <f t="shared" ref="EJ162" si="938">EH162/EG162</f>
        <v>0.92891368401239593</v>
      </c>
      <c r="EK162" s="366">
        <f t="shared" ref="EK162" si="939">EI162/EG162</f>
        <v>7.1086315987604037E-2</v>
      </c>
      <c r="EL162" s="366">
        <v>6.7299999999999999E-2</v>
      </c>
      <c r="EM162" s="280">
        <f>EG162*EE162</f>
        <v>33964.1271310671</v>
      </c>
      <c r="EN162" s="279">
        <f>EH162-EM162</f>
        <v>-1.3106709957355633E-4</v>
      </c>
      <c r="EO162" s="265">
        <f t="shared" si="918"/>
        <v>36563.275701097176</v>
      </c>
      <c r="EP162" s="323">
        <f t="shared" si="736"/>
        <v>2365.6410000000001</v>
      </c>
      <c r="EQ162" s="323">
        <f t="shared" si="796"/>
        <v>1025.4000000000001</v>
      </c>
      <c r="ER162" s="323">
        <v>1340.241</v>
      </c>
      <c r="ES162" s="358">
        <f t="shared" si="919"/>
        <v>0.4334554566817197</v>
      </c>
      <c r="ET162" s="358">
        <f t="shared" si="920"/>
        <v>0.5665445433182803</v>
      </c>
      <c r="EU162" s="323">
        <f t="shared" si="737"/>
        <v>2365.6410000000001</v>
      </c>
      <c r="EV162" s="323">
        <f t="shared" si="921"/>
        <v>1025.4000000000001</v>
      </c>
      <c r="EW162" s="323">
        <f t="shared" si="922"/>
        <v>1340.241</v>
      </c>
      <c r="EX162" s="358">
        <f t="shared" si="923"/>
        <v>0.4334554566817197</v>
      </c>
      <c r="EY162" s="358">
        <f t="shared" si="924"/>
        <v>0.5665445433182803</v>
      </c>
      <c r="EZ162" s="358">
        <v>0.22439999999999999</v>
      </c>
      <c r="FA162" s="323">
        <f t="shared" si="925"/>
        <v>1025.4000000000001</v>
      </c>
      <c r="FB162" s="430">
        <f t="shared" si="738"/>
        <v>0</v>
      </c>
      <c r="FC162" s="279"/>
      <c r="FD162" s="279"/>
      <c r="FE162" s="279"/>
      <c r="FF162" s="366"/>
      <c r="FG162" s="366"/>
      <c r="FH162" s="279"/>
      <c r="FI162" s="279"/>
      <c r="FJ162" s="279"/>
      <c r="FK162" s="366"/>
      <c r="FL162" s="366"/>
      <c r="FM162" s="366">
        <v>0.22439999999999999</v>
      </c>
      <c r="FN162" s="280"/>
      <c r="FO162" s="279"/>
    </row>
    <row r="163" spans="2:171" s="40" customFormat="1" ht="15.6" customHeight="1" x14ac:dyDescent="0.25">
      <c r="B163" s="32"/>
      <c r="C163" s="33">
        <v>1</v>
      </c>
      <c r="D163" s="33"/>
      <c r="E163" s="434">
        <v>135</v>
      </c>
      <c r="F163" s="32"/>
      <c r="G163" s="33"/>
      <c r="H163" s="33">
        <v>1</v>
      </c>
      <c r="I163" s="434"/>
      <c r="J163" s="435"/>
      <c r="K163" s="435"/>
      <c r="L163" s="53"/>
      <c r="M163" s="434">
        <v>132</v>
      </c>
      <c r="N163" s="435" t="s">
        <v>58</v>
      </c>
      <c r="O163" s="435" t="s">
        <v>346</v>
      </c>
      <c r="P163" s="24">
        <f t="shared" si="735"/>
        <v>0</v>
      </c>
      <c r="Q163" s="435"/>
      <c r="R163" s="435"/>
      <c r="S163" s="435"/>
      <c r="T163" s="435"/>
      <c r="U163" s="161">
        <v>1</v>
      </c>
      <c r="V163" s="434"/>
      <c r="W163" s="459">
        <f t="shared" si="894"/>
        <v>307</v>
      </c>
      <c r="X163" s="459"/>
      <c r="Y163" s="460">
        <v>307</v>
      </c>
      <c r="Z163" s="459"/>
      <c r="AA163" s="461"/>
      <c r="AB163" s="459">
        <f t="shared" si="895"/>
        <v>310.5</v>
      </c>
      <c r="AC163" s="459"/>
      <c r="AD163" s="460">
        <v>310.5</v>
      </c>
      <c r="AE163" s="459"/>
      <c r="AF163" s="461"/>
      <c r="AG163" s="459">
        <f t="shared" si="896"/>
        <v>310.5</v>
      </c>
      <c r="AH163" s="459"/>
      <c r="AI163" s="460">
        <v>310.5</v>
      </c>
      <c r="AJ163" s="459"/>
      <c r="AK163" s="461"/>
      <c r="AL163" s="459">
        <f t="shared" si="897"/>
        <v>135</v>
      </c>
      <c r="AM163" s="459"/>
      <c r="AN163" s="460">
        <v>135</v>
      </c>
      <c r="AO163" s="459"/>
      <c r="AP163" s="496"/>
      <c r="AQ163" s="384" t="s">
        <v>411</v>
      </c>
      <c r="AR163" s="459">
        <f t="shared" si="898"/>
        <v>307</v>
      </c>
      <c r="AS163" s="459"/>
      <c r="AT163" s="462">
        <v>307</v>
      </c>
      <c r="AU163" s="459"/>
      <c r="AV163" s="461"/>
      <c r="AW163" s="459" t="e">
        <f t="shared" si="899"/>
        <v>#REF!</v>
      </c>
      <c r="AX163" s="459" t="e">
        <f>#REF!-AS163</f>
        <v>#REF!</v>
      </c>
      <c r="AY163" s="459" t="e">
        <f>#REF!-AT163</f>
        <v>#REF!</v>
      </c>
      <c r="AZ163" s="459" t="e">
        <f>#REF!-AU163</f>
        <v>#REF!</v>
      </c>
      <c r="BA163" s="459" t="e">
        <f>#REF!-AV163</f>
        <v>#REF!</v>
      </c>
      <c r="BB163" s="459">
        <f t="shared" si="900"/>
        <v>310.5</v>
      </c>
      <c r="BC163" s="459"/>
      <c r="BD163" s="460">
        <v>310.5</v>
      </c>
      <c r="BE163" s="459"/>
      <c r="BF163" s="461"/>
      <c r="BG163" s="459">
        <f t="shared" si="901"/>
        <v>0</v>
      </c>
      <c r="BH163" s="459"/>
      <c r="BI163" s="461"/>
      <c r="BJ163" s="459"/>
      <c r="BK163" s="461"/>
      <c r="BL163" s="459">
        <f t="shared" si="902"/>
        <v>307</v>
      </c>
      <c r="BM163" s="459"/>
      <c r="BN163" s="462">
        <v>307</v>
      </c>
      <c r="BO163" s="459"/>
      <c r="BP163" s="470"/>
      <c r="BQ163" s="459">
        <f t="shared" si="903"/>
        <v>307</v>
      </c>
      <c r="BR163" s="459"/>
      <c r="BS163" s="462">
        <v>307</v>
      </c>
      <c r="BT163" s="459"/>
      <c r="BU163" s="470"/>
      <c r="BV163" s="459">
        <f t="shared" si="847"/>
        <v>301.74799999999999</v>
      </c>
      <c r="BW163" s="459"/>
      <c r="BX163" s="459">
        <v>301.74799999999999</v>
      </c>
      <c r="BY163" s="459"/>
      <c r="BZ163" s="459"/>
      <c r="CA163" s="464">
        <f t="shared" si="904"/>
        <v>608.74800000000005</v>
      </c>
      <c r="CB163" s="459">
        <f t="shared" si="905"/>
        <v>608.74800000000005</v>
      </c>
      <c r="CC163" s="459">
        <f t="shared" si="906"/>
        <v>0</v>
      </c>
      <c r="CD163" s="459">
        <f t="shared" si="906"/>
        <v>608.74800000000005</v>
      </c>
      <c r="CE163" s="459">
        <f t="shared" si="906"/>
        <v>0</v>
      </c>
      <c r="CF163" s="459">
        <f t="shared" si="906"/>
        <v>0</v>
      </c>
      <c r="CG163" s="459">
        <f t="shared" si="907"/>
        <v>0</v>
      </c>
      <c r="CH163" s="459">
        <f t="shared" si="908"/>
        <v>0</v>
      </c>
      <c r="CI163" s="459">
        <f t="shared" si="908"/>
        <v>0</v>
      </c>
      <c r="CJ163" s="459">
        <f t="shared" si="908"/>
        <v>0</v>
      </c>
      <c r="CK163" s="459">
        <f t="shared" si="908"/>
        <v>0</v>
      </c>
      <c r="CL163" s="465"/>
      <c r="CM163" s="559">
        <f>BB163+BB170</f>
        <v>1679.768</v>
      </c>
      <c r="CN163" s="559">
        <f>CM163</f>
        <v>1679.768</v>
      </c>
      <c r="CO163" s="459">
        <f t="shared" si="909"/>
        <v>0</v>
      </c>
      <c r="CP163" s="459"/>
      <c r="CQ163" s="461"/>
      <c r="CR163" s="459"/>
      <c r="CS163" s="461"/>
      <c r="CT163" s="459">
        <f t="shared" si="910"/>
        <v>0</v>
      </c>
      <c r="CU163" s="459"/>
      <c r="CV163" s="461"/>
      <c r="CW163" s="459"/>
      <c r="CX163" s="461"/>
      <c r="CY163" s="459">
        <f t="shared" si="911"/>
        <v>0</v>
      </c>
      <c r="CZ163" s="459">
        <f t="shared" si="912"/>
        <v>0</v>
      </c>
      <c r="DA163" s="459">
        <f t="shared" si="912"/>
        <v>0</v>
      </c>
      <c r="DB163" s="459">
        <f t="shared" si="912"/>
        <v>0</v>
      </c>
      <c r="DC163" s="459">
        <f t="shared" si="912"/>
        <v>0</v>
      </c>
      <c r="DD163" s="459"/>
      <c r="DE163" s="459"/>
      <c r="DF163" s="459"/>
      <c r="DG163" s="459">
        <f t="shared" si="913"/>
        <v>0</v>
      </c>
      <c r="DH163" s="467"/>
      <c r="DI163" s="459">
        <f t="shared" si="914"/>
        <v>307</v>
      </c>
      <c r="DJ163" s="459">
        <f t="shared" si="915"/>
        <v>307</v>
      </c>
      <c r="DK163" s="467"/>
      <c r="DL163" s="560">
        <f>DJ163+DJ170</f>
        <v>1377.4</v>
      </c>
      <c r="DM163" s="560">
        <f>DG163+DG170</f>
        <v>0</v>
      </c>
      <c r="DN163" s="467"/>
      <c r="DO163" s="459">
        <f>CN163-DL163</f>
        <v>302.36799999999994</v>
      </c>
      <c r="DP163" s="467"/>
      <c r="DQ163" s="467"/>
      <c r="DR163" s="459">
        <f t="shared" si="733"/>
        <v>307</v>
      </c>
      <c r="DS163" s="459"/>
      <c r="DT163" s="460">
        <v>307</v>
      </c>
      <c r="DU163" s="459"/>
      <c r="DV163" s="470"/>
      <c r="DW163" s="459">
        <f t="shared" si="734"/>
        <v>301.74799999999999</v>
      </c>
      <c r="DX163" s="459"/>
      <c r="DY163" s="459">
        <v>301.74799999999999</v>
      </c>
      <c r="DZ163" s="459"/>
      <c r="EA163" s="146"/>
      <c r="EB163" s="279"/>
      <c r="EC163" s="279"/>
      <c r="ED163" s="279"/>
      <c r="EE163" s="366"/>
      <c r="EF163" s="366"/>
      <c r="EG163" s="279"/>
      <c r="EH163" s="279"/>
      <c r="EI163" s="279"/>
      <c r="EJ163" s="366"/>
      <c r="EK163" s="366"/>
      <c r="EL163" s="366">
        <v>2.2800000000000001E-2</v>
      </c>
      <c r="EM163" s="280"/>
      <c r="EN163" s="279"/>
      <c r="EO163" s="265" t="e">
        <f t="shared" si="918"/>
        <v>#DIV/0!</v>
      </c>
      <c r="EP163" s="323">
        <f t="shared" si="736"/>
        <v>608.74800000000005</v>
      </c>
      <c r="EQ163" s="323">
        <f t="shared" si="796"/>
        <v>307</v>
      </c>
      <c r="ER163" s="323">
        <v>301.74799999999999</v>
      </c>
      <c r="ES163" s="358">
        <f t="shared" si="919"/>
        <v>0.50431377187276172</v>
      </c>
      <c r="ET163" s="358">
        <f t="shared" si="920"/>
        <v>0.49568622812723817</v>
      </c>
      <c r="EU163" s="323">
        <f t="shared" si="737"/>
        <v>608.74800000000005</v>
      </c>
      <c r="EV163" s="323">
        <f t="shared" si="921"/>
        <v>307</v>
      </c>
      <c r="EW163" s="323">
        <f t="shared" si="922"/>
        <v>301.74799999999999</v>
      </c>
      <c r="EX163" s="358">
        <f t="shared" si="923"/>
        <v>0.50431377187276172</v>
      </c>
      <c r="EY163" s="358">
        <f t="shared" si="924"/>
        <v>0.49568622812723817</v>
      </c>
      <c r="EZ163" s="358">
        <v>7.6100000000000001E-2</v>
      </c>
      <c r="FA163" s="323">
        <f t="shared" si="925"/>
        <v>307</v>
      </c>
      <c r="FB163" s="323">
        <f t="shared" si="738"/>
        <v>0</v>
      </c>
      <c r="FC163" s="279"/>
      <c r="FD163" s="279"/>
      <c r="FE163" s="279"/>
      <c r="FF163" s="366"/>
      <c r="FG163" s="366"/>
      <c r="FH163" s="279"/>
      <c r="FI163" s="279"/>
      <c r="FJ163" s="279"/>
      <c r="FK163" s="366"/>
      <c r="FL163" s="366"/>
      <c r="FM163" s="366">
        <v>7.6100000000000001E-2</v>
      </c>
      <c r="FN163" s="280"/>
      <c r="FO163" s="279"/>
    </row>
    <row r="164" spans="2:171" s="40" customFormat="1" ht="15.6" customHeight="1" x14ac:dyDescent="0.25">
      <c r="B164" s="32"/>
      <c r="C164" s="33"/>
      <c r="D164" s="33">
        <v>1</v>
      </c>
      <c r="E164" s="434">
        <v>136</v>
      </c>
      <c r="F164" s="32"/>
      <c r="G164" s="33"/>
      <c r="H164" s="33">
        <v>1</v>
      </c>
      <c r="M164" s="434">
        <v>133</v>
      </c>
      <c r="N164" s="435" t="s">
        <v>335</v>
      </c>
      <c r="O164" s="435"/>
      <c r="P164" s="24">
        <f t="shared" si="735"/>
        <v>0</v>
      </c>
      <c r="Q164" s="435" t="s">
        <v>491</v>
      </c>
      <c r="R164" s="435" t="s">
        <v>488</v>
      </c>
      <c r="S164" s="435" t="s">
        <v>490</v>
      </c>
      <c r="T164" s="435" t="s">
        <v>488</v>
      </c>
      <c r="U164" s="161">
        <v>1</v>
      </c>
      <c r="V164" s="434">
        <v>1</v>
      </c>
      <c r="W164" s="459">
        <f t="shared" si="894"/>
        <v>366.4</v>
      </c>
      <c r="X164" s="459"/>
      <c r="Y164" s="460">
        <v>366.4</v>
      </c>
      <c r="Z164" s="459"/>
      <c r="AA164" s="472"/>
      <c r="AB164" s="459">
        <f t="shared" si="895"/>
        <v>285.2</v>
      </c>
      <c r="AC164" s="459"/>
      <c r="AD164" s="460">
        <v>285.2</v>
      </c>
      <c r="AE164" s="459"/>
      <c r="AF164" s="472"/>
      <c r="AG164" s="459">
        <f t="shared" si="896"/>
        <v>285.2</v>
      </c>
      <c r="AH164" s="459"/>
      <c r="AI164" s="460">
        <v>285.2</v>
      </c>
      <c r="AJ164" s="459"/>
      <c r="AK164" s="472"/>
      <c r="AL164" s="459">
        <f t="shared" si="897"/>
        <v>124</v>
      </c>
      <c r="AM164" s="459"/>
      <c r="AN164" s="460">
        <v>124</v>
      </c>
      <c r="AO164" s="459"/>
      <c r="AP164" s="467"/>
      <c r="AQ164" s="384" t="s">
        <v>547</v>
      </c>
      <c r="AR164" s="459">
        <f t="shared" si="898"/>
        <v>366.4</v>
      </c>
      <c r="AS164" s="459"/>
      <c r="AT164" s="462">
        <v>366.4</v>
      </c>
      <c r="AU164" s="459"/>
      <c r="AV164" s="459"/>
      <c r="AW164" s="459" t="e">
        <f t="shared" si="899"/>
        <v>#REF!</v>
      </c>
      <c r="AX164" s="459" t="e">
        <f>#REF!-AS164</f>
        <v>#REF!</v>
      </c>
      <c r="AY164" s="459" t="e">
        <f>#REF!-AT164</f>
        <v>#REF!</v>
      </c>
      <c r="AZ164" s="459" t="e">
        <f>#REF!-AU164</f>
        <v>#REF!</v>
      </c>
      <c r="BA164" s="459" t="e">
        <f>#REF!-AV164</f>
        <v>#REF!</v>
      </c>
      <c r="BB164" s="459">
        <f t="shared" si="900"/>
        <v>285.2</v>
      </c>
      <c r="BC164" s="459"/>
      <c r="BD164" s="460">
        <v>285.2</v>
      </c>
      <c r="BE164" s="459"/>
      <c r="BF164" s="459"/>
      <c r="BG164" s="459">
        <f t="shared" si="901"/>
        <v>0</v>
      </c>
      <c r="BH164" s="459"/>
      <c r="BI164" s="460"/>
      <c r="BJ164" s="459"/>
      <c r="BK164" s="459"/>
      <c r="BL164" s="459">
        <f t="shared" si="902"/>
        <v>366.4</v>
      </c>
      <c r="BM164" s="459"/>
      <c r="BN164" s="462">
        <v>366.4</v>
      </c>
      <c r="BO164" s="459"/>
      <c r="BP164" s="459"/>
      <c r="BQ164" s="459">
        <f t="shared" si="903"/>
        <v>366.4</v>
      </c>
      <c r="BR164" s="459"/>
      <c r="BS164" s="462">
        <v>366.4</v>
      </c>
      <c r="BT164" s="459"/>
      <c r="BU164" s="459"/>
      <c r="BV164" s="459">
        <f t="shared" si="847"/>
        <v>507.37202000000002</v>
      </c>
      <c r="BW164" s="459"/>
      <c r="BX164" s="459">
        <v>507.37202000000002</v>
      </c>
      <c r="BY164" s="459"/>
      <c r="BZ164" s="459"/>
      <c r="CA164" s="464">
        <f t="shared" si="904"/>
        <v>873.77202</v>
      </c>
      <c r="CB164" s="459">
        <f t="shared" si="905"/>
        <v>873.77202</v>
      </c>
      <c r="CC164" s="459">
        <f t="shared" si="906"/>
        <v>0</v>
      </c>
      <c r="CD164" s="459">
        <f t="shared" si="906"/>
        <v>873.77202</v>
      </c>
      <c r="CE164" s="459">
        <f t="shared" si="906"/>
        <v>0</v>
      </c>
      <c r="CF164" s="459">
        <f t="shared" si="906"/>
        <v>0</v>
      </c>
      <c r="CG164" s="459">
        <f t="shared" si="907"/>
        <v>0</v>
      </c>
      <c r="CH164" s="459">
        <f t="shared" si="908"/>
        <v>0</v>
      </c>
      <c r="CI164" s="459">
        <f t="shared" si="908"/>
        <v>0</v>
      </c>
      <c r="CJ164" s="459">
        <f t="shared" si="908"/>
        <v>0</v>
      </c>
      <c r="CK164" s="459">
        <f t="shared" si="908"/>
        <v>0</v>
      </c>
      <c r="CL164" s="465"/>
      <c r="CM164" s="466">
        <f>BB159-CM160-CM163</f>
        <v>14329.072000000006</v>
      </c>
      <c r="CN164" s="466">
        <f>CM164+CO173-BG174</f>
        <v>14329.072000000006</v>
      </c>
      <c r="CO164" s="459">
        <f t="shared" si="909"/>
        <v>0</v>
      </c>
      <c r="CP164" s="459"/>
      <c r="CQ164" s="460"/>
      <c r="CR164" s="459"/>
      <c r="CS164" s="459"/>
      <c r="CT164" s="459">
        <f t="shared" si="910"/>
        <v>0</v>
      </c>
      <c r="CU164" s="459"/>
      <c r="CV164" s="460"/>
      <c r="CW164" s="459"/>
      <c r="CX164" s="459"/>
      <c r="CY164" s="459">
        <f t="shared" si="911"/>
        <v>0</v>
      </c>
      <c r="CZ164" s="459">
        <f t="shared" si="912"/>
        <v>0</v>
      </c>
      <c r="DA164" s="459">
        <f t="shared" si="912"/>
        <v>0</v>
      </c>
      <c r="DB164" s="459">
        <f t="shared" si="912"/>
        <v>0</v>
      </c>
      <c r="DC164" s="459">
        <f t="shared" si="912"/>
        <v>0</v>
      </c>
      <c r="DD164" s="459"/>
      <c r="DE164" s="459"/>
      <c r="DF164" s="459"/>
      <c r="DG164" s="459">
        <f t="shared" si="913"/>
        <v>0</v>
      </c>
      <c r="DH164" s="467"/>
      <c r="DI164" s="459">
        <f t="shared" si="914"/>
        <v>366.4</v>
      </c>
      <c r="DJ164" s="459">
        <f t="shared" si="915"/>
        <v>366.4</v>
      </c>
      <c r="DK164" s="467"/>
      <c r="DL164" s="459">
        <f>DJ162+DJ164+DJ165+DJ166+DJ167+DJ168+DJ169+DJ171+DJ172+DJ173+DJ174+DJ175+DJ176</f>
        <v>49121.428650000009</v>
      </c>
      <c r="DM164" s="459">
        <f>DG162+DG164+DG165+DG166+DG167+DG168+DG169+DG171+DG172+DG173+DG174+DG175+DG176</f>
        <v>9620.6759999999995</v>
      </c>
      <c r="DN164" s="467"/>
      <c r="DO164" s="459">
        <f>CN164-DL164</f>
        <v>-34792.356650000002</v>
      </c>
      <c r="DP164" s="467"/>
      <c r="DQ164" s="467"/>
      <c r="DR164" s="459">
        <f t="shared" si="733"/>
        <v>366.4</v>
      </c>
      <c r="DS164" s="459"/>
      <c r="DT164" s="462">
        <v>366.4</v>
      </c>
      <c r="DU164" s="459"/>
      <c r="DV164" s="459"/>
      <c r="DW164" s="459">
        <f t="shared" si="734"/>
        <v>507.37202000000002</v>
      </c>
      <c r="DX164" s="459"/>
      <c r="DY164" s="459">
        <v>507.37202000000002</v>
      </c>
      <c r="DZ164" s="459"/>
      <c r="EA164" s="146"/>
      <c r="EB164" s="279"/>
      <c r="EC164" s="279"/>
      <c r="ED164" s="279"/>
      <c r="EE164" s="366"/>
      <c r="EF164" s="366"/>
      <c r="EG164" s="279"/>
      <c r="EH164" s="279"/>
      <c r="EI164" s="279"/>
      <c r="EJ164" s="366"/>
      <c r="EK164" s="366"/>
      <c r="EL164" s="366">
        <v>0.1721</v>
      </c>
      <c r="EM164" s="280"/>
      <c r="EN164" s="279"/>
      <c r="EO164" s="265" t="e">
        <f t="shared" si="918"/>
        <v>#DIV/0!</v>
      </c>
      <c r="EP164" s="323">
        <f t="shared" si="736"/>
        <v>873.77202</v>
      </c>
      <c r="EQ164" s="323">
        <f t="shared" si="796"/>
        <v>366.4</v>
      </c>
      <c r="ER164" s="323">
        <v>507.37202000000002</v>
      </c>
      <c r="ES164" s="358">
        <f t="shared" si="919"/>
        <v>0.41933134915443959</v>
      </c>
      <c r="ET164" s="358">
        <f t="shared" si="920"/>
        <v>0.58066865084556041</v>
      </c>
      <c r="EU164" s="323">
        <f t="shared" si="737"/>
        <v>873.77202</v>
      </c>
      <c r="EV164" s="323">
        <f t="shared" si="921"/>
        <v>366.4</v>
      </c>
      <c r="EW164" s="323">
        <f t="shared" si="922"/>
        <v>507.37202000000002</v>
      </c>
      <c r="EX164" s="358">
        <f t="shared" si="923"/>
        <v>0.41933134915443959</v>
      </c>
      <c r="EY164" s="358">
        <f t="shared" si="924"/>
        <v>0.58066865084556041</v>
      </c>
      <c r="EZ164" s="358">
        <v>0.5736</v>
      </c>
      <c r="FA164" s="323">
        <f t="shared" si="925"/>
        <v>366.4</v>
      </c>
      <c r="FB164" s="323">
        <f t="shared" si="738"/>
        <v>0</v>
      </c>
      <c r="FC164" s="279"/>
      <c r="FD164" s="279"/>
      <c r="FE164" s="279"/>
      <c r="FF164" s="366"/>
      <c r="FG164" s="366"/>
      <c r="FH164" s="279"/>
      <c r="FI164" s="279"/>
      <c r="FJ164" s="279"/>
      <c r="FK164" s="366"/>
      <c r="FL164" s="366"/>
      <c r="FM164" s="366">
        <v>0.5736</v>
      </c>
      <c r="FN164" s="280"/>
      <c r="FO164" s="279"/>
    </row>
    <row r="165" spans="2:171" s="40" customFormat="1" ht="15.6" customHeight="1" x14ac:dyDescent="0.25">
      <c r="B165" s="32"/>
      <c r="C165" s="33"/>
      <c r="D165" s="33">
        <v>1</v>
      </c>
      <c r="E165" s="434">
        <v>137</v>
      </c>
      <c r="F165" s="32"/>
      <c r="G165" s="33"/>
      <c r="H165" s="33">
        <v>1</v>
      </c>
      <c r="I165" s="434"/>
      <c r="J165" s="435"/>
      <c r="K165" s="435"/>
      <c r="L165" s="53"/>
      <c r="M165" s="434">
        <v>134</v>
      </c>
      <c r="N165" s="435" t="s">
        <v>118</v>
      </c>
      <c r="O165" s="435"/>
      <c r="P165" s="24">
        <f t="shared" si="735"/>
        <v>0</v>
      </c>
      <c r="Q165" s="435"/>
      <c r="R165" s="435"/>
      <c r="S165" s="435"/>
      <c r="T165" s="435"/>
      <c r="U165" s="161">
        <v>1</v>
      </c>
      <c r="V165" s="434"/>
      <c r="W165" s="459">
        <f t="shared" si="894"/>
        <v>689.7</v>
      </c>
      <c r="X165" s="459"/>
      <c r="Y165" s="460">
        <v>689.7</v>
      </c>
      <c r="Z165" s="459"/>
      <c r="AA165" s="461"/>
      <c r="AB165" s="459">
        <f t="shared" si="895"/>
        <v>696.9</v>
      </c>
      <c r="AC165" s="459"/>
      <c r="AD165" s="460">
        <v>696.9</v>
      </c>
      <c r="AE165" s="459"/>
      <c r="AF165" s="461"/>
      <c r="AG165" s="459">
        <f t="shared" si="896"/>
        <v>696.9</v>
      </c>
      <c r="AH165" s="459"/>
      <c r="AI165" s="460">
        <v>696.9</v>
      </c>
      <c r="AJ165" s="459"/>
      <c r="AK165" s="461"/>
      <c r="AL165" s="459">
        <f t="shared" si="897"/>
        <v>303</v>
      </c>
      <c r="AM165" s="459"/>
      <c r="AN165" s="460">
        <v>303</v>
      </c>
      <c r="AO165" s="459"/>
      <c r="AP165" s="496"/>
      <c r="AQ165" s="384" t="s">
        <v>374</v>
      </c>
      <c r="AR165" s="459">
        <f t="shared" si="898"/>
        <v>689.7</v>
      </c>
      <c r="AS165" s="459"/>
      <c r="AT165" s="462">
        <v>689.7</v>
      </c>
      <c r="AU165" s="459"/>
      <c r="AV165" s="461"/>
      <c r="AW165" s="459" t="e">
        <f t="shared" si="899"/>
        <v>#REF!</v>
      </c>
      <c r="AX165" s="459" t="e">
        <f>#REF!-AS165</f>
        <v>#REF!</v>
      </c>
      <c r="AY165" s="459" t="e">
        <f>#REF!-AT165</f>
        <v>#REF!</v>
      </c>
      <c r="AZ165" s="459" t="e">
        <f>#REF!-AU165</f>
        <v>#REF!</v>
      </c>
      <c r="BA165" s="459" t="e">
        <f>#REF!-AV165</f>
        <v>#REF!</v>
      </c>
      <c r="BB165" s="459">
        <f t="shared" si="900"/>
        <v>696.9</v>
      </c>
      <c r="BC165" s="459"/>
      <c r="BD165" s="460">
        <f>303+393.9</f>
        <v>696.9</v>
      </c>
      <c r="BE165" s="459"/>
      <c r="BF165" s="461"/>
      <c r="BG165" s="459">
        <f t="shared" si="901"/>
        <v>0</v>
      </c>
      <c r="BH165" s="459"/>
      <c r="BI165" s="460"/>
      <c r="BJ165" s="459"/>
      <c r="BK165" s="461"/>
      <c r="BL165" s="459">
        <f t="shared" si="902"/>
        <v>689.7</v>
      </c>
      <c r="BM165" s="459"/>
      <c r="BN165" s="462">
        <v>689.7</v>
      </c>
      <c r="BO165" s="459"/>
      <c r="BP165" s="470"/>
      <c r="BQ165" s="459">
        <f t="shared" si="903"/>
        <v>689.7</v>
      </c>
      <c r="BR165" s="459"/>
      <c r="BS165" s="462">
        <v>689.7</v>
      </c>
      <c r="BT165" s="459"/>
      <c r="BU165" s="470"/>
      <c r="BV165" s="459">
        <f t="shared" si="847"/>
        <v>169.20599999999999</v>
      </c>
      <c r="BW165" s="459"/>
      <c r="BX165" s="459">
        <v>169.20599999999999</v>
      </c>
      <c r="BY165" s="459"/>
      <c r="BZ165" s="459"/>
      <c r="CA165" s="464">
        <f t="shared" si="904"/>
        <v>858.90600000000006</v>
      </c>
      <c r="CB165" s="459">
        <f t="shared" si="905"/>
        <v>858.90600000000006</v>
      </c>
      <c r="CC165" s="459">
        <f t="shared" si="906"/>
        <v>0</v>
      </c>
      <c r="CD165" s="459">
        <f t="shared" si="906"/>
        <v>858.90600000000006</v>
      </c>
      <c r="CE165" s="459">
        <f t="shared" si="906"/>
        <v>0</v>
      </c>
      <c r="CF165" s="459">
        <f t="shared" si="906"/>
        <v>0</v>
      </c>
      <c r="CG165" s="459">
        <f t="shared" si="907"/>
        <v>0</v>
      </c>
      <c r="CH165" s="459">
        <f t="shared" si="908"/>
        <v>0</v>
      </c>
      <c r="CI165" s="459">
        <f t="shared" si="908"/>
        <v>0</v>
      </c>
      <c r="CJ165" s="459">
        <f t="shared" si="908"/>
        <v>0</v>
      </c>
      <c r="CK165" s="459">
        <f t="shared" si="908"/>
        <v>0</v>
      </c>
      <c r="CL165" s="465"/>
      <c r="CM165" s="466"/>
      <c r="CN165" s="466"/>
      <c r="CO165" s="459">
        <f t="shared" si="909"/>
        <v>0</v>
      </c>
      <c r="CP165" s="459"/>
      <c r="CQ165" s="460"/>
      <c r="CR165" s="459"/>
      <c r="CS165" s="461"/>
      <c r="CT165" s="459">
        <f t="shared" si="910"/>
        <v>0</v>
      </c>
      <c r="CU165" s="459"/>
      <c r="CV165" s="460"/>
      <c r="CW165" s="459"/>
      <c r="CX165" s="461"/>
      <c r="CY165" s="459">
        <f t="shared" si="911"/>
        <v>0</v>
      </c>
      <c r="CZ165" s="459">
        <f t="shared" si="912"/>
        <v>0</v>
      </c>
      <c r="DA165" s="459">
        <f t="shared" si="912"/>
        <v>0</v>
      </c>
      <c r="DB165" s="459">
        <f t="shared" si="912"/>
        <v>0</v>
      </c>
      <c r="DC165" s="459">
        <f t="shared" si="912"/>
        <v>0</v>
      </c>
      <c r="DD165" s="459"/>
      <c r="DE165" s="459"/>
      <c r="DF165" s="459"/>
      <c r="DG165" s="459">
        <f t="shared" si="913"/>
        <v>0</v>
      </c>
      <c r="DH165" s="467"/>
      <c r="DI165" s="459">
        <f t="shared" si="914"/>
        <v>689.7</v>
      </c>
      <c r="DJ165" s="459">
        <f t="shared" si="915"/>
        <v>689.7</v>
      </c>
      <c r="DK165" s="467"/>
      <c r="DL165" s="459"/>
      <c r="DM165" s="459"/>
      <c r="DN165" s="467"/>
      <c r="DO165" s="459"/>
      <c r="DP165" s="467"/>
      <c r="DQ165" s="467"/>
      <c r="DR165" s="459">
        <f t="shared" si="733"/>
        <v>689.7</v>
      </c>
      <c r="DS165" s="459"/>
      <c r="DT165" s="470">
        <v>689.7</v>
      </c>
      <c r="DU165" s="459"/>
      <c r="DV165" s="470"/>
      <c r="DW165" s="459">
        <f t="shared" si="734"/>
        <v>169.20599999999999</v>
      </c>
      <c r="DX165" s="459"/>
      <c r="DY165" s="459">
        <v>169.20599999999999</v>
      </c>
      <c r="DZ165" s="459"/>
      <c r="EA165" s="146"/>
      <c r="EB165" s="279"/>
      <c r="EC165" s="279"/>
      <c r="ED165" s="279"/>
      <c r="EE165" s="366"/>
      <c r="EF165" s="366"/>
      <c r="EG165" s="279"/>
      <c r="EH165" s="279"/>
      <c r="EI165" s="279"/>
      <c r="EJ165" s="366"/>
      <c r="EK165" s="366"/>
      <c r="EL165" s="366">
        <v>2.9399999999999999E-2</v>
      </c>
      <c r="EM165" s="280"/>
      <c r="EN165" s="279"/>
      <c r="EO165" s="265" t="e">
        <f t="shared" si="918"/>
        <v>#DIV/0!</v>
      </c>
      <c r="EP165" s="323">
        <f t="shared" si="736"/>
        <v>858.90600000000006</v>
      </c>
      <c r="EQ165" s="323">
        <f t="shared" si="796"/>
        <v>689.7</v>
      </c>
      <c r="ER165" s="323">
        <v>169.20599999999999</v>
      </c>
      <c r="ES165" s="358">
        <f t="shared" si="919"/>
        <v>0.80299823263546888</v>
      </c>
      <c r="ET165" s="358">
        <f t="shared" si="920"/>
        <v>0.19700176736453112</v>
      </c>
      <c r="EU165" s="323">
        <f t="shared" si="737"/>
        <v>858.90600000000006</v>
      </c>
      <c r="EV165" s="323">
        <f t="shared" si="921"/>
        <v>689.7</v>
      </c>
      <c r="EW165" s="323">
        <f t="shared" si="922"/>
        <v>169.20599999999999</v>
      </c>
      <c r="EX165" s="358">
        <f t="shared" si="923"/>
        <v>0.80299823263546888</v>
      </c>
      <c r="EY165" s="358">
        <f t="shared" si="924"/>
        <v>0.19700176736453112</v>
      </c>
      <c r="EZ165" s="358">
        <v>9.7900000000000001E-2</v>
      </c>
      <c r="FA165" s="323">
        <f t="shared" si="925"/>
        <v>689.7</v>
      </c>
      <c r="FB165" s="323">
        <f t="shared" si="738"/>
        <v>0</v>
      </c>
      <c r="FC165" s="279"/>
      <c r="FD165" s="279"/>
      <c r="FE165" s="279"/>
      <c r="FF165" s="366"/>
      <c r="FG165" s="366"/>
      <c r="FH165" s="279"/>
      <c r="FI165" s="279"/>
      <c r="FJ165" s="279"/>
      <c r="FK165" s="366"/>
      <c r="FL165" s="366"/>
      <c r="FM165" s="366">
        <v>9.7900000000000001E-2</v>
      </c>
      <c r="FN165" s="280"/>
      <c r="FO165" s="279"/>
    </row>
    <row r="166" spans="2:171" s="40" customFormat="1" ht="15.75" customHeight="1" x14ac:dyDescent="0.25">
      <c r="B166" s="32"/>
      <c r="C166" s="33"/>
      <c r="D166" s="33">
        <v>1</v>
      </c>
      <c r="E166" s="434">
        <v>138</v>
      </c>
      <c r="F166" s="32"/>
      <c r="G166" s="33"/>
      <c r="H166" s="33">
        <v>1</v>
      </c>
      <c r="I166" s="434"/>
      <c r="J166" s="435"/>
      <c r="K166" s="435"/>
      <c r="L166" s="53"/>
      <c r="M166" s="434">
        <v>135</v>
      </c>
      <c r="N166" s="435" t="s">
        <v>119</v>
      </c>
      <c r="O166" s="435"/>
      <c r="P166" s="24">
        <f t="shared" si="735"/>
        <v>0</v>
      </c>
      <c r="Q166" s="435" t="s">
        <v>490</v>
      </c>
      <c r="R166" s="435" t="s">
        <v>488</v>
      </c>
      <c r="S166" s="435"/>
      <c r="T166" s="435"/>
      <c r="U166" s="161">
        <v>1</v>
      </c>
      <c r="V166" s="434">
        <v>1</v>
      </c>
      <c r="W166" s="459">
        <f t="shared" si="894"/>
        <v>341.8</v>
      </c>
      <c r="X166" s="459"/>
      <c r="Y166" s="460">
        <v>341.8</v>
      </c>
      <c r="Z166" s="459"/>
      <c r="AA166" s="461"/>
      <c r="AB166" s="459">
        <f t="shared" si="895"/>
        <v>345</v>
      </c>
      <c r="AC166" s="459"/>
      <c r="AD166" s="460">
        <v>345</v>
      </c>
      <c r="AE166" s="459"/>
      <c r="AF166" s="461"/>
      <c r="AG166" s="459">
        <f t="shared" si="896"/>
        <v>345</v>
      </c>
      <c r="AH166" s="459"/>
      <c r="AI166" s="460">
        <v>345</v>
      </c>
      <c r="AJ166" s="459"/>
      <c r="AK166" s="461"/>
      <c r="AL166" s="459">
        <f t="shared" si="897"/>
        <v>150</v>
      </c>
      <c r="AM166" s="459"/>
      <c r="AN166" s="460">
        <v>150</v>
      </c>
      <c r="AO166" s="459"/>
      <c r="AP166" s="496"/>
      <c r="AQ166" s="384" t="s">
        <v>528</v>
      </c>
      <c r="AR166" s="459">
        <f t="shared" si="898"/>
        <v>340.09100000000001</v>
      </c>
      <c r="AS166" s="459"/>
      <c r="AT166" s="462">
        <f>341.8-1.709</f>
        <v>340.09100000000001</v>
      </c>
      <c r="AU166" s="459"/>
      <c r="AV166" s="461"/>
      <c r="AW166" s="459" t="e">
        <f t="shared" si="899"/>
        <v>#REF!</v>
      </c>
      <c r="AX166" s="459" t="e">
        <f>#REF!-AS166</f>
        <v>#REF!</v>
      </c>
      <c r="AY166" s="459" t="e">
        <f>#REF!-AT166</f>
        <v>#REF!</v>
      </c>
      <c r="AZ166" s="459" t="e">
        <f>#REF!-AU166</f>
        <v>#REF!</v>
      </c>
      <c r="BA166" s="459" t="e">
        <f>#REF!-AV166</f>
        <v>#REF!</v>
      </c>
      <c r="BB166" s="459">
        <f t="shared" si="900"/>
        <v>345</v>
      </c>
      <c r="BC166" s="459"/>
      <c r="BD166" s="460">
        <v>345</v>
      </c>
      <c r="BE166" s="459"/>
      <c r="BF166" s="461"/>
      <c r="BG166" s="459">
        <f t="shared" si="901"/>
        <v>0</v>
      </c>
      <c r="BH166" s="459"/>
      <c r="BI166" s="461"/>
      <c r="BJ166" s="459"/>
      <c r="BK166" s="461"/>
      <c r="BL166" s="459">
        <f t="shared" si="902"/>
        <v>340.09100000000001</v>
      </c>
      <c r="BM166" s="459"/>
      <c r="BN166" s="460">
        <v>340.09100000000001</v>
      </c>
      <c r="BO166" s="459"/>
      <c r="BP166" s="470"/>
      <c r="BQ166" s="459">
        <f t="shared" si="903"/>
        <v>340.09100000000001</v>
      </c>
      <c r="BR166" s="459"/>
      <c r="BS166" s="460">
        <v>340.09100000000001</v>
      </c>
      <c r="BT166" s="459"/>
      <c r="BU166" s="470"/>
      <c r="BV166" s="459">
        <f t="shared" si="847"/>
        <v>57.908999999999999</v>
      </c>
      <c r="BW166" s="459"/>
      <c r="BX166" s="459">
        <v>57.908999999999999</v>
      </c>
      <c r="BY166" s="459"/>
      <c r="BZ166" s="459"/>
      <c r="CA166" s="464">
        <f t="shared" si="904"/>
        <v>398</v>
      </c>
      <c r="CB166" s="459">
        <f t="shared" si="905"/>
        <v>398</v>
      </c>
      <c r="CC166" s="459">
        <f t="shared" si="906"/>
        <v>0</v>
      </c>
      <c r="CD166" s="459">
        <f t="shared" si="906"/>
        <v>398</v>
      </c>
      <c r="CE166" s="459">
        <f t="shared" si="906"/>
        <v>0</v>
      </c>
      <c r="CF166" s="459">
        <f t="shared" si="906"/>
        <v>0</v>
      </c>
      <c r="CG166" s="459">
        <f t="shared" si="907"/>
        <v>0</v>
      </c>
      <c r="CH166" s="459">
        <f t="shared" si="908"/>
        <v>0</v>
      </c>
      <c r="CI166" s="459">
        <f t="shared" si="908"/>
        <v>0</v>
      </c>
      <c r="CJ166" s="459">
        <f t="shared" si="908"/>
        <v>0</v>
      </c>
      <c r="CK166" s="459">
        <f t="shared" si="908"/>
        <v>0</v>
      </c>
      <c r="CL166" s="465"/>
      <c r="CM166" s="466"/>
      <c r="CN166" s="466"/>
      <c r="CO166" s="459">
        <f t="shared" si="909"/>
        <v>0</v>
      </c>
      <c r="CP166" s="459"/>
      <c r="CQ166" s="461"/>
      <c r="CR166" s="459"/>
      <c r="CS166" s="461"/>
      <c r="CT166" s="459">
        <f t="shared" si="910"/>
        <v>0</v>
      </c>
      <c r="CU166" s="459"/>
      <c r="CV166" s="461"/>
      <c r="CW166" s="459"/>
      <c r="CX166" s="461"/>
      <c r="CY166" s="459">
        <f t="shared" si="911"/>
        <v>0</v>
      </c>
      <c r="CZ166" s="459">
        <f t="shared" si="912"/>
        <v>0</v>
      </c>
      <c r="DA166" s="459">
        <f t="shared" si="912"/>
        <v>0</v>
      </c>
      <c r="DB166" s="459">
        <f t="shared" si="912"/>
        <v>0</v>
      </c>
      <c r="DC166" s="459">
        <f t="shared" si="912"/>
        <v>0</v>
      </c>
      <c r="DD166" s="459"/>
      <c r="DE166" s="459"/>
      <c r="DF166" s="459"/>
      <c r="DG166" s="459">
        <f t="shared" si="913"/>
        <v>0</v>
      </c>
      <c r="DH166" s="467"/>
      <c r="DI166" s="459">
        <f t="shared" si="914"/>
        <v>340.09100000000001</v>
      </c>
      <c r="DJ166" s="459">
        <f t="shared" si="915"/>
        <v>340.09100000000001</v>
      </c>
      <c r="DK166" s="467"/>
      <c r="DL166" s="459"/>
      <c r="DM166" s="459"/>
      <c r="DN166" s="467"/>
      <c r="DO166" s="459"/>
      <c r="DP166" s="467"/>
      <c r="DQ166" s="467"/>
      <c r="DR166" s="459">
        <f t="shared" si="733"/>
        <v>340.09100000000001</v>
      </c>
      <c r="DS166" s="459"/>
      <c r="DT166" s="460">
        <v>340.09100000000001</v>
      </c>
      <c r="DU166" s="459"/>
      <c r="DV166" s="470"/>
      <c r="DW166" s="459">
        <f t="shared" si="734"/>
        <v>57.908999999999999</v>
      </c>
      <c r="DX166" s="459"/>
      <c r="DY166" s="459">
        <v>57.908999999999999</v>
      </c>
      <c r="DZ166" s="459"/>
      <c r="EA166" s="146"/>
      <c r="EB166" s="279"/>
      <c r="EC166" s="279"/>
      <c r="ED166" s="279"/>
      <c r="EE166" s="366"/>
      <c r="EF166" s="366"/>
      <c r="EG166" s="279"/>
      <c r="EH166" s="279"/>
      <c r="EI166" s="279"/>
      <c r="EJ166" s="366"/>
      <c r="EK166" s="366"/>
      <c r="EL166" s="366">
        <v>2.81E-2</v>
      </c>
      <c r="EM166" s="280"/>
      <c r="EN166" s="279"/>
      <c r="EO166" s="265" t="e">
        <f t="shared" si="918"/>
        <v>#DIV/0!</v>
      </c>
      <c r="EP166" s="323">
        <f t="shared" si="736"/>
        <v>398</v>
      </c>
      <c r="EQ166" s="323">
        <f t="shared" si="796"/>
        <v>340.09100000000001</v>
      </c>
      <c r="ER166" s="323">
        <v>57.908999999999999</v>
      </c>
      <c r="ES166" s="358">
        <f t="shared" si="919"/>
        <v>0.85450000000000004</v>
      </c>
      <c r="ET166" s="358">
        <f t="shared" si="920"/>
        <v>0.14549999999999999</v>
      </c>
      <c r="EU166" s="323">
        <f t="shared" si="737"/>
        <v>398</v>
      </c>
      <c r="EV166" s="323">
        <f t="shared" si="921"/>
        <v>340.09100000000001</v>
      </c>
      <c r="EW166" s="323">
        <f t="shared" si="922"/>
        <v>57.908999999999999</v>
      </c>
      <c r="EX166" s="358">
        <f t="shared" si="923"/>
        <v>0.85450000000000004</v>
      </c>
      <c r="EY166" s="358">
        <f t="shared" si="924"/>
        <v>0.14549999999999999</v>
      </c>
      <c r="EZ166" s="358">
        <v>9.3600000000000003E-2</v>
      </c>
      <c r="FA166" s="323">
        <f t="shared" si="925"/>
        <v>340.09100000000001</v>
      </c>
      <c r="FB166" s="323">
        <f t="shared" si="738"/>
        <v>0</v>
      </c>
      <c r="FC166" s="279"/>
      <c r="FD166" s="279"/>
      <c r="FE166" s="279"/>
      <c r="FF166" s="366"/>
      <c r="FG166" s="366"/>
      <c r="FH166" s="279"/>
      <c r="FI166" s="279"/>
      <c r="FJ166" s="279"/>
      <c r="FK166" s="366"/>
      <c r="FL166" s="366"/>
      <c r="FM166" s="366">
        <v>9.3600000000000003E-2</v>
      </c>
      <c r="FN166" s="280"/>
      <c r="FO166" s="279"/>
    </row>
    <row r="167" spans="2:171" s="40" customFormat="1" ht="15.75" customHeight="1" x14ac:dyDescent="0.25">
      <c r="B167" s="32"/>
      <c r="C167" s="33"/>
      <c r="D167" s="33">
        <v>1</v>
      </c>
      <c r="E167" s="434">
        <v>139</v>
      </c>
      <c r="F167" s="32"/>
      <c r="G167" s="33"/>
      <c r="H167" s="33"/>
      <c r="M167" s="434">
        <v>136</v>
      </c>
      <c r="N167" s="435" t="s">
        <v>120</v>
      </c>
      <c r="O167" s="435"/>
      <c r="P167" s="24">
        <f t="shared" si="735"/>
        <v>0</v>
      </c>
      <c r="Q167" s="435"/>
      <c r="R167" s="435"/>
      <c r="S167" s="435"/>
      <c r="T167" s="435"/>
      <c r="U167" s="161"/>
      <c r="V167" s="434"/>
      <c r="W167" s="459">
        <f t="shared" si="894"/>
        <v>0</v>
      </c>
      <c r="X167" s="459"/>
      <c r="Y167" s="460">
        <f>685.6-685.6</f>
        <v>0</v>
      </c>
      <c r="Z167" s="459"/>
      <c r="AA167" s="472"/>
      <c r="AB167" s="459">
        <f t="shared" si="895"/>
        <v>692.3</v>
      </c>
      <c r="AC167" s="459"/>
      <c r="AD167" s="460">
        <v>692.3</v>
      </c>
      <c r="AE167" s="459"/>
      <c r="AF167" s="472"/>
      <c r="AG167" s="459">
        <f t="shared" si="896"/>
        <v>692.3</v>
      </c>
      <c r="AH167" s="459"/>
      <c r="AI167" s="460">
        <v>692.3</v>
      </c>
      <c r="AJ167" s="459"/>
      <c r="AK167" s="472"/>
      <c r="AL167" s="459">
        <f t="shared" si="897"/>
        <v>301</v>
      </c>
      <c r="AM167" s="459"/>
      <c r="AN167" s="460">
        <v>301</v>
      </c>
      <c r="AO167" s="459"/>
      <c r="AP167" s="467"/>
      <c r="AQ167" s="384"/>
      <c r="AR167" s="459">
        <f t="shared" si="898"/>
        <v>0</v>
      </c>
      <c r="AS167" s="459"/>
      <c r="AT167" s="462"/>
      <c r="AU167" s="459"/>
      <c r="AV167" s="459"/>
      <c r="AW167" s="459" t="e">
        <f t="shared" si="899"/>
        <v>#REF!</v>
      </c>
      <c r="AX167" s="459" t="e">
        <f>#REF!-AS167</f>
        <v>#REF!</v>
      </c>
      <c r="AY167" s="459" t="e">
        <f>#REF!-AT167</f>
        <v>#REF!</v>
      </c>
      <c r="AZ167" s="459" t="e">
        <f>#REF!-AU167</f>
        <v>#REF!</v>
      </c>
      <c r="BA167" s="459" t="e">
        <f>#REF!-AV167</f>
        <v>#REF!</v>
      </c>
      <c r="BB167" s="459">
        <f t="shared" si="900"/>
        <v>562.99199999999996</v>
      </c>
      <c r="BC167" s="459"/>
      <c r="BD167" s="459">
        <v>562.99199999999996</v>
      </c>
      <c r="BE167" s="459"/>
      <c r="BF167" s="459"/>
      <c r="BG167" s="459">
        <f t="shared" si="901"/>
        <v>0</v>
      </c>
      <c r="BH167" s="459"/>
      <c r="BI167" s="459"/>
      <c r="BJ167" s="459"/>
      <c r="BK167" s="459"/>
      <c r="BL167" s="459">
        <f t="shared" si="902"/>
        <v>0</v>
      </c>
      <c r="BM167" s="459"/>
      <c r="BN167" s="460"/>
      <c r="BO167" s="459"/>
      <c r="BP167" s="459"/>
      <c r="BQ167" s="459">
        <f t="shared" si="903"/>
        <v>0</v>
      </c>
      <c r="BR167" s="459"/>
      <c r="BS167" s="460"/>
      <c r="BT167" s="459"/>
      <c r="BU167" s="459"/>
      <c r="BV167" s="459">
        <f t="shared" si="847"/>
        <v>0</v>
      </c>
      <c r="BW167" s="459"/>
      <c r="BX167" s="459"/>
      <c r="BY167" s="459"/>
      <c r="BZ167" s="459"/>
      <c r="CA167" s="464">
        <f t="shared" si="904"/>
        <v>0</v>
      </c>
      <c r="CB167" s="459">
        <f t="shared" si="905"/>
        <v>0</v>
      </c>
      <c r="CC167" s="459">
        <f t="shared" si="906"/>
        <v>0</v>
      </c>
      <c r="CD167" s="459">
        <f t="shared" si="906"/>
        <v>0</v>
      </c>
      <c r="CE167" s="459">
        <f t="shared" si="906"/>
        <v>0</v>
      </c>
      <c r="CF167" s="459">
        <f t="shared" si="906"/>
        <v>0</v>
      </c>
      <c r="CG167" s="459">
        <f t="shared" si="907"/>
        <v>0</v>
      </c>
      <c r="CH167" s="459">
        <f t="shared" si="908"/>
        <v>0</v>
      </c>
      <c r="CI167" s="459">
        <f t="shared" si="908"/>
        <v>0</v>
      </c>
      <c r="CJ167" s="459">
        <f t="shared" si="908"/>
        <v>0</v>
      </c>
      <c r="CK167" s="459">
        <f t="shared" si="908"/>
        <v>0</v>
      </c>
      <c r="CL167" s="465"/>
      <c r="CM167" s="466"/>
      <c r="CN167" s="466"/>
      <c r="CO167" s="459">
        <f t="shared" si="909"/>
        <v>0</v>
      </c>
      <c r="CP167" s="459"/>
      <c r="CQ167" s="459"/>
      <c r="CR167" s="459"/>
      <c r="CS167" s="459"/>
      <c r="CT167" s="459">
        <f t="shared" si="910"/>
        <v>0</v>
      </c>
      <c r="CU167" s="459"/>
      <c r="CV167" s="459"/>
      <c r="CW167" s="459"/>
      <c r="CX167" s="459"/>
      <c r="CY167" s="459">
        <f t="shared" si="911"/>
        <v>0</v>
      </c>
      <c r="CZ167" s="459">
        <f t="shared" si="912"/>
        <v>0</v>
      </c>
      <c r="DA167" s="459">
        <f t="shared" si="912"/>
        <v>0</v>
      </c>
      <c r="DB167" s="459">
        <f t="shared" si="912"/>
        <v>0</v>
      </c>
      <c r="DC167" s="459">
        <f t="shared" si="912"/>
        <v>0</v>
      </c>
      <c r="DD167" s="459"/>
      <c r="DE167" s="459"/>
      <c r="DF167" s="459"/>
      <c r="DG167" s="459">
        <f t="shared" si="913"/>
        <v>0</v>
      </c>
      <c r="DH167" s="467"/>
      <c r="DI167" s="459">
        <f t="shared" si="914"/>
        <v>0</v>
      </c>
      <c r="DJ167" s="459">
        <f t="shared" si="915"/>
        <v>0</v>
      </c>
      <c r="DK167" s="467"/>
      <c r="DL167" s="459"/>
      <c r="DM167" s="459"/>
      <c r="DN167" s="467"/>
      <c r="DO167" s="459"/>
      <c r="DP167" s="467"/>
      <c r="DQ167" s="467"/>
      <c r="DR167" s="459">
        <f t="shared" si="733"/>
        <v>0</v>
      </c>
      <c r="DS167" s="459"/>
      <c r="DT167" s="460"/>
      <c r="DU167" s="459"/>
      <c r="DV167" s="459"/>
      <c r="DW167" s="459">
        <f t="shared" si="734"/>
        <v>0</v>
      </c>
      <c r="DX167" s="459"/>
      <c r="DY167" s="459"/>
      <c r="DZ167" s="459"/>
      <c r="EA167" s="146"/>
      <c r="EB167" s="279"/>
      <c r="EC167" s="279"/>
      <c r="ED167" s="279"/>
      <c r="EE167" s="366"/>
      <c r="EF167" s="366"/>
      <c r="EG167" s="279"/>
      <c r="EH167" s="279"/>
      <c r="EI167" s="279"/>
      <c r="EJ167" s="366"/>
      <c r="EK167" s="366"/>
      <c r="EL167" s="366">
        <v>2.6200000000000001E-2</v>
      </c>
      <c r="EM167" s="280"/>
      <c r="EN167" s="279"/>
      <c r="EO167" s="265" t="e">
        <f t="shared" si="918"/>
        <v>#DIV/0!</v>
      </c>
      <c r="EP167" s="323">
        <f t="shared" si="736"/>
        <v>0</v>
      </c>
      <c r="EQ167" s="323">
        <f t="shared" si="796"/>
        <v>0</v>
      </c>
      <c r="ER167" s="323"/>
      <c r="ES167" s="358" t="e">
        <f t="shared" si="919"/>
        <v>#DIV/0!</v>
      </c>
      <c r="ET167" s="358" t="e">
        <f t="shared" si="920"/>
        <v>#DIV/0!</v>
      </c>
      <c r="EU167" s="323">
        <f t="shared" si="737"/>
        <v>0</v>
      </c>
      <c r="EV167" s="323">
        <f t="shared" si="921"/>
        <v>0</v>
      </c>
      <c r="EW167" s="323">
        <f t="shared" si="922"/>
        <v>0</v>
      </c>
      <c r="EX167" s="358" t="e">
        <f t="shared" si="923"/>
        <v>#DIV/0!</v>
      </c>
      <c r="EY167" s="358" t="e">
        <f t="shared" si="924"/>
        <v>#DIV/0!</v>
      </c>
      <c r="EZ167" s="358">
        <v>8.72E-2</v>
      </c>
      <c r="FA167" s="323" t="e">
        <f t="shared" si="925"/>
        <v>#DIV/0!</v>
      </c>
      <c r="FB167" s="323" t="e">
        <f t="shared" si="738"/>
        <v>#DIV/0!</v>
      </c>
      <c r="FC167" s="279"/>
      <c r="FD167" s="279"/>
      <c r="FE167" s="279"/>
      <c r="FF167" s="366"/>
      <c r="FG167" s="366"/>
      <c r="FH167" s="279"/>
      <c r="FI167" s="279"/>
      <c r="FJ167" s="279"/>
      <c r="FK167" s="366"/>
      <c r="FL167" s="366"/>
      <c r="FM167" s="366">
        <v>8.72E-2</v>
      </c>
      <c r="FN167" s="280"/>
      <c r="FO167" s="279"/>
    </row>
    <row r="168" spans="2:171" s="40" customFormat="1" ht="15.6" customHeight="1" x14ac:dyDescent="0.25">
      <c r="B168" s="32"/>
      <c r="C168" s="33"/>
      <c r="D168" s="33">
        <v>1</v>
      </c>
      <c r="E168" s="434">
        <v>140</v>
      </c>
      <c r="F168" s="32"/>
      <c r="G168" s="33"/>
      <c r="H168" s="33">
        <v>1</v>
      </c>
      <c r="I168" s="434"/>
      <c r="J168" s="435"/>
      <c r="K168" s="435"/>
      <c r="L168" s="53"/>
      <c r="M168" s="434">
        <v>137</v>
      </c>
      <c r="N168" s="435" t="s">
        <v>121</v>
      </c>
      <c r="O168" s="435" t="s">
        <v>344</v>
      </c>
      <c r="P168" s="24">
        <f t="shared" si="735"/>
        <v>0</v>
      </c>
      <c r="Q168" s="435" t="s">
        <v>490</v>
      </c>
      <c r="R168" s="435" t="s">
        <v>488</v>
      </c>
      <c r="S168" s="435" t="s">
        <v>490</v>
      </c>
      <c r="T168" s="435" t="s">
        <v>488</v>
      </c>
      <c r="U168" s="161">
        <v>1</v>
      </c>
      <c r="V168" s="434">
        <v>1</v>
      </c>
      <c r="W168" s="459">
        <f t="shared" si="894"/>
        <v>1080.5999999999999</v>
      </c>
      <c r="X168" s="459"/>
      <c r="Y168" s="460">
        <v>1080.5999999999999</v>
      </c>
      <c r="Z168" s="459"/>
      <c r="AA168" s="461"/>
      <c r="AB168" s="459">
        <f t="shared" si="895"/>
        <v>690</v>
      </c>
      <c r="AC168" s="459"/>
      <c r="AD168" s="460">
        <v>690</v>
      </c>
      <c r="AE168" s="459"/>
      <c r="AF168" s="461"/>
      <c r="AG168" s="459">
        <f t="shared" si="896"/>
        <v>690</v>
      </c>
      <c r="AH168" s="459"/>
      <c r="AI168" s="460">
        <v>690</v>
      </c>
      <c r="AJ168" s="459"/>
      <c r="AK168" s="461"/>
      <c r="AL168" s="459">
        <f t="shared" si="897"/>
        <v>300</v>
      </c>
      <c r="AM168" s="459"/>
      <c r="AN168" s="460">
        <v>300</v>
      </c>
      <c r="AO168" s="459"/>
      <c r="AP168" s="496"/>
      <c r="AQ168" s="384" t="s">
        <v>531</v>
      </c>
      <c r="AR168" s="459">
        <f t="shared" si="898"/>
        <v>943.08952999999997</v>
      </c>
      <c r="AS168" s="459"/>
      <c r="AT168" s="462">
        <f>1080.6-137.51047</f>
        <v>943.08952999999997</v>
      </c>
      <c r="AU168" s="459"/>
      <c r="AV168" s="461"/>
      <c r="AW168" s="459" t="e">
        <f t="shared" si="899"/>
        <v>#REF!</v>
      </c>
      <c r="AX168" s="459" t="e">
        <f>#REF!-AS168</f>
        <v>#REF!</v>
      </c>
      <c r="AY168" s="459" t="e">
        <f>#REF!-AT168</f>
        <v>#REF!</v>
      </c>
      <c r="AZ168" s="459" t="e">
        <f>#REF!-AU168</f>
        <v>#REF!</v>
      </c>
      <c r="BA168" s="459" t="e">
        <f>#REF!-AV168</f>
        <v>#REF!</v>
      </c>
      <c r="BB168" s="459">
        <f t="shared" si="900"/>
        <v>690</v>
      </c>
      <c r="BC168" s="459"/>
      <c r="BD168" s="460">
        <f>300+390</f>
        <v>690</v>
      </c>
      <c r="BE168" s="459"/>
      <c r="BF168" s="461"/>
      <c r="BG168" s="459">
        <f t="shared" si="901"/>
        <v>0</v>
      </c>
      <c r="BH168" s="459"/>
      <c r="BI168" s="460"/>
      <c r="BJ168" s="459"/>
      <c r="BK168" s="461"/>
      <c r="BL168" s="459">
        <f t="shared" si="902"/>
        <v>943.08952999999997</v>
      </c>
      <c r="BM168" s="459"/>
      <c r="BN168" s="460">
        <v>943.08952999999997</v>
      </c>
      <c r="BO168" s="459"/>
      <c r="BP168" s="470"/>
      <c r="BQ168" s="459">
        <f t="shared" si="903"/>
        <v>943.08952999999997</v>
      </c>
      <c r="BR168" s="459"/>
      <c r="BS168" s="460">
        <v>943.08952999999997</v>
      </c>
      <c r="BT168" s="459"/>
      <c r="BU168" s="470"/>
      <c r="BV168" s="459">
        <f t="shared" si="847"/>
        <v>87.7</v>
      </c>
      <c r="BW168" s="459"/>
      <c r="BX168" s="459">
        <v>87.7</v>
      </c>
      <c r="BY168" s="459"/>
      <c r="BZ168" s="459"/>
      <c r="CA168" s="464">
        <f t="shared" si="904"/>
        <v>1030.78953</v>
      </c>
      <c r="CB168" s="459">
        <f t="shared" si="905"/>
        <v>1030.78953</v>
      </c>
      <c r="CC168" s="459">
        <f t="shared" si="906"/>
        <v>0</v>
      </c>
      <c r="CD168" s="459">
        <f t="shared" si="906"/>
        <v>1030.78953</v>
      </c>
      <c r="CE168" s="459">
        <f t="shared" si="906"/>
        <v>0</v>
      </c>
      <c r="CF168" s="459">
        <f t="shared" si="906"/>
        <v>0</v>
      </c>
      <c r="CG168" s="459">
        <f t="shared" si="907"/>
        <v>0</v>
      </c>
      <c r="CH168" s="459">
        <f t="shared" si="908"/>
        <v>0</v>
      </c>
      <c r="CI168" s="459">
        <f t="shared" si="908"/>
        <v>0</v>
      </c>
      <c r="CJ168" s="459">
        <f t="shared" si="908"/>
        <v>0</v>
      </c>
      <c r="CK168" s="459">
        <f t="shared" si="908"/>
        <v>0</v>
      </c>
      <c r="CL168" s="465"/>
      <c r="CM168" s="466"/>
      <c r="CN168" s="466"/>
      <c r="CO168" s="459">
        <f t="shared" si="909"/>
        <v>0</v>
      </c>
      <c r="CP168" s="459"/>
      <c r="CQ168" s="460"/>
      <c r="CR168" s="459"/>
      <c r="CS168" s="461"/>
      <c r="CT168" s="459">
        <f t="shared" si="910"/>
        <v>0</v>
      </c>
      <c r="CU168" s="459"/>
      <c r="CV168" s="460"/>
      <c r="CW168" s="459"/>
      <c r="CX168" s="461"/>
      <c r="CY168" s="459">
        <f t="shared" si="911"/>
        <v>0</v>
      </c>
      <c r="CZ168" s="459">
        <f t="shared" si="912"/>
        <v>0</v>
      </c>
      <c r="DA168" s="459">
        <f t="shared" si="912"/>
        <v>0</v>
      </c>
      <c r="DB168" s="459">
        <f t="shared" si="912"/>
        <v>0</v>
      </c>
      <c r="DC168" s="459">
        <f t="shared" si="912"/>
        <v>0</v>
      </c>
      <c r="DD168" s="459"/>
      <c r="DE168" s="459"/>
      <c r="DF168" s="459"/>
      <c r="DG168" s="459">
        <f t="shared" si="913"/>
        <v>0</v>
      </c>
      <c r="DH168" s="467"/>
      <c r="DI168" s="459">
        <f t="shared" si="914"/>
        <v>943.08952999999997</v>
      </c>
      <c r="DJ168" s="459">
        <f t="shared" si="915"/>
        <v>943.08952999999997</v>
      </c>
      <c r="DK168" s="467"/>
      <c r="DL168" s="459"/>
      <c r="DM168" s="459"/>
      <c r="DN168" s="467"/>
      <c r="DO168" s="459"/>
      <c r="DP168" s="467"/>
      <c r="DQ168" s="467"/>
      <c r="DR168" s="459">
        <f t="shared" si="733"/>
        <v>943.08952999999997</v>
      </c>
      <c r="DS168" s="459"/>
      <c r="DT168" s="460">
        <v>943.08952999999997</v>
      </c>
      <c r="DU168" s="459"/>
      <c r="DV168" s="470"/>
      <c r="DW168" s="459">
        <f t="shared" si="734"/>
        <v>87.7</v>
      </c>
      <c r="DX168" s="459"/>
      <c r="DY168" s="459">
        <v>87.7</v>
      </c>
      <c r="DZ168" s="459"/>
      <c r="EA168" s="146"/>
      <c r="EB168" s="279"/>
      <c r="EC168" s="279"/>
      <c r="ED168" s="279"/>
      <c r="EE168" s="366"/>
      <c r="EF168" s="366"/>
      <c r="EG168" s="279"/>
      <c r="EH168" s="279"/>
      <c r="EI168" s="279"/>
      <c r="EJ168" s="366"/>
      <c r="EK168" s="366"/>
      <c r="EL168" s="366">
        <v>2.35E-2</v>
      </c>
      <c r="EM168" s="280"/>
      <c r="EN168" s="279"/>
      <c r="EO168" s="265" t="e">
        <f t="shared" si="918"/>
        <v>#DIV/0!</v>
      </c>
      <c r="EP168" s="323">
        <f t="shared" si="736"/>
        <v>1030.78953</v>
      </c>
      <c r="EQ168" s="323">
        <f t="shared" si="796"/>
        <v>943.08952999999997</v>
      </c>
      <c r="ER168" s="323">
        <v>87.7</v>
      </c>
      <c r="ES168" s="358">
        <f t="shared" si="919"/>
        <v>0.91491958596048206</v>
      </c>
      <c r="ET168" s="358">
        <f t="shared" si="920"/>
        <v>8.508041403951784E-2</v>
      </c>
      <c r="EU168" s="323">
        <f t="shared" si="737"/>
        <v>1030.78953</v>
      </c>
      <c r="EV168" s="323">
        <f t="shared" si="921"/>
        <v>943.08952999999997</v>
      </c>
      <c r="EW168" s="323">
        <f t="shared" si="922"/>
        <v>87.7</v>
      </c>
      <c r="EX168" s="358">
        <f t="shared" si="923"/>
        <v>0.91491958596048206</v>
      </c>
      <c r="EY168" s="358">
        <f t="shared" si="924"/>
        <v>8.508041403951784E-2</v>
      </c>
      <c r="EZ168" s="358">
        <v>7.8299999999999995E-2</v>
      </c>
      <c r="FA168" s="323">
        <f t="shared" si="925"/>
        <v>943.08952999999997</v>
      </c>
      <c r="FB168" s="323">
        <f t="shared" si="738"/>
        <v>0</v>
      </c>
      <c r="FC168" s="279"/>
      <c r="FD168" s="279"/>
      <c r="FE168" s="279"/>
      <c r="FF168" s="366"/>
      <c r="FG168" s="366"/>
      <c r="FH168" s="279"/>
      <c r="FI168" s="279"/>
      <c r="FJ168" s="279"/>
      <c r="FK168" s="366"/>
      <c r="FL168" s="366"/>
      <c r="FM168" s="366">
        <v>7.8299999999999995E-2</v>
      </c>
      <c r="FN168" s="280"/>
      <c r="FO168" s="279"/>
    </row>
    <row r="169" spans="2:171" s="40" customFormat="1" ht="15.75" customHeight="1" x14ac:dyDescent="0.25">
      <c r="B169" s="32"/>
      <c r="C169" s="33"/>
      <c r="D169" s="33">
        <v>1</v>
      </c>
      <c r="E169" s="434">
        <v>141</v>
      </c>
      <c r="F169" s="32"/>
      <c r="G169" s="33"/>
      <c r="H169" s="33">
        <v>1</v>
      </c>
      <c r="I169" s="434"/>
      <c r="J169" s="435"/>
      <c r="K169" s="435"/>
      <c r="L169" s="53"/>
      <c r="M169" s="434">
        <v>138</v>
      </c>
      <c r="N169" s="435" t="s">
        <v>233</v>
      </c>
      <c r="O169" s="435"/>
      <c r="P169" s="24">
        <f t="shared" si="735"/>
        <v>0</v>
      </c>
      <c r="Q169" s="435"/>
      <c r="R169" s="435"/>
      <c r="S169" s="435"/>
      <c r="T169" s="435"/>
      <c r="U169" s="161"/>
      <c r="V169" s="434"/>
      <c r="W169" s="459">
        <f t="shared" si="894"/>
        <v>0</v>
      </c>
      <c r="X169" s="459"/>
      <c r="Y169" s="460">
        <f>245.6-245.6</f>
        <v>0</v>
      </c>
      <c r="Z169" s="459"/>
      <c r="AA169" s="461"/>
      <c r="AB169" s="459">
        <f t="shared" si="895"/>
        <v>6634.1180000000004</v>
      </c>
      <c r="AC169" s="459"/>
      <c r="AD169" s="460">
        <v>0</v>
      </c>
      <c r="AE169" s="459">
        <v>6634.1180000000004</v>
      </c>
      <c r="AF169" s="461"/>
      <c r="AG169" s="459">
        <f t="shared" si="896"/>
        <v>8250</v>
      </c>
      <c r="AH169" s="459"/>
      <c r="AI169" s="460">
        <v>0</v>
      </c>
      <c r="AJ169" s="459">
        <v>8250</v>
      </c>
      <c r="AK169" s="461"/>
      <c r="AL169" s="459">
        <f t="shared" si="897"/>
        <v>8254</v>
      </c>
      <c r="AM169" s="459"/>
      <c r="AN169" s="460">
        <v>4</v>
      </c>
      <c r="AO169" s="459">
        <v>8250</v>
      </c>
      <c r="AP169" s="496"/>
      <c r="AQ169" s="384"/>
      <c r="AR169" s="459">
        <f t="shared" si="898"/>
        <v>0</v>
      </c>
      <c r="AS169" s="459"/>
      <c r="AT169" s="462"/>
      <c r="AU169" s="459"/>
      <c r="AV169" s="459"/>
      <c r="AW169" s="459" t="e">
        <f t="shared" si="899"/>
        <v>#REF!</v>
      </c>
      <c r="AX169" s="459" t="e">
        <f>#REF!-AS169</f>
        <v>#REF!</v>
      </c>
      <c r="AY169" s="459" t="e">
        <f>#REF!-AT169</f>
        <v>#REF!</v>
      </c>
      <c r="AZ169" s="459" t="e">
        <f>#REF!-AU169</f>
        <v>#REF!</v>
      </c>
      <c r="BA169" s="459" t="e">
        <f>#REF!-AV169</f>
        <v>#REF!</v>
      </c>
      <c r="BB169" s="459">
        <f t="shared" si="900"/>
        <v>6633.78</v>
      </c>
      <c r="BC169" s="459"/>
      <c r="BD169" s="460"/>
      <c r="BE169" s="459">
        <f>6146.616+487.164</f>
        <v>6633.78</v>
      </c>
      <c r="BF169" s="459"/>
      <c r="BG169" s="459">
        <f t="shared" si="901"/>
        <v>0</v>
      </c>
      <c r="BH169" s="459"/>
      <c r="BI169" s="460"/>
      <c r="BJ169" s="459"/>
      <c r="BK169" s="459"/>
      <c r="BL169" s="459">
        <f t="shared" si="902"/>
        <v>0</v>
      </c>
      <c r="BM169" s="459"/>
      <c r="BN169" s="470"/>
      <c r="BO169" s="459"/>
      <c r="BP169" s="459"/>
      <c r="BQ169" s="459">
        <f t="shared" si="903"/>
        <v>0</v>
      </c>
      <c r="BR169" s="459"/>
      <c r="BS169" s="470"/>
      <c r="BT169" s="459"/>
      <c r="BU169" s="459"/>
      <c r="BV169" s="459">
        <f t="shared" si="847"/>
        <v>0</v>
      </c>
      <c r="BW169" s="459"/>
      <c r="BX169" s="459"/>
      <c r="BY169" s="459"/>
      <c r="BZ169" s="459"/>
      <c r="CA169" s="464">
        <f t="shared" si="904"/>
        <v>0</v>
      </c>
      <c r="CB169" s="459">
        <f t="shared" si="905"/>
        <v>0</v>
      </c>
      <c r="CC169" s="459">
        <f t="shared" si="906"/>
        <v>0</v>
      </c>
      <c r="CD169" s="459">
        <f t="shared" si="906"/>
        <v>0</v>
      </c>
      <c r="CE169" s="459">
        <f t="shared" si="906"/>
        <v>0</v>
      </c>
      <c r="CF169" s="459">
        <f t="shared" si="906"/>
        <v>0</v>
      </c>
      <c r="CG169" s="459">
        <f t="shared" si="907"/>
        <v>0</v>
      </c>
      <c r="CH169" s="459">
        <f t="shared" si="908"/>
        <v>0</v>
      </c>
      <c r="CI169" s="459">
        <f t="shared" si="908"/>
        <v>0</v>
      </c>
      <c r="CJ169" s="459">
        <f t="shared" si="908"/>
        <v>0</v>
      </c>
      <c r="CK169" s="459">
        <f t="shared" si="908"/>
        <v>0</v>
      </c>
      <c r="CL169" s="465"/>
      <c r="CM169" s="466"/>
      <c r="CN169" s="466"/>
      <c r="CO169" s="459">
        <f t="shared" si="909"/>
        <v>0</v>
      </c>
      <c r="CP169" s="459"/>
      <c r="CQ169" s="460"/>
      <c r="CR169" s="459"/>
      <c r="CS169" s="459"/>
      <c r="CT169" s="459">
        <f t="shared" si="910"/>
        <v>0</v>
      </c>
      <c r="CU169" s="459"/>
      <c r="CV169" s="460"/>
      <c r="CW169" s="459"/>
      <c r="CX169" s="459"/>
      <c r="CY169" s="459">
        <f t="shared" si="911"/>
        <v>0</v>
      </c>
      <c r="CZ169" s="459">
        <f t="shared" si="912"/>
        <v>0</v>
      </c>
      <c r="DA169" s="459">
        <f t="shared" si="912"/>
        <v>0</v>
      </c>
      <c r="DB169" s="459">
        <f t="shared" si="912"/>
        <v>0</v>
      </c>
      <c r="DC169" s="459">
        <f t="shared" si="912"/>
        <v>0</v>
      </c>
      <c r="DD169" s="459"/>
      <c r="DE169" s="459"/>
      <c r="DF169" s="459"/>
      <c r="DG169" s="459">
        <f t="shared" si="913"/>
        <v>0</v>
      </c>
      <c r="DH169" s="467"/>
      <c r="DI169" s="459">
        <f t="shared" si="914"/>
        <v>0</v>
      </c>
      <c r="DJ169" s="459">
        <f t="shared" si="915"/>
        <v>0</v>
      </c>
      <c r="DK169" s="467"/>
      <c r="DL169" s="459"/>
      <c r="DM169" s="459"/>
      <c r="DN169" s="467"/>
      <c r="DO169" s="459"/>
      <c r="DP169" s="467"/>
      <c r="DQ169" s="467"/>
      <c r="DR169" s="459">
        <f t="shared" si="733"/>
        <v>0</v>
      </c>
      <c r="DS169" s="459"/>
      <c r="DT169" s="470"/>
      <c r="DU169" s="459"/>
      <c r="DV169" s="459"/>
      <c r="DW169" s="459">
        <f t="shared" si="734"/>
        <v>0</v>
      </c>
      <c r="DX169" s="459"/>
      <c r="DY169" s="459"/>
      <c r="DZ169" s="459"/>
      <c r="EA169" s="146"/>
      <c r="EB169" s="279"/>
      <c r="EC169" s="279"/>
      <c r="ED169" s="279"/>
      <c r="EE169" s="366"/>
      <c r="EF169" s="366"/>
      <c r="EG169" s="279"/>
      <c r="EH169" s="279"/>
      <c r="EI169" s="279"/>
      <c r="EJ169" s="366"/>
      <c r="EK169" s="366"/>
      <c r="EL169" s="366">
        <v>3.2000000000000001E-2</v>
      </c>
      <c r="EM169" s="280"/>
      <c r="EN169" s="279"/>
      <c r="EO169" s="265" t="e">
        <f t="shared" si="918"/>
        <v>#DIV/0!</v>
      </c>
      <c r="EP169" s="323">
        <f t="shared" si="736"/>
        <v>0</v>
      </c>
      <c r="EQ169" s="323">
        <f t="shared" si="796"/>
        <v>0</v>
      </c>
      <c r="ER169" s="323"/>
      <c r="ES169" s="358" t="e">
        <f t="shared" si="919"/>
        <v>#DIV/0!</v>
      </c>
      <c r="ET169" s="358" t="e">
        <f t="shared" si="920"/>
        <v>#DIV/0!</v>
      </c>
      <c r="EU169" s="323">
        <f t="shared" si="737"/>
        <v>0</v>
      </c>
      <c r="EV169" s="323">
        <f t="shared" si="921"/>
        <v>0</v>
      </c>
      <c r="EW169" s="323">
        <f t="shared" si="922"/>
        <v>0</v>
      </c>
      <c r="EX169" s="358" t="e">
        <f t="shared" si="923"/>
        <v>#DIV/0!</v>
      </c>
      <c r="EY169" s="358" t="e">
        <f t="shared" si="924"/>
        <v>#DIV/0!</v>
      </c>
      <c r="EZ169" s="358">
        <v>0.1066</v>
      </c>
      <c r="FA169" s="323" t="e">
        <f t="shared" si="925"/>
        <v>#DIV/0!</v>
      </c>
      <c r="FB169" s="323" t="e">
        <f t="shared" si="738"/>
        <v>#DIV/0!</v>
      </c>
      <c r="FC169" s="279"/>
      <c r="FD169" s="279"/>
      <c r="FE169" s="279"/>
      <c r="FF169" s="366"/>
      <c r="FG169" s="366"/>
      <c r="FH169" s="279"/>
      <c r="FI169" s="279"/>
      <c r="FJ169" s="279"/>
      <c r="FK169" s="366"/>
      <c r="FL169" s="366"/>
      <c r="FM169" s="366">
        <v>0.1066</v>
      </c>
      <c r="FN169" s="280"/>
      <c r="FO169" s="279"/>
    </row>
    <row r="170" spans="2:171" s="40" customFormat="1" ht="15.6" customHeight="1" x14ac:dyDescent="0.25">
      <c r="B170" s="32"/>
      <c r="C170" s="33">
        <v>1</v>
      </c>
      <c r="D170" s="33"/>
      <c r="E170" s="434">
        <v>142</v>
      </c>
      <c r="F170" s="32"/>
      <c r="G170" s="33">
        <v>1</v>
      </c>
      <c r="H170" s="33"/>
      <c r="I170" s="434"/>
      <c r="J170" s="435"/>
      <c r="K170" s="435"/>
      <c r="L170" s="53"/>
      <c r="M170" s="434">
        <v>139</v>
      </c>
      <c r="N170" s="435" t="s">
        <v>59</v>
      </c>
      <c r="O170" s="435"/>
      <c r="P170" s="24">
        <f t="shared" si="735"/>
        <v>0</v>
      </c>
      <c r="Q170" s="435"/>
      <c r="R170" s="435"/>
      <c r="S170" s="435" t="s">
        <v>490</v>
      </c>
      <c r="T170" s="435" t="s">
        <v>488</v>
      </c>
      <c r="U170" s="161">
        <v>1</v>
      </c>
      <c r="V170" s="434"/>
      <c r="W170" s="459">
        <f t="shared" si="894"/>
        <v>1070.4000000000001</v>
      </c>
      <c r="X170" s="459"/>
      <c r="Y170" s="460">
        <v>1070.4000000000001</v>
      </c>
      <c r="Z170" s="459"/>
      <c r="AA170" s="461"/>
      <c r="AB170" s="459">
        <f t="shared" si="895"/>
        <v>1389.2</v>
      </c>
      <c r="AC170" s="459"/>
      <c r="AD170" s="460">
        <v>1389.2</v>
      </c>
      <c r="AE170" s="459"/>
      <c r="AF170" s="461"/>
      <c r="AG170" s="459">
        <f t="shared" si="896"/>
        <v>1389.2</v>
      </c>
      <c r="AH170" s="459"/>
      <c r="AI170" s="460">
        <v>1389.2</v>
      </c>
      <c r="AJ170" s="459"/>
      <c r="AK170" s="461"/>
      <c r="AL170" s="459">
        <f t="shared" si="897"/>
        <v>604</v>
      </c>
      <c r="AM170" s="459"/>
      <c r="AN170" s="460">
        <v>604</v>
      </c>
      <c r="AO170" s="459"/>
      <c r="AP170" s="496"/>
      <c r="AQ170" s="384" t="s">
        <v>392</v>
      </c>
      <c r="AR170" s="459">
        <f t="shared" si="898"/>
        <v>1070.4000000000001</v>
      </c>
      <c r="AS170" s="459"/>
      <c r="AT170" s="460">
        <v>1070.4000000000001</v>
      </c>
      <c r="AU170" s="459"/>
      <c r="AV170" s="459"/>
      <c r="AW170" s="459" t="e">
        <f t="shared" si="899"/>
        <v>#REF!</v>
      </c>
      <c r="AX170" s="459" t="e">
        <f>#REF!-AS170</f>
        <v>#REF!</v>
      </c>
      <c r="AY170" s="459" t="e">
        <f>#REF!-AT170</f>
        <v>#REF!</v>
      </c>
      <c r="AZ170" s="459" t="e">
        <f>#REF!-AU170</f>
        <v>#REF!</v>
      </c>
      <c r="BA170" s="459" t="e">
        <f>#REF!-AV170</f>
        <v>#REF!</v>
      </c>
      <c r="BB170" s="459">
        <f t="shared" si="900"/>
        <v>1369.268</v>
      </c>
      <c r="BC170" s="459"/>
      <c r="BD170" s="460">
        <f>566.999+802.269</f>
        <v>1369.268</v>
      </c>
      <c r="BE170" s="459"/>
      <c r="BF170" s="459"/>
      <c r="BG170" s="459">
        <f t="shared" si="901"/>
        <v>0</v>
      </c>
      <c r="BH170" s="459"/>
      <c r="BI170" s="459"/>
      <c r="BJ170" s="459"/>
      <c r="BK170" s="459"/>
      <c r="BL170" s="459">
        <f t="shared" si="902"/>
        <v>1070.4000000000001</v>
      </c>
      <c r="BM170" s="459"/>
      <c r="BN170" s="460">
        <v>1070.4000000000001</v>
      </c>
      <c r="BO170" s="459"/>
      <c r="BP170" s="459"/>
      <c r="BQ170" s="459">
        <f t="shared" si="903"/>
        <v>1070.4000000000001</v>
      </c>
      <c r="BR170" s="459"/>
      <c r="BS170" s="460">
        <v>1070.4000000000001</v>
      </c>
      <c r="BT170" s="459"/>
      <c r="BU170" s="459"/>
      <c r="BV170" s="459">
        <f t="shared" si="847"/>
        <v>468.76294999999999</v>
      </c>
      <c r="BW170" s="459"/>
      <c r="BX170" s="459">
        <v>468.76294999999999</v>
      </c>
      <c r="BY170" s="459"/>
      <c r="BZ170" s="459"/>
      <c r="CA170" s="464">
        <f t="shared" si="904"/>
        <v>1539.1629500000001</v>
      </c>
      <c r="CB170" s="459">
        <f t="shared" si="905"/>
        <v>1539.1629500000001</v>
      </c>
      <c r="CC170" s="459">
        <f t="shared" si="906"/>
        <v>0</v>
      </c>
      <c r="CD170" s="459">
        <f t="shared" si="906"/>
        <v>1539.1629500000001</v>
      </c>
      <c r="CE170" s="459">
        <f t="shared" si="906"/>
        <v>0</v>
      </c>
      <c r="CF170" s="459">
        <f t="shared" si="906"/>
        <v>0</v>
      </c>
      <c r="CG170" s="459">
        <f t="shared" si="907"/>
        <v>0</v>
      </c>
      <c r="CH170" s="459">
        <f t="shared" si="908"/>
        <v>0</v>
      </c>
      <c r="CI170" s="459">
        <f t="shared" si="908"/>
        <v>0</v>
      </c>
      <c r="CJ170" s="459">
        <f t="shared" si="908"/>
        <v>0</v>
      </c>
      <c r="CK170" s="459">
        <f t="shared" si="908"/>
        <v>0</v>
      </c>
      <c r="CL170" s="465"/>
      <c r="CM170" s="466"/>
      <c r="CN170" s="466"/>
      <c r="CO170" s="459">
        <f t="shared" si="909"/>
        <v>0</v>
      </c>
      <c r="CP170" s="459"/>
      <c r="CQ170" s="459"/>
      <c r="CR170" s="459"/>
      <c r="CS170" s="459"/>
      <c r="CT170" s="459">
        <f t="shared" si="910"/>
        <v>0</v>
      </c>
      <c r="CU170" s="459"/>
      <c r="CV170" s="459"/>
      <c r="CW170" s="459"/>
      <c r="CX170" s="459"/>
      <c r="CY170" s="459">
        <f t="shared" si="911"/>
        <v>0</v>
      </c>
      <c r="CZ170" s="459">
        <f t="shared" si="912"/>
        <v>0</v>
      </c>
      <c r="DA170" s="459">
        <f t="shared" si="912"/>
        <v>0</v>
      </c>
      <c r="DB170" s="459">
        <f t="shared" si="912"/>
        <v>0</v>
      </c>
      <c r="DC170" s="459">
        <f t="shared" si="912"/>
        <v>0</v>
      </c>
      <c r="DD170" s="459"/>
      <c r="DE170" s="459"/>
      <c r="DF170" s="459"/>
      <c r="DG170" s="459">
        <f t="shared" si="913"/>
        <v>0</v>
      </c>
      <c r="DH170" s="467"/>
      <c r="DI170" s="459">
        <f t="shared" si="914"/>
        <v>1070.4000000000001</v>
      </c>
      <c r="DJ170" s="459">
        <f t="shared" si="915"/>
        <v>1070.4000000000001</v>
      </c>
      <c r="DK170" s="467"/>
      <c r="DL170" s="459"/>
      <c r="DM170" s="459"/>
      <c r="DN170" s="467"/>
      <c r="DO170" s="459"/>
      <c r="DP170" s="467"/>
      <c r="DQ170" s="467"/>
      <c r="DR170" s="459">
        <f t="shared" si="733"/>
        <v>1070.4000000000001</v>
      </c>
      <c r="DS170" s="459"/>
      <c r="DT170" s="459">
        <v>1070.4000000000001</v>
      </c>
      <c r="DU170" s="459"/>
      <c r="DV170" s="459"/>
      <c r="DW170" s="459">
        <f t="shared" si="734"/>
        <v>468.76294999999999</v>
      </c>
      <c r="DX170" s="459"/>
      <c r="DY170" s="459">
        <v>468.76294999999999</v>
      </c>
      <c r="DZ170" s="459"/>
      <c r="EA170" s="146"/>
      <c r="EB170" s="279"/>
      <c r="EC170" s="279"/>
      <c r="ED170" s="279"/>
      <c r="EE170" s="366"/>
      <c r="EF170" s="366"/>
      <c r="EG170" s="279"/>
      <c r="EH170" s="279"/>
      <c r="EI170" s="279"/>
      <c r="EJ170" s="366"/>
      <c r="EK170" s="366"/>
      <c r="EL170" s="366">
        <v>0.02</v>
      </c>
      <c r="EM170" s="280"/>
      <c r="EN170" s="279"/>
      <c r="EO170" s="265" t="e">
        <f t="shared" si="918"/>
        <v>#DIV/0!</v>
      </c>
      <c r="EP170" s="323">
        <f t="shared" ref="EP170" si="940">EQ170+ER170</f>
        <v>1539.1629500000001</v>
      </c>
      <c r="EQ170" s="323">
        <f t="shared" ref="EQ170" si="941">AT170</f>
        <v>1070.4000000000001</v>
      </c>
      <c r="ER170" s="323">
        <v>468.76294999999999</v>
      </c>
      <c r="ES170" s="358">
        <f t="shared" ref="ES170" si="942">EQ170/EP170</f>
        <v>0.69544293539550184</v>
      </c>
      <c r="ET170" s="358">
        <f t="shared" ref="ET170" si="943">ER170/EP170</f>
        <v>0.30455706460449816</v>
      </c>
      <c r="EU170" s="323">
        <f t="shared" ref="EU170" si="944">EV170+EW170</f>
        <v>1539.1629500000001</v>
      </c>
      <c r="EV170" s="323">
        <f t="shared" ref="EV170" si="945">DT170</f>
        <v>1070.4000000000001</v>
      </c>
      <c r="EW170" s="323">
        <f t="shared" ref="EW170" si="946">DY170</f>
        <v>468.76294999999999</v>
      </c>
      <c r="EX170" s="358">
        <f t="shared" ref="EX170" si="947">EV170/EU170</f>
        <v>0.69544293539550184</v>
      </c>
      <c r="EY170" s="358">
        <f t="shared" ref="EY170" si="948">EW170/EU170</f>
        <v>0.30455706460449816</v>
      </c>
      <c r="EZ170" s="358">
        <v>6.6600000000000006E-2</v>
      </c>
      <c r="FA170" s="323">
        <f t="shared" ref="FA170" si="949">EU170*ES170</f>
        <v>1070.4000000000001</v>
      </c>
      <c r="FB170" s="430">
        <f t="shared" si="738"/>
        <v>0</v>
      </c>
      <c r="FC170" s="279"/>
      <c r="FD170" s="279"/>
      <c r="FE170" s="279"/>
      <c r="FF170" s="366"/>
      <c r="FG170" s="366"/>
      <c r="FH170" s="279"/>
      <c r="FI170" s="279"/>
      <c r="FJ170" s="279"/>
      <c r="FK170" s="366"/>
      <c r="FL170" s="366"/>
      <c r="FM170" s="366">
        <v>6.6600000000000006E-2</v>
      </c>
      <c r="FN170" s="280"/>
      <c r="FO170" s="279"/>
    </row>
    <row r="171" spans="2:171" s="40" customFormat="1" ht="14.45" customHeight="1" x14ac:dyDescent="0.25">
      <c r="B171" s="32"/>
      <c r="C171" s="33"/>
      <c r="D171" s="33">
        <v>1</v>
      </c>
      <c r="E171" s="434">
        <v>143</v>
      </c>
      <c r="F171" s="32"/>
      <c r="G171" s="33"/>
      <c r="H171" s="33">
        <v>1</v>
      </c>
      <c r="I171" s="434"/>
      <c r="J171" s="435"/>
      <c r="K171" s="435"/>
      <c r="L171" s="53"/>
      <c r="M171" s="434">
        <v>140</v>
      </c>
      <c r="N171" s="435" t="s">
        <v>122</v>
      </c>
      <c r="O171" s="435"/>
      <c r="P171" s="24">
        <f t="shared" si="735"/>
        <v>0</v>
      </c>
      <c r="Q171" s="435"/>
      <c r="R171" s="435"/>
      <c r="S171" s="435" t="s">
        <v>501</v>
      </c>
      <c r="T171" s="435" t="s">
        <v>500</v>
      </c>
      <c r="U171" s="161">
        <v>1</v>
      </c>
      <c r="V171" s="434">
        <v>1</v>
      </c>
      <c r="W171" s="459">
        <f t="shared" si="894"/>
        <v>3512.2730000000001</v>
      </c>
      <c r="X171" s="459"/>
      <c r="Y171" s="460">
        <v>1174.8</v>
      </c>
      <c r="Z171" s="459">
        <v>2337.473</v>
      </c>
      <c r="AA171" s="461"/>
      <c r="AB171" s="459">
        <f t="shared" si="895"/>
        <v>1281.0999999999999</v>
      </c>
      <c r="AC171" s="459"/>
      <c r="AD171" s="460">
        <v>1281.0999999999999</v>
      </c>
      <c r="AE171" s="459"/>
      <c r="AF171" s="461"/>
      <c r="AG171" s="459">
        <f t="shared" si="896"/>
        <v>1281.0999999999999</v>
      </c>
      <c r="AH171" s="459"/>
      <c r="AI171" s="460">
        <v>1281.0999999999999</v>
      </c>
      <c r="AJ171" s="459"/>
      <c r="AK171" s="461"/>
      <c r="AL171" s="459">
        <f t="shared" si="897"/>
        <v>557</v>
      </c>
      <c r="AM171" s="459"/>
      <c r="AN171" s="460">
        <v>557</v>
      </c>
      <c r="AO171" s="459"/>
      <c r="AP171" s="496"/>
      <c r="AQ171" s="384" t="s">
        <v>561</v>
      </c>
      <c r="AR171" s="459">
        <f t="shared" si="898"/>
        <v>3231.4557999999997</v>
      </c>
      <c r="AS171" s="459"/>
      <c r="AT171" s="460">
        <f>1174.8-146.8512</f>
        <v>1027.9487999999999</v>
      </c>
      <c r="AU171" s="459">
        <f>2337.473-133.966</f>
        <v>2203.5070000000001</v>
      </c>
      <c r="AV171" s="461"/>
      <c r="AW171" s="459" t="e">
        <f t="shared" si="899"/>
        <v>#REF!</v>
      </c>
      <c r="AX171" s="459" t="e">
        <f>#REF!-AS171</f>
        <v>#REF!</v>
      </c>
      <c r="AY171" s="459" t="e">
        <f>#REF!-AT171</f>
        <v>#REF!</v>
      </c>
      <c r="AZ171" s="459" t="e">
        <f>#REF!-AU171</f>
        <v>#REF!</v>
      </c>
      <c r="BA171" s="459" t="e">
        <f>#REF!-AV171</f>
        <v>#REF!</v>
      </c>
      <c r="BB171" s="459">
        <f t="shared" si="900"/>
        <v>1281.0999999999999</v>
      </c>
      <c r="BC171" s="459"/>
      <c r="BD171" s="460">
        <f>557+724.1</f>
        <v>1281.0999999999999</v>
      </c>
      <c r="BE171" s="459"/>
      <c r="BF171" s="461"/>
      <c r="BG171" s="459">
        <f t="shared" si="901"/>
        <v>0</v>
      </c>
      <c r="BH171" s="459"/>
      <c r="BI171" s="461"/>
      <c r="BJ171" s="459"/>
      <c r="BK171" s="461"/>
      <c r="BL171" s="459">
        <f t="shared" si="902"/>
        <v>3231.4557999999997</v>
      </c>
      <c r="BM171" s="459"/>
      <c r="BN171" s="460">
        <v>1027.9487999999999</v>
      </c>
      <c r="BO171" s="459">
        <v>2203.5070000000001</v>
      </c>
      <c r="BP171" s="470"/>
      <c r="BQ171" s="459">
        <f t="shared" si="903"/>
        <v>3231.4557999999997</v>
      </c>
      <c r="BR171" s="459"/>
      <c r="BS171" s="460">
        <v>1027.9487999999999</v>
      </c>
      <c r="BT171" s="459">
        <v>2203.5070000000001</v>
      </c>
      <c r="BU171" s="470"/>
      <c r="BV171" s="459">
        <f t="shared" si="847"/>
        <v>370.65885000000003</v>
      </c>
      <c r="BW171" s="459"/>
      <c r="BX171" s="459">
        <v>117.91</v>
      </c>
      <c r="BY171" s="459">
        <v>252.74885</v>
      </c>
      <c r="BZ171" s="459"/>
      <c r="CA171" s="464">
        <f t="shared" si="904"/>
        <v>3602.11465</v>
      </c>
      <c r="CB171" s="459">
        <f t="shared" si="905"/>
        <v>3602.11465</v>
      </c>
      <c r="CC171" s="459">
        <f t="shared" si="906"/>
        <v>0</v>
      </c>
      <c r="CD171" s="459">
        <f t="shared" si="906"/>
        <v>1145.8588</v>
      </c>
      <c r="CE171" s="459">
        <f t="shared" si="906"/>
        <v>2456.25585</v>
      </c>
      <c r="CF171" s="459">
        <f t="shared" si="906"/>
        <v>0</v>
      </c>
      <c r="CG171" s="459">
        <f t="shared" si="907"/>
        <v>0</v>
      </c>
      <c r="CH171" s="459">
        <f t="shared" si="908"/>
        <v>0</v>
      </c>
      <c r="CI171" s="459">
        <f t="shared" si="908"/>
        <v>0</v>
      </c>
      <c r="CJ171" s="459">
        <f t="shared" si="908"/>
        <v>0</v>
      </c>
      <c r="CK171" s="459">
        <f t="shared" si="908"/>
        <v>0</v>
      </c>
      <c r="CL171" s="465"/>
      <c r="CM171" s="466"/>
      <c r="CN171" s="466"/>
      <c r="CO171" s="459">
        <f t="shared" si="909"/>
        <v>0</v>
      </c>
      <c r="CP171" s="459"/>
      <c r="CQ171" s="461"/>
      <c r="CR171" s="459"/>
      <c r="CS171" s="461"/>
      <c r="CT171" s="459">
        <f t="shared" si="910"/>
        <v>0</v>
      </c>
      <c r="CU171" s="459"/>
      <c r="CV171" s="461"/>
      <c r="CW171" s="459"/>
      <c r="CX171" s="461"/>
      <c r="CY171" s="459">
        <f t="shared" si="911"/>
        <v>0</v>
      </c>
      <c r="CZ171" s="459">
        <f t="shared" si="912"/>
        <v>0</v>
      </c>
      <c r="DA171" s="459">
        <f t="shared" si="912"/>
        <v>0</v>
      </c>
      <c r="DB171" s="459">
        <f t="shared" si="912"/>
        <v>0</v>
      </c>
      <c r="DC171" s="459">
        <f t="shared" si="912"/>
        <v>0</v>
      </c>
      <c r="DD171" s="459"/>
      <c r="DE171" s="459"/>
      <c r="DF171" s="459"/>
      <c r="DG171" s="459">
        <f t="shared" si="913"/>
        <v>0</v>
      </c>
      <c r="DH171" s="467"/>
      <c r="DI171" s="459">
        <f t="shared" si="914"/>
        <v>3231.4557999999997</v>
      </c>
      <c r="DJ171" s="459">
        <f t="shared" si="915"/>
        <v>3231.4557999999997</v>
      </c>
      <c r="DK171" s="467"/>
      <c r="DL171" s="459"/>
      <c r="DM171" s="459"/>
      <c r="DN171" s="467"/>
      <c r="DO171" s="459"/>
      <c r="DP171" s="467"/>
      <c r="DQ171" s="467"/>
      <c r="DR171" s="459">
        <f t="shared" si="733"/>
        <v>3231.4557999999997</v>
      </c>
      <c r="DS171" s="459"/>
      <c r="DT171" s="460">
        <v>1027.9487999999999</v>
      </c>
      <c r="DU171" s="459">
        <v>2203.5070000000001</v>
      </c>
      <c r="DV171" s="470"/>
      <c r="DW171" s="459">
        <f t="shared" si="734"/>
        <v>370.65885000000003</v>
      </c>
      <c r="DX171" s="459"/>
      <c r="DY171" s="459">
        <v>117.91</v>
      </c>
      <c r="DZ171" s="459">
        <v>252.74885</v>
      </c>
      <c r="EA171" s="146"/>
      <c r="EB171" s="279"/>
      <c r="EC171" s="279"/>
      <c r="ED171" s="279"/>
      <c r="EE171" s="366"/>
      <c r="EF171" s="366"/>
      <c r="EG171" s="279"/>
      <c r="EH171" s="279"/>
      <c r="EI171" s="279"/>
      <c r="EJ171" s="366"/>
      <c r="EK171" s="366"/>
      <c r="EL171" s="366">
        <v>3.09E-2</v>
      </c>
      <c r="EM171" s="280"/>
      <c r="EN171" s="279"/>
      <c r="EO171" s="265" t="e">
        <f t="shared" si="918"/>
        <v>#DIV/0!</v>
      </c>
      <c r="EP171" s="323">
        <f t="shared" si="736"/>
        <v>1145.8588</v>
      </c>
      <c r="EQ171" s="323">
        <f t="shared" si="796"/>
        <v>1027.9487999999999</v>
      </c>
      <c r="ER171" s="323">
        <v>117.91</v>
      </c>
      <c r="ES171" s="358">
        <f t="shared" si="919"/>
        <v>0.8970990142939077</v>
      </c>
      <c r="ET171" s="358">
        <f t="shared" si="920"/>
        <v>0.10290098570609223</v>
      </c>
      <c r="EU171" s="323">
        <f t="shared" si="737"/>
        <v>1145.8588</v>
      </c>
      <c r="EV171" s="323">
        <f t="shared" si="921"/>
        <v>1027.9487999999999</v>
      </c>
      <c r="EW171" s="323">
        <f t="shared" si="922"/>
        <v>117.91</v>
      </c>
      <c r="EX171" s="358">
        <f t="shared" si="923"/>
        <v>0.8970990142939077</v>
      </c>
      <c r="EY171" s="358">
        <f t="shared" si="924"/>
        <v>0.10290098570609223</v>
      </c>
      <c r="EZ171" s="358">
        <v>0.10290000000000001</v>
      </c>
      <c r="FA171" s="323">
        <f t="shared" si="925"/>
        <v>1027.9487999999999</v>
      </c>
      <c r="FB171" s="323">
        <f t="shared" si="738"/>
        <v>0</v>
      </c>
      <c r="FC171" s="279">
        <f t="shared" ref="FC171" si="950">FD171+FE171</f>
        <v>2456.25585</v>
      </c>
      <c r="FD171" s="279">
        <v>2203.5070000000001</v>
      </c>
      <c r="FE171" s="279">
        <v>252.74885</v>
      </c>
      <c r="FF171" s="366">
        <f t="shared" ref="FF171" si="951">FD171/FC171</f>
        <v>0.89709994990953412</v>
      </c>
      <c r="FG171" s="366">
        <f t="shared" ref="FG171" si="952">FE171/FC171</f>
        <v>0.10290005009046595</v>
      </c>
      <c r="FH171" s="279">
        <f t="shared" ref="FH171" si="953">FI171+FJ171</f>
        <v>2456.25585</v>
      </c>
      <c r="FI171" s="279">
        <f t="shared" ref="FI171" si="954">DU171</f>
        <v>2203.5070000000001</v>
      </c>
      <c r="FJ171" s="279">
        <f t="shared" ref="FJ171" si="955">DZ171</f>
        <v>252.74885</v>
      </c>
      <c r="FK171" s="366">
        <f t="shared" ref="FK171" si="956">FI171/FH171</f>
        <v>0.89709994990953412</v>
      </c>
      <c r="FL171" s="366">
        <f t="shared" ref="FL171" si="957">FJ171/FH171</f>
        <v>0.10290005009046595</v>
      </c>
      <c r="FM171" s="366">
        <v>0.10290000000000001</v>
      </c>
      <c r="FN171" s="280">
        <f t="shared" ref="FN171" si="958">FH171*FF171</f>
        <v>2203.5070000000001</v>
      </c>
      <c r="FO171" s="279">
        <f t="shared" ref="FO171" si="959">FI171-FN171</f>
        <v>0</v>
      </c>
    </row>
    <row r="172" spans="2:171" s="40" customFormat="1" ht="16.149999999999999" customHeight="1" x14ac:dyDescent="0.25">
      <c r="B172" s="32"/>
      <c r="C172" s="33"/>
      <c r="D172" s="33">
        <v>1</v>
      </c>
      <c r="E172" s="434">
        <v>144</v>
      </c>
      <c r="F172" s="32"/>
      <c r="G172" s="33"/>
      <c r="H172" s="33">
        <v>1</v>
      </c>
      <c r="M172" s="434">
        <v>141</v>
      </c>
      <c r="N172" s="435" t="s">
        <v>123</v>
      </c>
      <c r="O172" s="435"/>
      <c r="P172" s="24">
        <f t="shared" si="735"/>
        <v>0</v>
      </c>
      <c r="Q172" s="435" t="s">
        <v>490</v>
      </c>
      <c r="R172" s="435" t="s">
        <v>488</v>
      </c>
      <c r="S172" s="435" t="s">
        <v>491</v>
      </c>
      <c r="T172" s="435" t="s">
        <v>488</v>
      </c>
      <c r="U172" s="161">
        <v>1</v>
      </c>
      <c r="V172" s="434">
        <v>1</v>
      </c>
      <c r="W172" s="459">
        <f t="shared" si="894"/>
        <v>521.9</v>
      </c>
      <c r="X172" s="459"/>
      <c r="Y172" s="459">
        <v>521.9</v>
      </c>
      <c r="Z172" s="459"/>
      <c r="AA172" s="472"/>
      <c r="AB172" s="459">
        <f t="shared" si="895"/>
        <v>526.70000000000005</v>
      </c>
      <c r="AC172" s="459"/>
      <c r="AD172" s="459">
        <v>526.70000000000005</v>
      </c>
      <c r="AE172" s="459"/>
      <c r="AF172" s="472"/>
      <c r="AG172" s="459">
        <f t="shared" si="896"/>
        <v>526.70000000000005</v>
      </c>
      <c r="AH172" s="459"/>
      <c r="AI172" s="459">
        <v>526.70000000000005</v>
      </c>
      <c r="AJ172" s="459"/>
      <c r="AK172" s="472"/>
      <c r="AL172" s="459">
        <f t="shared" si="897"/>
        <v>229</v>
      </c>
      <c r="AM172" s="459"/>
      <c r="AN172" s="459">
        <v>229</v>
      </c>
      <c r="AO172" s="459"/>
      <c r="AP172" s="467"/>
      <c r="AQ172" s="384" t="s">
        <v>445</v>
      </c>
      <c r="AR172" s="459">
        <f t="shared" si="898"/>
        <v>521.9</v>
      </c>
      <c r="AS172" s="459"/>
      <c r="AT172" s="459">
        <v>521.9</v>
      </c>
      <c r="AU172" s="459"/>
      <c r="AV172" s="459"/>
      <c r="AW172" s="459" t="e">
        <f t="shared" si="899"/>
        <v>#REF!</v>
      </c>
      <c r="AX172" s="459" t="e">
        <f>#REF!-AS172</f>
        <v>#REF!</v>
      </c>
      <c r="AY172" s="459" t="e">
        <f>#REF!-AT172</f>
        <v>#REF!</v>
      </c>
      <c r="AZ172" s="459" t="e">
        <f>#REF!-AU172</f>
        <v>#REF!</v>
      </c>
      <c r="BA172" s="459" t="e">
        <f>#REF!-AV172</f>
        <v>#REF!</v>
      </c>
      <c r="BB172" s="459">
        <f t="shared" si="900"/>
        <v>526.70000000000005</v>
      </c>
      <c r="BC172" s="459"/>
      <c r="BD172" s="459">
        <v>526.70000000000005</v>
      </c>
      <c r="BE172" s="459"/>
      <c r="BF172" s="459"/>
      <c r="BG172" s="459">
        <f t="shared" si="901"/>
        <v>0</v>
      </c>
      <c r="BH172" s="459"/>
      <c r="BI172" s="460"/>
      <c r="BJ172" s="459"/>
      <c r="BK172" s="459"/>
      <c r="BL172" s="459">
        <f t="shared" si="902"/>
        <v>521.9</v>
      </c>
      <c r="BM172" s="459"/>
      <c r="BN172" s="459">
        <v>521.9</v>
      </c>
      <c r="BO172" s="459"/>
      <c r="BP172" s="459"/>
      <c r="BQ172" s="459">
        <f t="shared" si="903"/>
        <v>521.9</v>
      </c>
      <c r="BR172" s="459"/>
      <c r="BS172" s="459">
        <v>521.9</v>
      </c>
      <c r="BT172" s="459"/>
      <c r="BU172" s="459"/>
      <c r="BV172" s="459">
        <f t="shared" si="847"/>
        <v>999.6893</v>
      </c>
      <c r="BW172" s="459"/>
      <c r="BX172" s="459">
        <v>999.6893</v>
      </c>
      <c r="BY172" s="459"/>
      <c r="BZ172" s="459"/>
      <c r="CA172" s="464">
        <f t="shared" si="904"/>
        <v>1521.5893000000001</v>
      </c>
      <c r="CB172" s="459">
        <f t="shared" si="905"/>
        <v>1521.5893000000001</v>
      </c>
      <c r="CC172" s="459">
        <f t="shared" si="906"/>
        <v>0</v>
      </c>
      <c r="CD172" s="459">
        <f t="shared" si="906"/>
        <v>1521.5893000000001</v>
      </c>
      <c r="CE172" s="459">
        <f t="shared" si="906"/>
        <v>0</v>
      </c>
      <c r="CF172" s="459">
        <f t="shared" si="906"/>
        <v>0</v>
      </c>
      <c r="CG172" s="459">
        <f t="shared" si="907"/>
        <v>0</v>
      </c>
      <c r="CH172" s="459">
        <f t="shared" si="908"/>
        <v>0</v>
      </c>
      <c r="CI172" s="459">
        <f t="shared" si="908"/>
        <v>0</v>
      </c>
      <c r="CJ172" s="459">
        <f t="shared" si="908"/>
        <v>0</v>
      </c>
      <c r="CK172" s="459">
        <f t="shared" si="908"/>
        <v>0</v>
      </c>
      <c r="CL172" s="465"/>
      <c r="CM172" s="466"/>
      <c r="CN172" s="466"/>
      <c r="CO172" s="459">
        <f t="shared" si="909"/>
        <v>0</v>
      </c>
      <c r="CP172" s="459"/>
      <c r="CQ172" s="460"/>
      <c r="CR172" s="459"/>
      <c r="CS172" s="459"/>
      <c r="CT172" s="459">
        <f t="shared" si="910"/>
        <v>0</v>
      </c>
      <c r="CU172" s="459"/>
      <c r="CV172" s="460"/>
      <c r="CW172" s="459"/>
      <c r="CX172" s="459"/>
      <c r="CY172" s="459">
        <f t="shared" si="911"/>
        <v>0</v>
      </c>
      <c r="CZ172" s="459">
        <f t="shared" si="912"/>
        <v>0</v>
      </c>
      <c r="DA172" s="459">
        <f t="shared" si="912"/>
        <v>0</v>
      </c>
      <c r="DB172" s="459">
        <f t="shared" si="912"/>
        <v>0</v>
      </c>
      <c r="DC172" s="459">
        <f t="shared" si="912"/>
        <v>0</v>
      </c>
      <c r="DD172" s="459"/>
      <c r="DE172" s="459"/>
      <c r="DF172" s="459"/>
      <c r="DG172" s="459">
        <f t="shared" si="913"/>
        <v>0</v>
      </c>
      <c r="DH172" s="467"/>
      <c r="DI172" s="459">
        <f t="shared" si="914"/>
        <v>521.9</v>
      </c>
      <c r="DJ172" s="459">
        <f t="shared" si="915"/>
        <v>521.9</v>
      </c>
      <c r="DK172" s="467"/>
      <c r="DL172" s="459"/>
      <c r="DM172" s="459"/>
      <c r="DN172" s="467"/>
      <c r="DO172" s="459"/>
      <c r="DP172" s="467"/>
      <c r="DQ172" s="467"/>
      <c r="DR172" s="459">
        <f t="shared" si="733"/>
        <v>521.9</v>
      </c>
      <c r="DS172" s="459"/>
      <c r="DT172" s="459">
        <v>521.9</v>
      </c>
      <c r="DU172" s="459"/>
      <c r="DV172" s="459"/>
      <c r="DW172" s="459">
        <f t="shared" si="734"/>
        <v>999.6893</v>
      </c>
      <c r="DX172" s="459"/>
      <c r="DY172" s="459">
        <v>999.6893</v>
      </c>
      <c r="DZ172" s="459"/>
      <c r="EA172" s="146"/>
      <c r="EB172" s="279"/>
      <c r="EC172" s="279"/>
      <c r="ED172" s="279"/>
      <c r="EE172" s="366"/>
      <c r="EF172" s="366"/>
      <c r="EG172" s="279"/>
      <c r="EH172" s="279"/>
      <c r="EI172" s="279"/>
      <c r="EJ172" s="366"/>
      <c r="EK172" s="366"/>
      <c r="EL172" s="366">
        <v>0.1124</v>
      </c>
      <c r="EM172" s="280"/>
      <c r="EN172" s="279"/>
      <c r="EO172" s="265" t="e">
        <f t="shared" si="918"/>
        <v>#DIV/0!</v>
      </c>
      <c r="EP172" s="323">
        <f t="shared" si="736"/>
        <v>1521.5893000000001</v>
      </c>
      <c r="EQ172" s="323">
        <f t="shared" si="796"/>
        <v>521.9</v>
      </c>
      <c r="ER172" s="323">
        <v>999.6893</v>
      </c>
      <c r="ES172" s="358">
        <f t="shared" si="919"/>
        <v>0.34299662859090818</v>
      </c>
      <c r="ET172" s="358">
        <f t="shared" si="920"/>
        <v>0.65700337140909171</v>
      </c>
      <c r="EU172" s="323">
        <f t="shared" si="737"/>
        <v>1521.5893000000001</v>
      </c>
      <c r="EV172" s="323">
        <f t="shared" si="921"/>
        <v>521.9</v>
      </c>
      <c r="EW172" s="323">
        <f t="shared" si="922"/>
        <v>999.6893</v>
      </c>
      <c r="EX172" s="358">
        <f t="shared" si="923"/>
        <v>0.34299662859090818</v>
      </c>
      <c r="EY172" s="358">
        <f t="shared" si="924"/>
        <v>0.65700337140909171</v>
      </c>
      <c r="EZ172" s="358">
        <v>0.37480000000000002</v>
      </c>
      <c r="FA172" s="323">
        <f t="shared" si="925"/>
        <v>521.9</v>
      </c>
      <c r="FB172" s="323">
        <f t="shared" si="738"/>
        <v>0</v>
      </c>
      <c r="FC172" s="279"/>
      <c r="FD172" s="279"/>
      <c r="FE172" s="279"/>
      <c r="FF172" s="366"/>
      <c r="FG172" s="366"/>
      <c r="FH172" s="279"/>
      <c r="FI172" s="279"/>
      <c r="FJ172" s="279"/>
      <c r="FK172" s="366"/>
      <c r="FL172" s="366"/>
      <c r="FM172" s="366">
        <v>0.37480000000000002</v>
      </c>
      <c r="FN172" s="280"/>
      <c r="FO172" s="279"/>
    </row>
    <row r="173" spans="2:171" s="40" customFormat="1" ht="15" customHeight="1" x14ac:dyDescent="0.25">
      <c r="B173" s="32"/>
      <c r="C173" s="33"/>
      <c r="D173" s="33">
        <v>1</v>
      </c>
      <c r="E173" s="434">
        <v>145</v>
      </c>
      <c r="F173" s="32"/>
      <c r="G173" s="33"/>
      <c r="H173" s="33">
        <v>1</v>
      </c>
      <c r="I173" s="434"/>
      <c r="J173" s="435"/>
      <c r="K173" s="435"/>
      <c r="L173" s="53"/>
      <c r="M173" s="434">
        <v>142</v>
      </c>
      <c r="N173" s="435" t="s">
        <v>124</v>
      </c>
      <c r="O173" s="435"/>
      <c r="P173" s="24">
        <f t="shared" si="735"/>
        <v>0</v>
      </c>
      <c r="Q173" s="435"/>
      <c r="R173" s="435"/>
      <c r="S173" s="435"/>
      <c r="T173" s="435"/>
      <c r="U173" s="161">
        <v>1</v>
      </c>
      <c r="V173" s="434">
        <v>2</v>
      </c>
      <c r="W173" s="459">
        <f t="shared" si="894"/>
        <v>537.4</v>
      </c>
      <c r="X173" s="459"/>
      <c r="Y173" s="460">
        <f>237.4+300</f>
        <v>537.4</v>
      </c>
      <c r="Z173" s="459"/>
      <c r="AA173" s="461"/>
      <c r="AB173" s="459">
        <f t="shared" si="895"/>
        <v>239.2</v>
      </c>
      <c r="AC173" s="459"/>
      <c r="AD173" s="460">
        <v>239.2</v>
      </c>
      <c r="AE173" s="459"/>
      <c r="AF173" s="461"/>
      <c r="AG173" s="459">
        <f t="shared" si="896"/>
        <v>239.2</v>
      </c>
      <c r="AH173" s="459"/>
      <c r="AI173" s="460">
        <v>239.2</v>
      </c>
      <c r="AJ173" s="459"/>
      <c r="AK173" s="461"/>
      <c r="AL173" s="459">
        <f t="shared" si="897"/>
        <v>104</v>
      </c>
      <c r="AM173" s="459"/>
      <c r="AN173" s="460">
        <v>104</v>
      </c>
      <c r="AO173" s="459"/>
      <c r="AP173" s="496"/>
      <c r="AQ173" s="384" t="s">
        <v>563</v>
      </c>
      <c r="AR173" s="459">
        <f t="shared" si="898"/>
        <v>523.04417000000001</v>
      </c>
      <c r="AS173" s="459"/>
      <c r="AT173" s="460">
        <f>237.4+300-14.35583</f>
        <v>523.04417000000001</v>
      </c>
      <c r="AU173" s="459"/>
      <c r="AV173" s="461"/>
      <c r="AW173" s="459" t="e">
        <f t="shared" si="899"/>
        <v>#REF!</v>
      </c>
      <c r="AX173" s="459" t="e">
        <f>#REF!-AS173</f>
        <v>#REF!</v>
      </c>
      <c r="AY173" s="459" t="e">
        <f>#REF!-AT173</f>
        <v>#REF!</v>
      </c>
      <c r="AZ173" s="459" t="e">
        <f>#REF!-AU173</f>
        <v>#REF!</v>
      </c>
      <c r="BA173" s="459" t="e">
        <f>#REF!-AV173</f>
        <v>#REF!</v>
      </c>
      <c r="BB173" s="459">
        <f t="shared" si="900"/>
        <v>239.2</v>
      </c>
      <c r="BC173" s="459"/>
      <c r="BD173" s="460">
        <f>104+135.2</f>
        <v>239.2</v>
      </c>
      <c r="BE173" s="459"/>
      <c r="BF173" s="461"/>
      <c r="BG173" s="459">
        <f t="shared" si="901"/>
        <v>0</v>
      </c>
      <c r="BH173" s="459"/>
      <c r="BI173" s="460"/>
      <c r="BJ173" s="459"/>
      <c r="BK173" s="461"/>
      <c r="BL173" s="459">
        <f t="shared" si="902"/>
        <v>523.04417000000001</v>
      </c>
      <c r="BM173" s="459"/>
      <c r="BN173" s="460">
        <f>223.04417+126.325+173.675</f>
        <v>523.04417000000001</v>
      </c>
      <c r="BO173" s="459"/>
      <c r="BP173" s="470"/>
      <c r="BQ173" s="459">
        <f t="shared" si="903"/>
        <v>523.04417000000001</v>
      </c>
      <c r="BR173" s="459"/>
      <c r="BS173" s="460">
        <f>223.04417+126.325+173.675</f>
        <v>523.04417000000001</v>
      </c>
      <c r="BT173" s="459"/>
      <c r="BU173" s="470"/>
      <c r="BV173" s="459">
        <f t="shared" si="847"/>
        <v>176.23231000000001</v>
      </c>
      <c r="BW173" s="459"/>
      <c r="BX173" s="459">
        <f>75.16231+42.559+58.511</f>
        <v>176.23231000000001</v>
      </c>
      <c r="BY173" s="459"/>
      <c r="BZ173" s="459"/>
      <c r="CA173" s="464">
        <f t="shared" si="904"/>
        <v>699.27647999999999</v>
      </c>
      <c r="CB173" s="459">
        <f t="shared" si="905"/>
        <v>699.27647999999999</v>
      </c>
      <c r="CC173" s="459">
        <f t="shared" si="906"/>
        <v>0</v>
      </c>
      <c r="CD173" s="459">
        <f t="shared" si="906"/>
        <v>699.27647999999999</v>
      </c>
      <c r="CE173" s="459">
        <f t="shared" si="906"/>
        <v>0</v>
      </c>
      <c r="CF173" s="459">
        <f t="shared" si="906"/>
        <v>0</v>
      </c>
      <c r="CG173" s="459">
        <f t="shared" si="907"/>
        <v>0</v>
      </c>
      <c r="CH173" s="459">
        <f t="shared" si="908"/>
        <v>0</v>
      </c>
      <c r="CI173" s="459">
        <f t="shared" si="908"/>
        <v>0</v>
      </c>
      <c r="CJ173" s="459">
        <f t="shared" si="908"/>
        <v>0</v>
      </c>
      <c r="CK173" s="459">
        <f t="shared" si="908"/>
        <v>0</v>
      </c>
      <c r="CL173" s="465"/>
      <c r="CM173" s="466"/>
      <c r="CN173" s="466"/>
      <c r="CO173" s="459">
        <f t="shared" si="909"/>
        <v>0</v>
      </c>
      <c r="CP173" s="459"/>
      <c r="CQ173" s="460"/>
      <c r="CR173" s="459"/>
      <c r="CS173" s="461"/>
      <c r="CT173" s="459">
        <f t="shared" si="910"/>
        <v>0</v>
      </c>
      <c r="CU173" s="459"/>
      <c r="CV173" s="460"/>
      <c r="CW173" s="459"/>
      <c r="CX173" s="461"/>
      <c r="CY173" s="459">
        <f t="shared" si="911"/>
        <v>0</v>
      </c>
      <c r="CZ173" s="459">
        <f t="shared" si="912"/>
        <v>0</v>
      </c>
      <c r="DA173" s="459">
        <f t="shared" si="912"/>
        <v>0</v>
      </c>
      <c r="DB173" s="459">
        <f t="shared" si="912"/>
        <v>0</v>
      </c>
      <c r="DC173" s="459">
        <f t="shared" si="912"/>
        <v>0</v>
      </c>
      <c r="DD173" s="459"/>
      <c r="DE173" s="459"/>
      <c r="DF173" s="459"/>
      <c r="DG173" s="459">
        <f t="shared" si="913"/>
        <v>0</v>
      </c>
      <c r="DH173" s="467"/>
      <c r="DI173" s="459">
        <f t="shared" si="914"/>
        <v>523.04417000000001</v>
      </c>
      <c r="DJ173" s="459">
        <f t="shared" si="915"/>
        <v>523.04417000000001</v>
      </c>
      <c r="DK173" s="467"/>
      <c r="DL173" s="459"/>
      <c r="DM173" s="459"/>
      <c r="DN173" s="467"/>
      <c r="DO173" s="459"/>
      <c r="DP173" s="467"/>
      <c r="DQ173" s="467"/>
      <c r="DR173" s="459">
        <f t="shared" si="733"/>
        <v>523.04417000000001</v>
      </c>
      <c r="DS173" s="459"/>
      <c r="DT173" s="460">
        <f>223.04417+126.325+173.675</f>
        <v>523.04417000000001</v>
      </c>
      <c r="DU173" s="459"/>
      <c r="DV173" s="470"/>
      <c r="DW173" s="459">
        <f t="shared" si="734"/>
        <v>176.23231000000001</v>
      </c>
      <c r="DX173" s="459"/>
      <c r="DY173" s="459">
        <f>75.16231+42.559+58.511</f>
        <v>176.23231000000001</v>
      </c>
      <c r="DZ173" s="459"/>
      <c r="EA173" s="146"/>
      <c r="EB173" s="279"/>
      <c r="EC173" s="279"/>
      <c r="ED173" s="279"/>
      <c r="EE173" s="366"/>
      <c r="EF173" s="366"/>
      <c r="EG173" s="279"/>
      <c r="EH173" s="279"/>
      <c r="EI173" s="279"/>
      <c r="EJ173" s="366"/>
      <c r="EK173" s="366"/>
      <c r="EL173" s="366">
        <v>2.41E-2</v>
      </c>
      <c r="EM173" s="280"/>
      <c r="EN173" s="279"/>
      <c r="EO173" s="265" t="e">
        <f t="shared" si="918"/>
        <v>#DIV/0!</v>
      </c>
      <c r="EP173" s="323">
        <f t="shared" si="736"/>
        <v>699.27647999999999</v>
      </c>
      <c r="EQ173" s="323">
        <f t="shared" si="796"/>
        <v>523.04417000000001</v>
      </c>
      <c r="ER173" s="323">
        <v>176.23231000000001</v>
      </c>
      <c r="ES173" s="358">
        <f t="shared" si="919"/>
        <v>0.74797906830786021</v>
      </c>
      <c r="ET173" s="358">
        <f t="shared" si="920"/>
        <v>0.25202093169213985</v>
      </c>
      <c r="EU173" s="323">
        <f t="shared" si="737"/>
        <v>699.27647999999999</v>
      </c>
      <c r="EV173" s="323">
        <f t="shared" si="921"/>
        <v>523.04417000000001</v>
      </c>
      <c r="EW173" s="323">
        <f t="shared" si="922"/>
        <v>176.23231000000001</v>
      </c>
      <c r="EX173" s="358">
        <f t="shared" si="923"/>
        <v>0.74797906830786021</v>
      </c>
      <c r="EY173" s="358">
        <f t="shared" si="924"/>
        <v>0.25202093169213985</v>
      </c>
      <c r="EZ173" s="358">
        <v>8.0399999999999999E-2</v>
      </c>
      <c r="FA173" s="323">
        <f t="shared" si="925"/>
        <v>523.04417000000001</v>
      </c>
      <c r="FB173" s="430">
        <f t="shared" si="738"/>
        <v>0</v>
      </c>
      <c r="FC173" s="279"/>
      <c r="FD173" s="279"/>
      <c r="FE173" s="279"/>
      <c r="FF173" s="366"/>
      <c r="FG173" s="366"/>
      <c r="FH173" s="279"/>
      <c r="FI173" s="279"/>
      <c r="FJ173" s="279"/>
      <c r="FK173" s="366"/>
      <c r="FL173" s="366"/>
      <c r="FM173" s="366">
        <v>8.0399999999999999E-2</v>
      </c>
      <c r="FN173" s="280"/>
      <c r="FO173" s="279"/>
    </row>
    <row r="174" spans="2:171" s="40" customFormat="1" ht="15" customHeight="1" x14ac:dyDescent="0.25">
      <c r="B174" s="32"/>
      <c r="C174" s="33"/>
      <c r="D174" s="33">
        <v>1</v>
      </c>
      <c r="E174" s="434">
        <v>146</v>
      </c>
      <c r="F174" s="32"/>
      <c r="G174" s="33"/>
      <c r="H174" s="33">
        <v>1</v>
      </c>
      <c r="M174" s="434">
        <v>143</v>
      </c>
      <c r="N174" s="435" t="s">
        <v>125</v>
      </c>
      <c r="O174" s="435"/>
      <c r="P174" s="24">
        <f t="shared" si="735"/>
        <v>0</v>
      </c>
      <c r="Q174" s="435" t="s">
        <v>501</v>
      </c>
      <c r="R174" s="435" t="s">
        <v>488</v>
      </c>
      <c r="S174" s="435" t="s">
        <v>490</v>
      </c>
      <c r="T174" s="435" t="s">
        <v>488</v>
      </c>
      <c r="U174" s="161">
        <v>1</v>
      </c>
      <c r="V174" s="434">
        <v>1</v>
      </c>
      <c r="W174" s="459">
        <f t="shared" si="894"/>
        <v>474.8</v>
      </c>
      <c r="X174" s="459"/>
      <c r="Y174" s="460">
        <v>474.8</v>
      </c>
      <c r="Z174" s="459"/>
      <c r="AA174" s="472"/>
      <c r="AB174" s="459">
        <f t="shared" si="895"/>
        <v>478.4</v>
      </c>
      <c r="AC174" s="459"/>
      <c r="AD174" s="460">
        <v>478.4</v>
      </c>
      <c r="AE174" s="459"/>
      <c r="AF174" s="472"/>
      <c r="AG174" s="459">
        <f t="shared" si="896"/>
        <v>478.4</v>
      </c>
      <c r="AH174" s="459"/>
      <c r="AI174" s="460">
        <v>478.4</v>
      </c>
      <c r="AJ174" s="459"/>
      <c r="AK174" s="472"/>
      <c r="AL174" s="459">
        <f t="shared" si="897"/>
        <v>208</v>
      </c>
      <c r="AM174" s="459"/>
      <c r="AN174" s="460">
        <v>208</v>
      </c>
      <c r="AO174" s="459"/>
      <c r="AP174" s="467"/>
      <c r="AQ174" s="384" t="s">
        <v>471</v>
      </c>
      <c r="AR174" s="459">
        <f t="shared" si="898"/>
        <v>463.84100000000001</v>
      </c>
      <c r="AS174" s="459"/>
      <c r="AT174" s="460">
        <f>474.8-10.959</f>
        <v>463.84100000000001</v>
      </c>
      <c r="AU174" s="459"/>
      <c r="AV174" s="459"/>
      <c r="AW174" s="459" t="e">
        <f t="shared" si="899"/>
        <v>#REF!</v>
      </c>
      <c r="AX174" s="459" t="e">
        <f>#REF!-AS174</f>
        <v>#REF!</v>
      </c>
      <c r="AY174" s="459" t="e">
        <f>#REF!-AT174</f>
        <v>#REF!</v>
      </c>
      <c r="AZ174" s="459" t="e">
        <f>#REF!-AU174</f>
        <v>#REF!</v>
      </c>
      <c r="BA174" s="459" t="e">
        <f>#REF!-AV174</f>
        <v>#REF!</v>
      </c>
      <c r="BB174" s="459">
        <f t="shared" si="900"/>
        <v>478.4</v>
      </c>
      <c r="BC174" s="459"/>
      <c r="BD174" s="460">
        <v>478.4</v>
      </c>
      <c r="BE174" s="459"/>
      <c r="BF174" s="459"/>
      <c r="BG174" s="459">
        <f t="shared" si="901"/>
        <v>0</v>
      </c>
      <c r="BH174" s="459"/>
      <c r="BI174" s="460"/>
      <c r="BJ174" s="459"/>
      <c r="BK174" s="459"/>
      <c r="BL174" s="459">
        <f t="shared" si="902"/>
        <v>463.84100000000001</v>
      </c>
      <c r="BM174" s="459"/>
      <c r="BN174" s="460">
        <f>329.843+133.998</f>
        <v>463.84100000000001</v>
      </c>
      <c r="BO174" s="459"/>
      <c r="BP174" s="459"/>
      <c r="BQ174" s="459">
        <f t="shared" si="903"/>
        <v>463.84100000000001</v>
      </c>
      <c r="BR174" s="459"/>
      <c r="BS174" s="460">
        <f>329.843+133.998</f>
        <v>463.84100000000001</v>
      </c>
      <c r="BT174" s="459"/>
      <c r="BU174" s="459"/>
      <c r="BV174" s="459">
        <f t="shared" si="847"/>
        <v>163.89186000000001</v>
      </c>
      <c r="BW174" s="459"/>
      <c r="BX174" s="459">
        <f>116.52986+47.362</f>
        <v>163.89186000000001</v>
      </c>
      <c r="BY174" s="459"/>
      <c r="BZ174" s="459"/>
      <c r="CA174" s="464">
        <f t="shared" si="904"/>
        <v>627.73286000000007</v>
      </c>
      <c r="CB174" s="459">
        <f t="shared" si="905"/>
        <v>627.73286000000007</v>
      </c>
      <c r="CC174" s="459">
        <f t="shared" si="906"/>
        <v>0</v>
      </c>
      <c r="CD174" s="459">
        <f t="shared" si="906"/>
        <v>627.73286000000007</v>
      </c>
      <c r="CE174" s="459">
        <f t="shared" si="906"/>
        <v>0</v>
      </c>
      <c r="CF174" s="459">
        <f t="shared" si="906"/>
        <v>0</v>
      </c>
      <c r="CG174" s="459">
        <f t="shared" si="907"/>
        <v>0</v>
      </c>
      <c r="CH174" s="459">
        <f t="shared" si="908"/>
        <v>0</v>
      </c>
      <c r="CI174" s="459">
        <f t="shared" si="908"/>
        <v>0</v>
      </c>
      <c r="CJ174" s="459">
        <f t="shared" si="908"/>
        <v>0</v>
      </c>
      <c r="CK174" s="459">
        <f t="shared" si="908"/>
        <v>0</v>
      </c>
      <c r="CL174" s="465"/>
      <c r="CM174" s="466"/>
      <c r="CN174" s="466"/>
      <c r="CO174" s="459">
        <f t="shared" si="909"/>
        <v>0</v>
      </c>
      <c r="CP174" s="459"/>
      <c r="CQ174" s="460"/>
      <c r="CR174" s="459"/>
      <c r="CS174" s="459"/>
      <c r="CT174" s="459">
        <f t="shared" si="910"/>
        <v>0</v>
      </c>
      <c r="CU174" s="459"/>
      <c r="CV174" s="460"/>
      <c r="CW174" s="459"/>
      <c r="CX174" s="459"/>
      <c r="CY174" s="459">
        <f t="shared" si="911"/>
        <v>0</v>
      </c>
      <c r="CZ174" s="459">
        <f t="shared" si="912"/>
        <v>0</v>
      </c>
      <c r="DA174" s="459">
        <f t="shared" si="912"/>
        <v>0</v>
      </c>
      <c r="DB174" s="459">
        <f t="shared" si="912"/>
        <v>0</v>
      </c>
      <c r="DC174" s="459">
        <f t="shared" si="912"/>
        <v>0</v>
      </c>
      <c r="DD174" s="459"/>
      <c r="DE174" s="459"/>
      <c r="DF174" s="459"/>
      <c r="DG174" s="459">
        <f t="shared" si="913"/>
        <v>0</v>
      </c>
      <c r="DH174" s="467"/>
      <c r="DI174" s="459">
        <f t="shared" si="914"/>
        <v>463.84100000000001</v>
      </c>
      <c r="DJ174" s="459">
        <f t="shared" si="915"/>
        <v>463.84100000000001</v>
      </c>
      <c r="DK174" s="467"/>
      <c r="DL174" s="459"/>
      <c r="DM174" s="459"/>
      <c r="DN174" s="467"/>
      <c r="DO174" s="459"/>
      <c r="DP174" s="467"/>
      <c r="DQ174" s="467"/>
      <c r="DR174" s="459">
        <f t="shared" si="733"/>
        <v>463.84100000000001</v>
      </c>
      <c r="DS174" s="459"/>
      <c r="DT174" s="460">
        <f>329.843+133.998</f>
        <v>463.84100000000001</v>
      </c>
      <c r="DU174" s="459"/>
      <c r="DV174" s="459"/>
      <c r="DW174" s="459">
        <f t="shared" si="734"/>
        <v>163.89186000000001</v>
      </c>
      <c r="DX174" s="459"/>
      <c r="DY174" s="459">
        <f>116.52986+47.362</f>
        <v>163.89186000000001</v>
      </c>
      <c r="DZ174" s="459"/>
      <c r="EA174" s="146"/>
      <c r="EB174" s="279"/>
      <c r="EC174" s="279"/>
      <c r="ED174" s="279"/>
      <c r="EE174" s="366"/>
      <c r="EF174" s="366"/>
      <c r="EG174" s="279"/>
      <c r="EH174" s="279"/>
      <c r="EI174" s="279"/>
      <c r="EJ174" s="366"/>
      <c r="EK174" s="366"/>
      <c r="EL174" s="366">
        <v>5.3100000000000001E-2</v>
      </c>
      <c r="EM174" s="280"/>
      <c r="EN174" s="279"/>
      <c r="EO174" s="265" t="e">
        <f t="shared" si="918"/>
        <v>#DIV/0!</v>
      </c>
      <c r="EP174" s="323">
        <f t="shared" si="736"/>
        <v>627.73286000000007</v>
      </c>
      <c r="EQ174" s="323">
        <f t="shared" si="796"/>
        <v>463.84100000000001</v>
      </c>
      <c r="ER174" s="323">
        <v>163.89186000000001</v>
      </c>
      <c r="ES174" s="358">
        <f t="shared" si="919"/>
        <v>0.73891463958091974</v>
      </c>
      <c r="ET174" s="358">
        <f t="shared" si="920"/>
        <v>0.26108536041908015</v>
      </c>
      <c r="EU174" s="323">
        <f t="shared" si="737"/>
        <v>627.73286000000007</v>
      </c>
      <c r="EV174" s="323">
        <f t="shared" si="921"/>
        <v>463.84100000000001</v>
      </c>
      <c r="EW174" s="323">
        <f t="shared" si="922"/>
        <v>163.89186000000001</v>
      </c>
      <c r="EX174" s="358">
        <f t="shared" si="923"/>
        <v>0.73891463958091974</v>
      </c>
      <c r="EY174" s="358">
        <f t="shared" si="924"/>
        <v>0.26108536041908015</v>
      </c>
      <c r="EZ174" s="358">
        <v>0.17699999999999999</v>
      </c>
      <c r="FA174" s="323">
        <f t="shared" si="925"/>
        <v>463.84100000000001</v>
      </c>
      <c r="FB174" s="323">
        <f t="shared" si="738"/>
        <v>0</v>
      </c>
      <c r="FC174" s="279"/>
      <c r="FD174" s="279"/>
      <c r="FE174" s="279"/>
      <c r="FF174" s="366"/>
      <c r="FG174" s="366"/>
      <c r="FH174" s="279"/>
      <c r="FI174" s="279"/>
      <c r="FJ174" s="279"/>
      <c r="FK174" s="366"/>
      <c r="FL174" s="366"/>
      <c r="FM174" s="366">
        <v>0.17699999999999999</v>
      </c>
      <c r="FN174" s="280"/>
      <c r="FO174" s="279"/>
    </row>
    <row r="175" spans="2:171" s="40" customFormat="1" ht="15.6" customHeight="1" x14ac:dyDescent="0.25">
      <c r="B175" s="32"/>
      <c r="C175" s="33"/>
      <c r="D175" s="33">
        <v>1</v>
      </c>
      <c r="E175" s="434">
        <v>147</v>
      </c>
      <c r="F175" s="32"/>
      <c r="G175" s="33"/>
      <c r="H175" s="33">
        <v>1</v>
      </c>
      <c r="I175" s="434"/>
      <c r="J175" s="435"/>
      <c r="K175" s="435"/>
      <c r="L175" s="53"/>
      <c r="M175" s="434">
        <v>144</v>
      </c>
      <c r="N175" s="435" t="s">
        <v>126</v>
      </c>
      <c r="O175" s="435"/>
      <c r="P175" s="24">
        <f t="shared" si="735"/>
        <v>0</v>
      </c>
      <c r="Q175" s="435"/>
      <c r="R175" s="435"/>
      <c r="S175" s="435"/>
      <c r="T175" s="435"/>
      <c r="U175" s="161">
        <v>1</v>
      </c>
      <c r="V175" s="434">
        <v>1</v>
      </c>
      <c r="W175" s="459">
        <f t="shared" si="894"/>
        <v>6877.2100000000009</v>
      </c>
      <c r="X175" s="459"/>
      <c r="Y175" s="460">
        <v>1289.4000000000001</v>
      </c>
      <c r="Z175" s="459">
        <v>5587.81</v>
      </c>
      <c r="AA175" s="461"/>
      <c r="AB175" s="459">
        <f t="shared" si="895"/>
        <v>1248.9000000000001</v>
      </c>
      <c r="AC175" s="459"/>
      <c r="AD175" s="460">
        <v>1248.9000000000001</v>
      </c>
      <c r="AE175" s="459"/>
      <c r="AF175" s="461"/>
      <c r="AG175" s="459">
        <f t="shared" si="896"/>
        <v>1248.9000000000001</v>
      </c>
      <c r="AH175" s="459"/>
      <c r="AI175" s="460">
        <v>1248.9000000000001</v>
      </c>
      <c r="AJ175" s="459"/>
      <c r="AK175" s="461"/>
      <c r="AL175" s="459">
        <f t="shared" si="897"/>
        <v>543</v>
      </c>
      <c r="AM175" s="459"/>
      <c r="AN175" s="460">
        <v>543</v>
      </c>
      <c r="AO175" s="459"/>
      <c r="AP175" s="496"/>
      <c r="AQ175" s="384" t="s">
        <v>551</v>
      </c>
      <c r="AR175" s="459">
        <f t="shared" si="898"/>
        <v>6749.4801500000003</v>
      </c>
      <c r="AS175" s="459"/>
      <c r="AT175" s="460">
        <f>1289.4-127.72985</f>
        <v>1161.6701500000001</v>
      </c>
      <c r="AU175" s="459">
        <v>5587.81</v>
      </c>
      <c r="AV175" s="461"/>
      <c r="AW175" s="459" t="e">
        <f t="shared" si="899"/>
        <v>#REF!</v>
      </c>
      <c r="AX175" s="459" t="e">
        <f>#REF!-AS175</f>
        <v>#REF!</v>
      </c>
      <c r="AY175" s="459" t="e">
        <f>#REF!-AT175</f>
        <v>#REF!</v>
      </c>
      <c r="AZ175" s="459" t="e">
        <f>#REF!-AU175</f>
        <v>#REF!</v>
      </c>
      <c r="BA175" s="459" t="e">
        <f>#REF!-AV175</f>
        <v>#REF!</v>
      </c>
      <c r="BB175" s="459">
        <f t="shared" si="900"/>
        <v>1248.9000000000001</v>
      </c>
      <c r="BC175" s="459"/>
      <c r="BD175" s="460">
        <f>543+705.9</f>
        <v>1248.9000000000001</v>
      </c>
      <c r="BE175" s="459"/>
      <c r="BF175" s="459"/>
      <c r="BG175" s="459">
        <f t="shared" si="901"/>
        <v>0</v>
      </c>
      <c r="BH175" s="459"/>
      <c r="BI175" s="461"/>
      <c r="BJ175" s="459"/>
      <c r="BK175" s="461"/>
      <c r="BL175" s="459">
        <f t="shared" si="902"/>
        <v>6749.4801500000003</v>
      </c>
      <c r="BM175" s="459"/>
      <c r="BN175" s="460">
        <v>1161.6701499999999</v>
      </c>
      <c r="BO175" s="459">
        <v>5587.81</v>
      </c>
      <c r="BP175" s="470"/>
      <c r="BQ175" s="459">
        <f t="shared" si="903"/>
        <v>6749.4801500000003</v>
      </c>
      <c r="BR175" s="459"/>
      <c r="BS175" s="460">
        <v>1161.6701499999999</v>
      </c>
      <c r="BT175" s="459">
        <v>5587.81</v>
      </c>
      <c r="BU175" s="470"/>
      <c r="BV175" s="459">
        <f t="shared" si="847"/>
        <v>1256.0098499999999</v>
      </c>
      <c r="BW175" s="459"/>
      <c r="BX175" s="459">
        <v>408.40985000000001</v>
      </c>
      <c r="BY175" s="459">
        <v>847.6</v>
      </c>
      <c r="BZ175" s="459"/>
      <c r="CA175" s="464">
        <f t="shared" si="904"/>
        <v>8005.4900000000007</v>
      </c>
      <c r="CB175" s="459">
        <f t="shared" si="905"/>
        <v>8005.4900000000007</v>
      </c>
      <c r="CC175" s="459">
        <f t="shared" si="906"/>
        <v>0</v>
      </c>
      <c r="CD175" s="459">
        <f t="shared" si="906"/>
        <v>1570.08</v>
      </c>
      <c r="CE175" s="459">
        <f t="shared" si="906"/>
        <v>6435.4100000000008</v>
      </c>
      <c r="CF175" s="459">
        <f t="shared" si="906"/>
        <v>0</v>
      </c>
      <c r="CG175" s="459">
        <f t="shared" si="907"/>
        <v>0</v>
      </c>
      <c r="CH175" s="459">
        <f t="shared" si="908"/>
        <v>0</v>
      </c>
      <c r="CI175" s="459">
        <f t="shared" si="908"/>
        <v>0</v>
      </c>
      <c r="CJ175" s="459">
        <f t="shared" si="908"/>
        <v>0</v>
      </c>
      <c r="CK175" s="459">
        <f t="shared" si="908"/>
        <v>0</v>
      </c>
      <c r="CL175" s="465"/>
      <c r="CM175" s="466"/>
      <c r="CN175" s="466"/>
      <c r="CO175" s="459">
        <f t="shared" si="909"/>
        <v>0</v>
      </c>
      <c r="CP175" s="459"/>
      <c r="CQ175" s="461"/>
      <c r="CR175" s="459"/>
      <c r="CS175" s="461"/>
      <c r="CT175" s="459">
        <f t="shared" si="910"/>
        <v>0</v>
      </c>
      <c r="CU175" s="459"/>
      <c r="CV175" s="461"/>
      <c r="CW175" s="459"/>
      <c r="CX175" s="461"/>
      <c r="CY175" s="459">
        <f t="shared" si="911"/>
        <v>0</v>
      </c>
      <c r="CZ175" s="459">
        <f t="shared" si="912"/>
        <v>0</v>
      </c>
      <c r="DA175" s="459">
        <f t="shared" si="912"/>
        <v>0</v>
      </c>
      <c r="DB175" s="459">
        <f t="shared" si="912"/>
        <v>0</v>
      </c>
      <c r="DC175" s="459">
        <f t="shared" si="912"/>
        <v>0</v>
      </c>
      <c r="DD175" s="459"/>
      <c r="DE175" s="459"/>
      <c r="DF175" s="459"/>
      <c r="DG175" s="459">
        <f t="shared" si="913"/>
        <v>0</v>
      </c>
      <c r="DH175" s="467"/>
      <c r="DI175" s="459">
        <f t="shared" si="914"/>
        <v>6749.4801500000003</v>
      </c>
      <c r="DJ175" s="459">
        <f t="shared" si="915"/>
        <v>6749.4801500000003</v>
      </c>
      <c r="DK175" s="467"/>
      <c r="DL175" s="459"/>
      <c r="DM175" s="459"/>
      <c r="DN175" s="467"/>
      <c r="DO175" s="459"/>
      <c r="DP175" s="467"/>
      <c r="DQ175" s="467"/>
      <c r="DR175" s="459">
        <f t="shared" si="733"/>
        <v>6749.4801500000003</v>
      </c>
      <c r="DS175" s="459"/>
      <c r="DT175" s="460">
        <v>1161.6701499999999</v>
      </c>
      <c r="DU175" s="459">
        <v>5587.81</v>
      </c>
      <c r="DV175" s="470"/>
      <c r="DW175" s="459">
        <f t="shared" si="734"/>
        <v>1256.0098499999999</v>
      </c>
      <c r="DX175" s="459"/>
      <c r="DY175" s="459">
        <v>408.40985000000001</v>
      </c>
      <c r="DZ175" s="459">
        <v>847.6</v>
      </c>
      <c r="EA175" s="146"/>
      <c r="EB175" s="279"/>
      <c r="EC175" s="279"/>
      <c r="ED175" s="279"/>
      <c r="EE175" s="366"/>
      <c r="EF175" s="366"/>
      <c r="EG175" s="279"/>
      <c r="EH175" s="279"/>
      <c r="EI175" s="279"/>
      <c r="EJ175" s="366"/>
      <c r="EK175" s="366"/>
      <c r="EL175" s="366">
        <v>3.1399999999999997E-2</v>
      </c>
      <c r="EM175" s="280"/>
      <c r="EN175" s="279"/>
      <c r="EO175" s="265" t="e">
        <f t="shared" si="918"/>
        <v>#DIV/0!</v>
      </c>
      <c r="EP175" s="323">
        <f t="shared" si="736"/>
        <v>1570.0800000000002</v>
      </c>
      <c r="EQ175" s="323">
        <f t="shared" si="796"/>
        <v>1161.6701500000001</v>
      </c>
      <c r="ER175" s="323">
        <v>408.40985000000001</v>
      </c>
      <c r="ES175" s="358">
        <f t="shared" si="919"/>
        <v>0.73987959212269439</v>
      </c>
      <c r="ET175" s="358">
        <f t="shared" si="920"/>
        <v>0.26012040787730561</v>
      </c>
      <c r="EU175" s="323">
        <f t="shared" si="737"/>
        <v>1570.08</v>
      </c>
      <c r="EV175" s="323">
        <f t="shared" si="921"/>
        <v>1161.6701499999999</v>
      </c>
      <c r="EW175" s="323">
        <f t="shared" si="922"/>
        <v>408.40985000000001</v>
      </c>
      <c r="EX175" s="358">
        <f t="shared" si="923"/>
        <v>0.73987959212269439</v>
      </c>
      <c r="EY175" s="358">
        <f t="shared" si="924"/>
        <v>0.26012040787730561</v>
      </c>
      <c r="EZ175" s="358">
        <v>0.1046</v>
      </c>
      <c r="FA175" s="323">
        <f t="shared" si="925"/>
        <v>1161.6701499999999</v>
      </c>
      <c r="FB175" s="323">
        <f t="shared" si="738"/>
        <v>0</v>
      </c>
      <c r="FC175" s="279">
        <f t="shared" ref="FC175" si="960">FD175+FE175</f>
        <v>6435.4100000000008</v>
      </c>
      <c r="FD175" s="279">
        <f t="shared" ref="FD175" si="961">AU175</f>
        <v>5587.81</v>
      </c>
      <c r="FE175" s="279">
        <v>847.6</v>
      </c>
      <c r="FF175" s="366">
        <f t="shared" ref="FF175" si="962">FD175/FC175</f>
        <v>0.86829121998442982</v>
      </c>
      <c r="FG175" s="366">
        <f t="shared" ref="FG175" si="963">FE175/FC175</f>
        <v>0.1317087800155701</v>
      </c>
      <c r="FH175" s="279">
        <f t="shared" ref="FH175" si="964">FI175+FJ175</f>
        <v>6435.4100000000008</v>
      </c>
      <c r="FI175" s="279">
        <f t="shared" ref="FI175" si="965">DU175</f>
        <v>5587.81</v>
      </c>
      <c r="FJ175" s="279">
        <f t="shared" ref="FJ175" si="966">DZ175</f>
        <v>847.6</v>
      </c>
      <c r="FK175" s="366">
        <f t="shared" ref="FK175" si="967">FI175/FH175</f>
        <v>0.86829121998442982</v>
      </c>
      <c r="FL175" s="366">
        <f t="shared" ref="FL175" si="968">FJ175/FH175</f>
        <v>0.1317087800155701</v>
      </c>
      <c r="FM175" s="366">
        <v>0.1046</v>
      </c>
      <c r="FN175" s="280">
        <f t="shared" ref="FN175" si="969">FH175*FF175</f>
        <v>5587.81</v>
      </c>
      <c r="FO175" s="279">
        <f t="shared" ref="FO175" si="970">FI175-FN175</f>
        <v>0</v>
      </c>
    </row>
    <row r="176" spans="2:171" s="40" customFormat="1" ht="16.149999999999999" customHeight="1" x14ac:dyDescent="0.25">
      <c r="B176" s="32"/>
      <c r="C176" s="33"/>
      <c r="D176" s="33">
        <v>1</v>
      </c>
      <c r="E176" s="434">
        <v>148</v>
      </c>
      <c r="F176" s="32"/>
      <c r="G176" s="33"/>
      <c r="H176" s="33">
        <v>1</v>
      </c>
      <c r="I176" s="657" t="s">
        <v>273</v>
      </c>
      <c r="J176" s="658"/>
      <c r="K176" s="658"/>
      <c r="L176" s="658"/>
      <c r="M176" s="434">
        <v>145</v>
      </c>
      <c r="N176" s="435" t="s">
        <v>127</v>
      </c>
      <c r="O176" s="435"/>
      <c r="P176" s="24">
        <f t="shared" si="735"/>
        <v>0</v>
      </c>
      <c r="Q176" s="435"/>
      <c r="R176" s="435"/>
      <c r="S176" s="435" t="s">
        <v>490</v>
      </c>
      <c r="T176" s="435" t="s">
        <v>488</v>
      </c>
      <c r="U176" s="161">
        <v>1</v>
      </c>
      <c r="V176" s="434">
        <v>1</v>
      </c>
      <c r="W176" s="459">
        <f t="shared" si="894"/>
        <v>302.89999999999998</v>
      </c>
      <c r="X176" s="459"/>
      <c r="Y176" s="460">
        <v>302.89999999999998</v>
      </c>
      <c r="Z176" s="459"/>
      <c r="AA176" s="461"/>
      <c r="AB176" s="459">
        <f t="shared" si="895"/>
        <v>305.89999999999998</v>
      </c>
      <c r="AC176" s="459"/>
      <c r="AD176" s="460">
        <v>305.89999999999998</v>
      </c>
      <c r="AE176" s="459"/>
      <c r="AF176" s="461"/>
      <c r="AG176" s="459">
        <f t="shared" si="896"/>
        <v>305.89999999999998</v>
      </c>
      <c r="AH176" s="459"/>
      <c r="AI176" s="460">
        <v>305.89999999999998</v>
      </c>
      <c r="AJ176" s="459"/>
      <c r="AK176" s="461"/>
      <c r="AL176" s="459">
        <f t="shared" si="897"/>
        <v>133</v>
      </c>
      <c r="AM176" s="459"/>
      <c r="AN176" s="460">
        <v>133</v>
      </c>
      <c r="AO176" s="459"/>
      <c r="AP176" s="496"/>
      <c r="AQ176" s="384" t="s">
        <v>443</v>
      </c>
      <c r="AR176" s="459">
        <f t="shared" si="898"/>
        <v>302.89999999999998</v>
      </c>
      <c r="AS176" s="459"/>
      <c r="AT176" s="460">
        <v>302.89999999999998</v>
      </c>
      <c r="AU176" s="459"/>
      <c r="AV176" s="461"/>
      <c r="AW176" s="459" t="e">
        <f t="shared" si="899"/>
        <v>#REF!</v>
      </c>
      <c r="AX176" s="459" t="e">
        <f>#REF!-AS176</f>
        <v>#REF!</v>
      </c>
      <c r="AY176" s="459" t="e">
        <f>#REF!-AT176</f>
        <v>#REF!</v>
      </c>
      <c r="AZ176" s="459" t="e">
        <f>#REF!-AU176</f>
        <v>#REF!</v>
      </c>
      <c r="BA176" s="459" t="e">
        <f>#REF!-AV176</f>
        <v>#REF!</v>
      </c>
      <c r="BB176" s="459">
        <f t="shared" si="900"/>
        <v>305.89999999999998</v>
      </c>
      <c r="BC176" s="459"/>
      <c r="BD176" s="460">
        <f>133+172.9</f>
        <v>305.89999999999998</v>
      </c>
      <c r="BE176" s="459"/>
      <c r="BF176" s="461"/>
      <c r="BG176" s="459">
        <f t="shared" si="901"/>
        <v>0</v>
      </c>
      <c r="BH176" s="459"/>
      <c r="BI176" s="460"/>
      <c r="BJ176" s="459"/>
      <c r="BK176" s="461"/>
      <c r="BL176" s="459">
        <f t="shared" si="902"/>
        <v>302.89999999999998</v>
      </c>
      <c r="BM176" s="459"/>
      <c r="BN176" s="460">
        <v>302.89999999999998</v>
      </c>
      <c r="BO176" s="459"/>
      <c r="BP176" s="470"/>
      <c r="BQ176" s="459">
        <f t="shared" si="903"/>
        <v>302.89999999999998</v>
      </c>
      <c r="BR176" s="459"/>
      <c r="BS176" s="470">
        <v>302.89999999999998</v>
      </c>
      <c r="BT176" s="459"/>
      <c r="BU176" s="470"/>
      <c r="BV176" s="459">
        <f t="shared" si="847"/>
        <v>147.83520999999999</v>
      </c>
      <c r="BW176" s="459"/>
      <c r="BX176" s="459">
        <v>147.83520999999999</v>
      </c>
      <c r="BY176" s="459"/>
      <c r="BZ176" s="459"/>
      <c r="CA176" s="464">
        <f t="shared" si="904"/>
        <v>450.73520999999994</v>
      </c>
      <c r="CB176" s="459">
        <f t="shared" si="905"/>
        <v>450.73520999999994</v>
      </c>
      <c r="CC176" s="459">
        <f t="shared" si="906"/>
        <v>0</v>
      </c>
      <c r="CD176" s="459">
        <f t="shared" si="906"/>
        <v>450.73520999999994</v>
      </c>
      <c r="CE176" s="459">
        <f t="shared" si="906"/>
        <v>0</v>
      </c>
      <c r="CF176" s="459">
        <f t="shared" si="906"/>
        <v>0</v>
      </c>
      <c r="CG176" s="459">
        <f t="shared" si="907"/>
        <v>0</v>
      </c>
      <c r="CH176" s="459">
        <f t="shared" si="908"/>
        <v>0</v>
      </c>
      <c r="CI176" s="459">
        <f t="shared" si="908"/>
        <v>0</v>
      </c>
      <c r="CJ176" s="459">
        <f t="shared" si="908"/>
        <v>0</v>
      </c>
      <c r="CK176" s="459">
        <f t="shared" si="908"/>
        <v>0</v>
      </c>
      <c r="CL176" s="465"/>
      <c r="CM176" s="466"/>
      <c r="CN176" s="466"/>
      <c r="CO176" s="459">
        <f t="shared" si="909"/>
        <v>0</v>
      </c>
      <c r="CP176" s="459"/>
      <c r="CQ176" s="460"/>
      <c r="CR176" s="459"/>
      <c r="CS176" s="461"/>
      <c r="CT176" s="459">
        <f t="shared" si="910"/>
        <v>0</v>
      </c>
      <c r="CU176" s="459"/>
      <c r="CV176" s="460"/>
      <c r="CW176" s="459"/>
      <c r="CX176" s="461"/>
      <c r="CY176" s="459">
        <f t="shared" si="911"/>
        <v>0</v>
      </c>
      <c r="CZ176" s="459">
        <f t="shared" si="912"/>
        <v>0</v>
      </c>
      <c r="DA176" s="459">
        <f t="shared" si="912"/>
        <v>0</v>
      </c>
      <c r="DB176" s="459">
        <f t="shared" si="912"/>
        <v>0</v>
      </c>
      <c r="DC176" s="459">
        <f t="shared" si="912"/>
        <v>0</v>
      </c>
      <c r="DD176" s="459"/>
      <c r="DE176" s="459"/>
      <c r="DF176" s="459"/>
      <c r="DG176" s="459">
        <f t="shared" si="913"/>
        <v>0</v>
      </c>
      <c r="DH176" s="467"/>
      <c r="DI176" s="459">
        <f t="shared" si="914"/>
        <v>302.89999999999998</v>
      </c>
      <c r="DJ176" s="459">
        <f t="shared" si="915"/>
        <v>302.89999999999998</v>
      </c>
      <c r="DK176" s="467"/>
      <c r="DL176" s="459"/>
      <c r="DM176" s="459"/>
      <c r="DN176" s="467"/>
      <c r="DO176" s="459"/>
      <c r="DP176" s="467"/>
      <c r="DQ176" s="467"/>
      <c r="DR176" s="459">
        <f t="shared" si="733"/>
        <v>302.89999999999998</v>
      </c>
      <c r="DS176" s="459"/>
      <c r="DT176" s="470">
        <v>302.89999999999998</v>
      </c>
      <c r="DU176" s="459"/>
      <c r="DV176" s="470"/>
      <c r="DW176" s="459">
        <f t="shared" si="734"/>
        <v>147.83520999999999</v>
      </c>
      <c r="DX176" s="459"/>
      <c r="DY176" s="459">
        <v>147.83520999999999</v>
      </c>
      <c r="DZ176" s="459"/>
      <c r="EA176" s="146"/>
      <c r="EB176" s="279"/>
      <c r="EC176" s="279"/>
      <c r="ED176" s="279"/>
      <c r="EE176" s="366"/>
      <c r="EF176" s="366"/>
      <c r="EG176" s="279"/>
      <c r="EH176" s="279"/>
      <c r="EI176" s="279"/>
      <c r="EJ176" s="366"/>
      <c r="EK176" s="366"/>
      <c r="EL176" s="366">
        <v>2.3699999999999999E-2</v>
      </c>
      <c r="EM176" s="280"/>
      <c r="EN176" s="279"/>
      <c r="EO176" s="265" t="e">
        <f t="shared" si="918"/>
        <v>#DIV/0!</v>
      </c>
      <c r="EP176" s="323">
        <f t="shared" ref="EP176" si="971">EQ176+ER176</f>
        <v>450.73520999999994</v>
      </c>
      <c r="EQ176" s="323">
        <f t="shared" ref="EQ176" si="972">AT176</f>
        <v>302.89999999999998</v>
      </c>
      <c r="ER176" s="323">
        <v>147.83520999999999</v>
      </c>
      <c r="ES176" s="358">
        <f t="shared" ref="ES176" si="973">EQ176/EP176</f>
        <v>0.67201317598418819</v>
      </c>
      <c r="ET176" s="358">
        <f t="shared" ref="ET176" si="974">ER176/EP176</f>
        <v>0.32798682401581186</v>
      </c>
      <c r="EU176" s="323">
        <f t="shared" ref="EU176" si="975">EV176+EW176</f>
        <v>450.73520999999994</v>
      </c>
      <c r="EV176" s="323">
        <f t="shared" ref="EV176" si="976">DT176</f>
        <v>302.89999999999998</v>
      </c>
      <c r="EW176" s="323">
        <f t="shared" ref="EW176" si="977">DY176</f>
        <v>147.83520999999999</v>
      </c>
      <c r="EX176" s="358">
        <f t="shared" ref="EX176" si="978">EV176/EU176</f>
        <v>0.67201317598418819</v>
      </c>
      <c r="EY176" s="358">
        <f t="shared" ref="EY176" si="979">EW176/EU176</f>
        <v>0.32798682401581186</v>
      </c>
      <c r="EZ176" s="358">
        <v>7.8899999999999998E-2</v>
      </c>
      <c r="FA176" s="323">
        <f t="shared" ref="FA176" si="980">EU176*ES176</f>
        <v>302.89999999999998</v>
      </c>
      <c r="FB176" s="323">
        <f t="shared" si="738"/>
        <v>0</v>
      </c>
      <c r="FC176" s="279"/>
      <c r="FD176" s="279"/>
      <c r="FE176" s="279"/>
      <c r="FF176" s="366"/>
      <c r="FG176" s="366"/>
      <c r="FH176" s="279"/>
      <c r="FI176" s="279"/>
      <c r="FJ176" s="279"/>
      <c r="FK176" s="366"/>
      <c r="FL176" s="366"/>
      <c r="FM176" s="366">
        <v>7.8899999999999998E-2</v>
      </c>
      <c r="FN176" s="280"/>
      <c r="FO176" s="279"/>
    </row>
    <row r="177" spans="2:171" s="119" customFormat="1" ht="15.75" customHeight="1" x14ac:dyDescent="0.25">
      <c r="B177" s="113"/>
      <c r="C177" s="114"/>
      <c r="D177" s="114"/>
      <c r="E177" s="115"/>
      <c r="F177" s="113"/>
      <c r="G177" s="114"/>
      <c r="H177" s="114"/>
      <c r="I177" s="115">
        <v>10</v>
      </c>
      <c r="J177" s="116" t="s">
        <v>267</v>
      </c>
      <c r="K177" s="121" t="s">
        <v>274</v>
      </c>
      <c r="L177" s="117">
        <f>5000</f>
        <v>5000</v>
      </c>
      <c r="M177" s="115"/>
      <c r="N177" s="118" t="s">
        <v>22</v>
      </c>
      <c r="O177" s="118"/>
      <c r="P177" s="68">
        <f t="shared" si="735"/>
        <v>0</v>
      </c>
      <c r="Q177" s="118"/>
      <c r="R177" s="118"/>
      <c r="S177" s="118"/>
      <c r="T177" s="118"/>
      <c r="U177" s="163">
        <f>U178+U179+U180+U181+U182+U183+U184+U185+U186+U187+U188+U189+U190+U191+U192+U193+U194</f>
        <v>14</v>
      </c>
      <c r="V177" s="163">
        <f>V178+V179+V180+V181+V182+V183+V184+V185+V186+V187+V188+V189+V190+V191+V192+V193+V194</f>
        <v>12</v>
      </c>
      <c r="W177" s="452">
        <f t="shared" ref="W177:AA177" si="981">SUM(W178:W194)-W179</f>
        <v>96505.811000000002</v>
      </c>
      <c r="X177" s="452">
        <f t="shared" si="981"/>
        <v>0</v>
      </c>
      <c r="Y177" s="452">
        <f t="shared" si="981"/>
        <v>20137.3</v>
      </c>
      <c r="Z177" s="452">
        <f t="shared" si="981"/>
        <v>76368.510999999999</v>
      </c>
      <c r="AA177" s="452">
        <f t="shared" si="981"/>
        <v>0</v>
      </c>
      <c r="AB177" s="452">
        <f t="shared" ref="AB177:AF177" si="982">SUM(AB178:AB194)-AB179</f>
        <v>38359.001999999993</v>
      </c>
      <c r="AC177" s="452">
        <f t="shared" si="982"/>
        <v>0</v>
      </c>
      <c r="AD177" s="452">
        <f t="shared" si="982"/>
        <v>21307.200000000001</v>
      </c>
      <c r="AE177" s="452">
        <f t="shared" si="982"/>
        <v>17051.802</v>
      </c>
      <c r="AF177" s="452">
        <f t="shared" si="982"/>
        <v>0</v>
      </c>
      <c r="AG177" s="452">
        <f t="shared" ref="AG177:AK177" si="983">SUM(AG178:AG194)-AG179</f>
        <v>24717.424999999996</v>
      </c>
      <c r="AH177" s="452">
        <f t="shared" si="983"/>
        <v>0</v>
      </c>
      <c r="AI177" s="452">
        <f t="shared" si="983"/>
        <v>21307.200000000001</v>
      </c>
      <c r="AJ177" s="452">
        <f t="shared" si="983"/>
        <v>3410.2249999999999</v>
      </c>
      <c r="AK177" s="452">
        <f t="shared" si="983"/>
        <v>0</v>
      </c>
      <c r="AL177" s="454">
        <f t="shared" ref="AL177:AP177" si="984">SUM(AL178:AL194)-AL179</f>
        <v>12674.225</v>
      </c>
      <c r="AM177" s="452">
        <f t="shared" si="984"/>
        <v>0</v>
      </c>
      <c r="AN177" s="452">
        <f t="shared" si="984"/>
        <v>9264</v>
      </c>
      <c r="AO177" s="452">
        <f t="shared" si="984"/>
        <v>3410.2249999999999</v>
      </c>
      <c r="AP177" s="452">
        <f t="shared" si="984"/>
        <v>0</v>
      </c>
      <c r="AQ177" s="453"/>
      <c r="AR177" s="452">
        <f t="shared" ref="AR177:AU177" si="985">SUM(AR178:AR194)-AR179</f>
        <v>96203.792630000011</v>
      </c>
      <c r="AS177" s="452">
        <f t="shared" si="985"/>
        <v>0</v>
      </c>
      <c r="AT177" s="452">
        <f t="shared" si="985"/>
        <v>19835.281629999998</v>
      </c>
      <c r="AU177" s="452">
        <f t="shared" si="985"/>
        <v>76368.510999999999</v>
      </c>
      <c r="AV177" s="452">
        <f>SUM(AV178:AV194)-AV179</f>
        <v>0</v>
      </c>
      <c r="AW177" s="452" t="e">
        <f t="shared" ref="AW177:BF177" si="986">SUM(AW178:AW194)-AW179</f>
        <v>#REF!</v>
      </c>
      <c r="AX177" s="452" t="e">
        <f t="shared" si="986"/>
        <v>#REF!</v>
      </c>
      <c r="AY177" s="452" t="e">
        <f t="shared" si="986"/>
        <v>#REF!</v>
      </c>
      <c r="AZ177" s="452" t="e">
        <f t="shared" si="986"/>
        <v>#REF!</v>
      </c>
      <c r="BA177" s="452" t="e">
        <f t="shared" si="986"/>
        <v>#REF!</v>
      </c>
      <c r="BB177" s="452">
        <f t="shared" si="986"/>
        <v>39112.436999999991</v>
      </c>
      <c r="BC177" s="452">
        <f t="shared" si="986"/>
        <v>0</v>
      </c>
      <c r="BD177" s="452">
        <f t="shared" si="986"/>
        <v>21307.200000000001</v>
      </c>
      <c r="BE177" s="452">
        <f t="shared" si="986"/>
        <v>17805.236999999997</v>
      </c>
      <c r="BF177" s="452">
        <f t="shared" si="986"/>
        <v>0</v>
      </c>
      <c r="BG177" s="452">
        <f t="shared" ref="BG177:CK177" si="987">SUM(BG178:BG194)-BG179</f>
        <v>0</v>
      </c>
      <c r="BH177" s="452">
        <f t="shared" si="987"/>
        <v>0</v>
      </c>
      <c r="BI177" s="452">
        <f t="shared" si="987"/>
        <v>0</v>
      </c>
      <c r="BJ177" s="452">
        <f t="shared" si="987"/>
        <v>0</v>
      </c>
      <c r="BK177" s="452">
        <f t="shared" si="987"/>
        <v>0</v>
      </c>
      <c r="BL177" s="452">
        <f t="shared" si="987"/>
        <v>96203.792630000011</v>
      </c>
      <c r="BM177" s="452">
        <f t="shared" si="987"/>
        <v>0</v>
      </c>
      <c r="BN177" s="452">
        <f t="shared" si="987"/>
        <v>19835.281629999998</v>
      </c>
      <c r="BO177" s="452">
        <f t="shared" si="987"/>
        <v>76368.510999999999</v>
      </c>
      <c r="BP177" s="452">
        <f t="shared" si="987"/>
        <v>0</v>
      </c>
      <c r="BQ177" s="452">
        <f t="shared" si="987"/>
        <v>96203.792630000011</v>
      </c>
      <c r="BR177" s="452">
        <f t="shared" si="987"/>
        <v>0</v>
      </c>
      <c r="BS177" s="452">
        <f t="shared" si="987"/>
        <v>19835.281629999998</v>
      </c>
      <c r="BT177" s="452">
        <f t="shared" si="987"/>
        <v>76368.510999999999</v>
      </c>
      <c r="BU177" s="452">
        <f t="shared" si="987"/>
        <v>0</v>
      </c>
      <c r="BV177" s="454">
        <f t="shared" si="987"/>
        <v>15708.639669999999</v>
      </c>
      <c r="BW177" s="452">
        <f t="shared" si="987"/>
        <v>0</v>
      </c>
      <c r="BX177" s="452">
        <f t="shared" si="987"/>
        <v>5868.4886700000006</v>
      </c>
      <c r="BY177" s="452">
        <f t="shared" si="987"/>
        <v>9840.1509999999998</v>
      </c>
      <c r="BZ177" s="452">
        <f t="shared" si="987"/>
        <v>0</v>
      </c>
      <c r="CA177" s="452">
        <f t="shared" si="987"/>
        <v>111912.4323</v>
      </c>
      <c r="CB177" s="452">
        <f t="shared" si="987"/>
        <v>111912.4323</v>
      </c>
      <c r="CC177" s="452">
        <f t="shared" si="987"/>
        <v>0</v>
      </c>
      <c r="CD177" s="452">
        <f t="shared" si="987"/>
        <v>25703.770299999996</v>
      </c>
      <c r="CE177" s="452">
        <f t="shared" si="987"/>
        <v>86208.661999999997</v>
      </c>
      <c r="CF177" s="452">
        <f t="shared" si="987"/>
        <v>0</v>
      </c>
      <c r="CG177" s="452">
        <f t="shared" si="987"/>
        <v>0</v>
      </c>
      <c r="CH177" s="452">
        <f t="shared" si="987"/>
        <v>0</v>
      </c>
      <c r="CI177" s="452">
        <f t="shared" si="987"/>
        <v>0</v>
      </c>
      <c r="CJ177" s="452">
        <f t="shared" si="987"/>
        <v>0</v>
      </c>
      <c r="CK177" s="452">
        <f t="shared" si="987"/>
        <v>0</v>
      </c>
      <c r="CL177" s="455">
        <f>CM177+CO177-BG177</f>
        <v>36640.393629999999</v>
      </c>
      <c r="CM177" s="456">
        <f t="shared" ref="CM177:DG177" si="988">SUM(CM178:CM194)-CM179</f>
        <v>36640.393629999999</v>
      </c>
      <c r="CN177" s="456">
        <f t="shared" si="988"/>
        <v>36640.393629999999</v>
      </c>
      <c r="CO177" s="452">
        <f t="shared" si="988"/>
        <v>0</v>
      </c>
      <c r="CP177" s="452">
        <f t="shared" si="988"/>
        <v>0</v>
      </c>
      <c r="CQ177" s="452">
        <f t="shared" si="988"/>
        <v>0</v>
      </c>
      <c r="CR177" s="452">
        <f t="shared" si="988"/>
        <v>0</v>
      </c>
      <c r="CS177" s="452">
        <f t="shared" si="988"/>
        <v>0</v>
      </c>
      <c r="CT177" s="452">
        <f t="shared" si="988"/>
        <v>0</v>
      </c>
      <c r="CU177" s="452">
        <f t="shared" si="988"/>
        <v>0</v>
      </c>
      <c r="CV177" s="452">
        <f t="shared" si="988"/>
        <v>0</v>
      </c>
      <c r="CW177" s="452">
        <f t="shared" si="988"/>
        <v>0</v>
      </c>
      <c r="CX177" s="452">
        <f t="shared" si="988"/>
        <v>0</v>
      </c>
      <c r="CY177" s="452">
        <f t="shared" si="988"/>
        <v>0</v>
      </c>
      <c r="CZ177" s="452">
        <f t="shared" si="988"/>
        <v>0</v>
      </c>
      <c r="DA177" s="452">
        <f t="shared" si="988"/>
        <v>0</v>
      </c>
      <c r="DB177" s="452">
        <f t="shared" si="988"/>
        <v>0</v>
      </c>
      <c r="DC177" s="452">
        <f t="shared" si="988"/>
        <v>0</v>
      </c>
      <c r="DD177" s="452">
        <f t="shared" si="988"/>
        <v>0</v>
      </c>
      <c r="DE177" s="452">
        <f t="shared" si="988"/>
        <v>0</v>
      </c>
      <c r="DF177" s="452">
        <f t="shared" si="988"/>
        <v>0</v>
      </c>
      <c r="DG177" s="452">
        <f t="shared" si="988"/>
        <v>0</v>
      </c>
      <c r="DH177" s="457"/>
      <c r="DI177" s="452">
        <f>SUM(DI178:DI194)-DI179</f>
        <v>96203.792630000011</v>
      </c>
      <c r="DJ177" s="452">
        <f>SUM(DJ178:DJ194)-DJ179</f>
        <v>96203.792630000011</v>
      </c>
      <c r="DK177" s="457"/>
      <c r="DL177" s="452">
        <f>SUM(DL178:DL194)-DL179</f>
        <v>96203.792629999996</v>
      </c>
      <c r="DM177" s="452">
        <f>SUM(DM178:DM194)-DM179</f>
        <v>0</v>
      </c>
      <c r="DN177" s="457"/>
      <c r="DO177" s="452">
        <f>SUM(DO178:DO194)-DO179</f>
        <v>-59563.398999999998</v>
      </c>
      <c r="DP177" s="457">
        <f>DG177-DO177</f>
        <v>59563.398999999998</v>
      </c>
      <c r="DQ177" s="457"/>
      <c r="DR177" s="452">
        <f t="shared" si="733"/>
        <v>96203.792629999996</v>
      </c>
      <c r="DS177" s="452">
        <f t="shared" ref="DS177:DU177" si="989">SUM(DS178:DS194)-DS179</f>
        <v>0</v>
      </c>
      <c r="DT177" s="452">
        <f t="shared" si="989"/>
        <v>19835.281629999998</v>
      </c>
      <c r="DU177" s="452">
        <f t="shared" si="989"/>
        <v>76368.510999999999</v>
      </c>
      <c r="DV177" s="452">
        <f t="shared" ref="DV177" si="990">SUM(DV178:DV194)-DV179</f>
        <v>0</v>
      </c>
      <c r="DW177" s="452">
        <f t="shared" si="734"/>
        <v>15708.63967</v>
      </c>
      <c r="DX177" s="452">
        <f t="shared" ref="DX177:DZ177" si="991">SUM(DX178:DX194)-DX179</f>
        <v>0</v>
      </c>
      <c r="DY177" s="452">
        <f t="shared" si="991"/>
        <v>5868.4886700000006</v>
      </c>
      <c r="DZ177" s="452">
        <f t="shared" si="991"/>
        <v>9840.1509999999998</v>
      </c>
      <c r="EA177" s="145">
        <f t="shared" ref="EA177" si="992">SUM(EA178:EA194)-EA179</f>
        <v>0</v>
      </c>
      <c r="EB177" s="57">
        <f t="shared" si="887"/>
        <v>0</v>
      </c>
      <c r="EC177" s="57">
        <f t="shared" si="752"/>
        <v>0</v>
      </c>
      <c r="ED177" s="57">
        <f t="shared" ref="ED177" si="993">SUM(ED178:ED194)-ED179</f>
        <v>0</v>
      </c>
      <c r="EE177" s="360"/>
      <c r="EF177" s="360"/>
      <c r="EG177" s="57">
        <f t="shared" si="754"/>
        <v>0</v>
      </c>
      <c r="EH177" s="57">
        <f>SUM(EH178:EH194)</f>
        <v>0</v>
      </c>
      <c r="EI177" s="57">
        <f>SUM(EI178:EI194)</f>
        <v>0</v>
      </c>
      <c r="EJ177" s="360"/>
      <c r="EK177" s="360"/>
      <c r="EL177" s="360"/>
      <c r="EM177" s="273">
        <f t="shared" ref="EM177" si="994">SUM(EM178:EM194)</f>
        <v>0</v>
      </c>
      <c r="EN177" s="57">
        <f t="shared" si="756"/>
        <v>0</v>
      </c>
      <c r="EO177" s="264"/>
      <c r="EP177" s="57">
        <f t="shared" si="736"/>
        <v>25703.770299999996</v>
      </c>
      <c r="EQ177" s="57">
        <f t="shared" si="796"/>
        <v>19835.281629999998</v>
      </c>
      <c r="ER177" s="57">
        <f t="shared" ref="ER177" si="995">SUM(ER178:ER194)-ER179</f>
        <v>5868.4886700000006</v>
      </c>
      <c r="ES177" s="360"/>
      <c r="ET177" s="360"/>
      <c r="EU177" s="57">
        <f t="shared" si="737"/>
        <v>25703.770299999996</v>
      </c>
      <c r="EV177" s="57">
        <f>SUM(EV178:EV194)</f>
        <v>19835.281629999998</v>
      </c>
      <c r="EW177" s="57">
        <f>SUM(EW178:EW194)</f>
        <v>5868.4886700000006</v>
      </c>
      <c r="EX177" s="360"/>
      <c r="EY177" s="360"/>
      <c r="EZ177" s="360"/>
      <c r="FA177" s="57" t="e">
        <f t="shared" ref="FA177" si="996">SUM(FA178:FA194)</f>
        <v>#DIV/0!</v>
      </c>
      <c r="FB177" s="57" t="e">
        <f t="shared" si="738"/>
        <v>#DIV/0!</v>
      </c>
      <c r="FC177" s="57">
        <f t="shared" ref="FC177" si="997">FD177+FE177+FF177</f>
        <v>86208.661999999997</v>
      </c>
      <c r="FD177" s="57">
        <f t="shared" si="759"/>
        <v>76368.510999999999</v>
      </c>
      <c r="FE177" s="57">
        <f>SUM(FE178:FE194)</f>
        <v>9840.1509999999998</v>
      </c>
      <c r="FF177" s="360"/>
      <c r="FG177" s="360"/>
      <c r="FH177" s="57">
        <f t="shared" si="761"/>
        <v>86208.661999999997</v>
      </c>
      <c r="FI177" s="57">
        <f t="shared" si="820"/>
        <v>76368.510999999999</v>
      </c>
      <c r="FJ177" s="57">
        <f t="shared" si="821"/>
        <v>9840.1509999999998</v>
      </c>
      <c r="FK177" s="360"/>
      <c r="FL177" s="360"/>
      <c r="FM177" s="360"/>
      <c r="FN177" s="273">
        <f t="shared" ref="FN177:FN230" si="998">FH177*FF177</f>
        <v>0</v>
      </c>
      <c r="FO177" s="57">
        <f t="shared" si="762"/>
        <v>76368.510999999999</v>
      </c>
    </row>
    <row r="178" spans="2:171" s="40" customFormat="1" ht="15.6" customHeight="1" x14ac:dyDescent="0.25">
      <c r="B178" s="32">
        <v>1</v>
      </c>
      <c r="C178" s="33"/>
      <c r="D178" s="33"/>
      <c r="E178" s="434">
        <v>149</v>
      </c>
      <c r="F178" s="32"/>
      <c r="G178" s="33"/>
      <c r="H178" s="33"/>
      <c r="I178" s="664" t="s">
        <v>271</v>
      </c>
      <c r="J178" s="665"/>
      <c r="K178" s="665"/>
      <c r="L178" s="159">
        <f>L177</f>
        <v>5000</v>
      </c>
      <c r="M178" s="434">
        <v>146</v>
      </c>
      <c r="N178" s="435" t="s">
        <v>235</v>
      </c>
      <c r="O178" s="132" t="s">
        <v>343</v>
      </c>
      <c r="P178" s="2">
        <f t="shared" si="735"/>
        <v>0</v>
      </c>
      <c r="Q178" s="132" t="s">
        <v>490</v>
      </c>
      <c r="R178" s="132" t="s">
        <v>488</v>
      </c>
      <c r="S178" s="132"/>
      <c r="T178" s="132"/>
      <c r="U178" s="161">
        <v>1</v>
      </c>
      <c r="V178" s="434">
        <v>2</v>
      </c>
      <c r="W178" s="459">
        <f t="shared" ref="W178:W194" si="999">X178+Y178+Z178+AA178</f>
        <v>21156.875</v>
      </c>
      <c r="X178" s="459"/>
      <c r="Y178" s="460">
        <f>4985.7+1623</f>
        <v>6608.7</v>
      </c>
      <c r="Z178" s="459">
        <f>2050.534+12497.641</f>
        <v>14548.174999999999</v>
      </c>
      <c r="AA178" s="464"/>
      <c r="AB178" s="459">
        <f t="shared" ref="AB178:AB194" si="1000">AC178+AD178+AE178+AF178</f>
        <v>7286.4</v>
      </c>
      <c r="AC178" s="459"/>
      <c r="AD178" s="460">
        <v>7286.4</v>
      </c>
      <c r="AE178" s="459"/>
      <c r="AF178" s="464"/>
      <c r="AG178" s="459">
        <f t="shared" ref="AG178:AG194" si="1001">AH178+AI178+AJ178+AK178</f>
        <v>7286.4</v>
      </c>
      <c r="AH178" s="459"/>
      <c r="AI178" s="460">
        <v>7286.4</v>
      </c>
      <c r="AJ178" s="459"/>
      <c r="AK178" s="464"/>
      <c r="AL178" s="459">
        <f t="shared" ref="AL178:AL194" si="1002">AM178+AN178+AO178+AP178</f>
        <v>3036</v>
      </c>
      <c r="AM178" s="459"/>
      <c r="AN178" s="460">
        <v>3036</v>
      </c>
      <c r="AO178" s="459"/>
      <c r="AP178" s="495"/>
      <c r="AQ178" s="384" t="s">
        <v>483</v>
      </c>
      <c r="AR178" s="459">
        <f t="shared" ref="AR178:AR194" si="1003">AS178+AT178+AU178+AV178</f>
        <v>21156.875</v>
      </c>
      <c r="AS178" s="459"/>
      <c r="AT178" s="460">
        <f>4985.7+1623</f>
        <v>6608.7</v>
      </c>
      <c r="AU178" s="459">
        <f>2050.534+12497.641</f>
        <v>14548.174999999999</v>
      </c>
      <c r="AV178" s="459"/>
      <c r="AW178" s="459" t="e">
        <f t="shared" ref="AW178:AW194" si="1004">AX178+AY178+AZ178+BA178</f>
        <v>#REF!</v>
      </c>
      <c r="AX178" s="459" t="e">
        <f>#REF!-AS178</f>
        <v>#REF!</v>
      </c>
      <c r="AY178" s="459" t="e">
        <f>#REF!-AT178</f>
        <v>#REF!</v>
      </c>
      <c r="AZ178" s="459" t="e">
        <f>#REF!-AU178</f>
        <v>#REF!</v>
      </c>
      <c r="BA178" s="459" t="e">
        <f>#REF!-AV178</f>
        <v>#REF!</v>
      </c>
      <c r="BB178" s="459">
        <f t="shared" ref="BB178:BB194" si="1005">BC178+BD178+BE178+BF178</f>
        <v>7286.4</v>
      </c>
      <c r="BC178" s="459"/>
      <c r="BD178" s="460">
        <v>7286.4</v>
      </c>
      <c r="BE178" s="459"/>
      <c r="BF178" s="459"/>
      <c r="BG178" s="459">
        <f t="shared" ref="BG178:BG194" si="1006">BH178+BI178+BJ178+BK178</f>
        <v>0</v>
      </c>
      <c r="BH178" s="459"/>
      <c r="BI178" s="459"/>
      <c r="BJ178" s="459"/>
      <c r="BK178" s="459"/>
      <c r="BL178" s="459">
        <f t="shared" ref="BL178:BL194" si="1007">BM178+BN178+BO178+BP178</f>
        <v>21156.875</v>
      </c>
      <c r="BM178" s="459"/>
      <c r="BN178" s="460">
        <f>4985.7+1623</f>
        <v>6608.7</v>
      </c>
      <c r="BO178" s="459">
        <f>1188.31651+1765.66049+11594.198</f>
        <v>14548.174999999999</v>
      </c>
      <c r="BP178" s="459"/>
      <c r="BQ178" s="459">
        <f t="shared" ref="BQ178:BQ194" si="1008">BR178+BS178+BT178+BU178</f>
        <v>21156.875</v>
      </c>
      <c r="BR178" s="459"/>
      <c r="BS178" s="460">
        <f>4985.7+1623</f>
        <v>6608.7</v>
      </c>
      <c r="BT178" s="459">
        <f>1188.31651+1765.66049+11594.198</f>
        <v>14548.174999999999</v>
      </c>
      <c r="BU178" s="459"/>
      <c r="BV178" s="459">
        <f t="shared" ref="BV178:BV194" si="1009">BW178+BX178+BY178+BZ178</f>
        <v>5454.8340800000005</v>
      </c>
      <c r="BW178" s="459"/>
      <c r="BX178" s="459">
        <f>952.031+657.51708</f>
        <v>1609.54808</v>
      </c>
      <c r="BY178" s="459">
        <f>3064.509+780.777</f>
        <v>3845.2860000000001</v>
      </c>
      <c r="BZ178" s="459"/>
      <c r="CA178" s="464">
        <f t="shared" ref="CA178:CA194" si="1010">CB178</f>
        <v>26611.709080000001</v>
      </c>
      <c r="CB178" s="459">
        <f t="shared" ref="CB178:CB194" si="1011">CC178+CD178+CE178+CF178</f>
        <v>26611.709080000001</v>
      </c>
      <c r="CC178" s="459">
        <f t="shared" ref="CC178:CF194" si="1012">BR178+BW178</f>
        <v>0</v>
      </c>
      <c r="CD178" s="459">
        <f t="shared" si="1012"/>
        <v>8218.2480799999994</v>
      </c>
      <c r="CE178" s="459">
        <f t="shared" si="1012"/>
        <v>18393.460999999999</v>
      </c>
      <c r="CF178" s="459">
        <f t="shared" si="1012"/>
        <v>0</v>
      </c>
      <c r="CG178" s="459">
        <f t="shared" ref="CG178:CG194" si="1013">CH178+CI178+CJ178+CK178</f>
        <v>0</v>
      </c>
      <c r="CH178" s="459">
        <f t="shared" ref="CH178:CK194" si="1014">BM178-BR178</f>
        <v>0</v>
      </c>
      <c r="CI178" s="459">
        <f t="shared" si="1014"/>
        <v>0</v>
      </c>
      <c r="CJ178" s="459">
        <f t="shared" si="1014"/>
        <v>0</v>
      </c>
      <c r="CK178" s="459">
        <f t="shared" si="1014"/>
        <v>0</v>
      </c>
      <c r="CL178" s="465"/>
      <c r="CM178" s="466">
        <f>BB178</f>
        <v>7286.4</v>
      </c>
      <c r="CN178" s="466">
        <f>CM178</f>
        <v>7286.4</v>
      </c>
      <c r="CO178" s="459">
        <f t="shared" ref="CO178:CO194" si="1015">CP178+CQ178+CR178+CS178</f>
        <v>0</v>
      </c>
      <c r="CP178" s="459"/>
      <c r="CQ178" s="459"/>
      <c r="CR178" s="459"/>
      <c r="CS178" s="459"/>
      <c r="CT178" s="459">
        <f t="shared" ref="CT178:CT194" si="1016">CU178+CV178+CW178+CX178</f>
        <v>0</v>
      </c>
      <c r="CU178" s="459"/>
      <c r="CV178" s="459"/>
      <c r="CW178" s="459"/>
      <c r="CX178" s="459"/>
      <c r="CY178" s="459">
        <f t="shared" ref="CY178:CY194" si="1017">CZ178+DA178+DB178+DC178</f>
        <v>0</v>
      </c>
      <c r="CZ178" s="459">
        <f t="shared" ref="CZ178:DC194" si="1018">CP178-CU178</f>
        <v>0</v>
      </c>
      <c r="DA178" s="459">
        <f t="shared" si="1018"/>
        <v>0</v>
      </c>
      <c r="DB178" s="459">
        <f t="shared" si="1018"/>
        <v>0</v>
      </c>
      <c r="DC178" s="459">
        <f t="shared" si="1018"/>
        <v>0</v>
      </c>
      <c r="DD178" s="459"/>
      <c r="DE178" s="459"/>
      <c r="DF178" s="459">
        <f>DD178-DE178</f>
        <v>0</v>
      </c>
      <c r="DG178" s="459">
        <f t="shared" ref="DG178:DG194" si="1019">CG178+CY178+DF178</f>
        <v>0</v>
      </c>
      <c r="DH178" s="467"/>
      <c r="DI178" s="459">
        <f t="shared" ref="DI178:DI194" si="1020">BL178+CO178+DD178</f>
        <v>21156.875</v>
      </c>
      <c r="DJ178" s="459">
        <f t="shared" ref="DJ178:DJ194" si="1021">BQ178+CT178+DE178</f>
        <v>21156.875</v>
      </c>
      <c r="DK178" s="467"/>
      <c r="DL178" s="459">
        <f>DJ178</f>
        <v>21156.875</v>
      </c>
      <c r="DM178" s="459">
        <f>DG178</f>
        <v>0</v>
      </c>
      <c r="DN178" s="467"/>
      <c r="DO178" s="459">
        <f>CN178-DL178</f>
        <v>-13870.475</v>
      </c>
      <c r="DP178" s="467"/>
      <c r="DQ178" s="467"/>
      <c r="DR178" s="459">
        <f t="shared" si="733"/>
        <v>21156.875</v>
      </c>
      <c r="DS178" s="459"/>
      <c r="DT178" s="460">
        <f>4985.7+1623</f>
        <v>6608.7</v>
      </c>
      <c r="DU178" s="459">
        <f>1188.31651+1765.66049+11594.198</f>
        <v>14548.174999999999</v>
      </c>
      <c r="DV178" s="459"/>
      <c r="DW178" s="459">
        <f t="shared" si="734"/>
        <v>5454.8340800000005</v>
      </c>
      <c r="DX178" s="459"/>
      <c r="DY178" s="459">
        <f>657.51708+952.031</f>
        <v>1609.54808</v>
      </c>
      <c r="DZ178" s="459">
        <f>780.777+3064.509</f>
        <v>3845.2860000000001</v>
      </c>
      <c r="EA178" s="146"/>
      <c r="EB178" s="279"/>
      <c r="EC178" s="279"/>
      <c r="ED178" s="279"/>
      <c r="EE178" s="366"/>
      <c r="EF178" s="366"/>
      <c r="EG178" s="279"/>
      <c r="EH178" s="279"/>
      <c r="EI178" s="279"/>
      <c r="EJ178" s="366"/>
      <c r="EK178" s="366"/>
      <c r="EL178" s="366">
        <v>2.9700000000000001E-2</v>
      </c>
      <c r="EM178" s="280"/>
      <c r="EN178" s="279"/>
      <c r="EO178" s="265" t="e">
        <f t="shared" ref="EO178:EO194" si="1022">EM178/EJ178</f>
        <v>#DIV/0!</v>
      </c>
      <c r="EP178" s="323">
        <f t="shared" si="736"/>
        <v>8218.2480799999994</v>
      </c>
      <c r="EQ178" s="323">
        <f t="shared" si="796"/>
        <v>6608.7</v>
      </c>
      <c r="ER178" s="323">
        <v>1609.54808</v>
      </c>
      <c r="ES178" s="358">
        <f t="shared" ref="ES178:ES194" si="1023">EQ178/EP178</f>
        <v>0.80414948972920275</v>
      </c>
      <c r="ET178" s="358">
        <f t="shared" ref="ET178:ET194" si="1024">ER178/EP178</f>
        <v>0.19585051027079731</v>
      </c>
      <c r="EU178" s="323">
        <f t="shared" si="737"/>
        <v>8218.2480799999994</v>
      </c>
      <c r="EV178" s="323">
        <f t="shared" ref="EV178:EV194" si="1025">DT178</f>
        <v>6608.7</v>
      </c>
      <c r="EW178" s="323">
        <f t="shared" ref="EW178:EW194" si="1026">DY178</f>
        <v>1609.54808</v>
      </c>
      <c r="EX178" s="358">
        <f t="shared" ref="EX178:EX194" si="1027">EV178/EU178</f>
        <v>0.80414948972920275</v>
      </c>
      <c r="EY178" s="358">
        <f t="shared" ref="EY178:EY194" si="1028">EW178/EU178</f>
        <v>0.19585051027079731</v>
      </c>
      <c r="EZ178" s="358">
        <v>0.1</v>
      </c>
      <c r="FA178" s="323">
        <f t="shared" ref="FA178:FA194" si="1029">EU178*ES178</f>
        <v>6608.7</v>
      </c>
      <c r="FB178" s="323">
        <f t="shared" si="738"/>
        <v>0</v>
      </c>
      <c r="FC178" s="279">
        <f t="shared" ref="FC178:FC193" si="1030">FD178+FE178</f>
        <v>18393.460999999999</v>
      </c>
      <c r="FD178" s="279">
        <f t="shared" si="759"/>
        <v>14548.174999999999</v>
      </c>
      <c r="FE178" s="279">
        <v>3845.2860000000001</v>
      </c>
      <c r="FF178" s="366">
        <f t="shared" ref="FF178:FF193" si="1031">FD178/FC178</f>
        <v>0.79094277036823035</v>
      </c>
      <c r="FG178" s="366">
        <f t="shared" ref="FG178:FG193" si="1032">FE178/FC178</f>
        <v>0.2090572296317697</v>
      </c>
      <c r="FH178" s="279">
        <f t="shared" si="761"/>
        <v>18393.460999999999</v>
      </c>
      <c r="FI178" s="279">
        <f t="shared" si="820"/>
        <v>14548.174999999999</v>
      </c>
      <c r="FJ178" s="279">
        <f t="shared" si="821"/>
        <v>3845.2860000000001</v>
      </c>
      <c r="FK178" s="366">
        <f t="shared" ref="FK178:FK193" si="1033">FI178/FH178</f>
        <v>0.79094277036823035</v>
      </c>
      <c r="FL178" s="366">
        <f t="shared" ref="FL178:FL193" si="1034">FJ178/FH178</f>
        <v>0.2090572296317697</v>
      </c>
      <c r="FM178" s="366">
        <v>0.1</v>
      </c>
      <c r="FN178" s="280">
        <f t="shared" si="998"/>
        <v>14548.174999999999</v>
      </c>
      <c r="FO178" s="279">
        <f t="shared" si="762"/>
        <v>0</v>
      </c>
    </row>
    <row r="179" spans="2:171" s="40" customFormat="1" ht="15.75" customHeight="1" x14ac:dyDescent="0.25">
      <c r="B179" s="32"/>
      <c r="C179" s="33"/>
      <c r="D179" s="33"/>
      <c r="E179" s="434"/>
      <c r="F179" s="32"/>
      <c r="G179" s="33"/>
      <c r="H179" s="33"/>
      <c r="I179" s="657" t="s">
        <v>275</v>
      </c>
      <c r="J179" s="658"/>
      <c r="K179" s="658"/>
      <c r="L179" s="658"/>
      <c r="M179" s="434"/>
      <c r="N179" s="19" t="s">
        <v>251</v>
      </c>
      <c r="O179" s="133"/>
      <c r="P179" s="2">
        <f t="shared" si="735"/>
        <v>0</v>
      </c>
      <c r="Q179" s="133"/>
      <c r="R179" s="133"/>
      <c r="S179" s="133"/>
      <c r="T179" s="133"/>
      <c r="U179" s="133"/>
      <c r="V179" s="133"/>
      <c r="W179" s="459">
        <f t="shared" si="999"/>
        <v>0</v>
      </c>
      <c r="X179" s="459"/>
      <c r="Y179" s="460"/>
      <c r="Z179" s="459"/>
      <c r="AA179" s="464"/>
      <c r="AB179" s="459">
        <f t="shared" si="1000"/>
        <v>0</v>
      </c>
      <c r="AC179" s="459"/>
      <c r="AD179" s="460"/>
      <c r="AE179" s="459"/>
      <c r="AF179" s="464"/>
      <c r="AG179" s="459">
        <f t="shared" si="1001"/>
        <v>0</v>
      </c>
      <c r="AH179" s="459"/>
      <c r="AI179" s="460"/>
      <c r="AJ179" s="459"/>
      <c r="AK179" s="464"/>
      <c r="AL179" s="459">
        <f t="shared" si="1002"/>
        <v>0</v>
      </c>
      <c r="AM179" s="459"/>
      <c r="AN179" s="460"/>
      <c r="AO179" s="459"/>
      <c r="AP179" s="495"/>
      <c r="AQ179" s="384"/>
      <c r="AR179" s="459">
        <f t="shared" si="1003"/>
        <v>0</v>
      </c>
      <c r="AS179" s="459"/>
      <c r="AT179" s="469"/>
      <c r="AU179" s="459"/>
      <c r="AV179" s="459"/>
      <c r="AW179" s="459" t="e">
        <f t="shared" si="1004"/>
        <v>#REF!</v>
      </c>
      <c r="AX179" s="459" t="e">
        <f>#REF!-AS179</f>
        <v>#REF!</v>
      </c>
      <c r="AY179" s="459" t="e">
        <f>#REF!-AT179</f>
        <v>#REF!</v>
      </c>
      <c r="AZ179" s="459" t="e">
        <f>#REF!-AU179</f>
        <v>#REF!</v>
      </c>
      <c r="BA179" s="459" t="e">
        <f>#REF!-AV179</f>
        <v>#REF!</v>
      </c>
      <c r="BB179" s="459">
        <f t="shared" si="1005"/>
        <v>0</v>
      </c>
      <c r="BC179" s="459"/>
      <c r="BD179" s="459"/>
      <c r="BE179" s="459"/>
      <c r="BF179" s="459"/>
      <c r="BG179" s="459">
        <f t="shared" si="1006"/>
        <v>0</v>
      </c>
      <c r="BH179" s="459"/>
      <c r="BI179" s="459"/>
      <c r="BJ179" s="459"/>
      <c r="BK179" s="459"/>
      <c r="BL179" s="459">
        <f t="shared" si="1007"/>
        <v>0</v>
      </c>
      <c r="BM179" s="459"/>
      <c r="BN179" s="459"/>
      <c r="BO179" s="459"/>
      <c r="BP179" s="459"/>
      <c r="BQ179" s="459">
        <f t="shared" si="1008"/>
        <v>0</v>
      </c>
      <c r="BR179" s="459"/>
      <c r="BS179" s="459"/>
      <c r="BT179" s="459"/>
      <c r="BU179" s="459"/>
      <c r="BV179" s="459">
        <f t="shared" si="1009"/>
        <v>0</v>
      </c>
      <c r="BW179" s="459"/>
      <c r="BX179" s="459"/>
      <c r="BY179" s="459"/>
      <c r="BZ179" s="459"/>
      <c r="CA179" s="464">
        <f t="shared" si="1010"/>
        <v>0</v>
      </c>
      <c r="CB179" s="459">
        <f t="shared" si="1011"/>
        <v>0</v>
      </c>
      <c r="CC179" s="459">
        <f t="shared" si="1012"/>
        <v>0</v>
      </c>
      <c r="CD179" s="459">
        <f t="shared" si="1012"/>
        <v>0</v>
      </c>
      <c r="CE179" s="459">
        <f t="shared" si="1012"/>
        <v>0</v>
      </c>
      <c r="CF179" s="459">
        <f t="shared" si="1012"/>
        <v>0</v>
      </c>
      <c r="CG179" s="459">
        <f t="shared" si="1013"/>
        <v>0</v>
      </c>
      <c r="CH179" s="459">
        <f t="shared" si="1014"/>
        <v>0</v>
      </c>
      <c r="CI179" s="459">
        <f t="shared" si="1014"/>
        <v>0</v>
      </c>
      <c r="CJ179" s="459">
        <f t="shared" si="1014"/>
        <v>0</v>
      </c>
      <c r="CK179" s="459">
        <f t="shared" si="1014"/>
        <v>0</v>
      </c>
      <c r="CL179" s="465"/>
      <c r="CM179" s="466"/>
      <c r="CN179" s="466"/>
      <c r="CO179" s="459">
        <f t="shared" si="1015"/>
        <v>0</v>
      </c>
      <c r="CP179" s="459"/>
      <c r="CQ179" s="459"/>
      <c r="CR179" s="459"/>
      <c r="CS179" s="459"/>
      <c r="CT179" s="459">
        <f t="shared" si="1016"/>
        <v>0</v>
      </c>
      <c r="CU179" s="459"/>
      <c r="CV179" s="459"/>
      <c r="CW179" s="459"/>
      <c r="CX179" s="459"/>
      <c r="CY179" s="459">
        <f t="shared" si="1017"/>
        <v>0</v>
      </c>
      <c r="CZ179" s="459">
        <f t="shared" si="1018"/>
        <v>0</v>
      </c>
      <c r="DA179" s="459">
        <f t="shared" si="1018"/>
        <v>0</v>
      </c>
      <c r="DB179" s="459">
        <f t="shared" si="1018"/>
        <v>0</v>
      </c>
      <c r="DC179" s="459">
        <f t="shared" si="1018"/>
        <v>0</v>
      </c>
      <c r="DD179" s="459"/>
      <c r="DE179" s="459"/>
      <c r="DF179" s="459"/>
      <c r="DG179" s="459">
        <f t="shared" si="1019"/>
        <v>0</v>
      </c>
      <c r="DH179" s="467"/>
      <c r="DI179" s="459">
        <f t="shared" si="1020"/>
        <v>0</v>
      </c>
      <c r="DJ179" s="459">
        <f t="shared" si="1021"/>
        <v>0</v>
      </c>
      <c r="DK179" s="467"/>
      <c r="DL179" s="459">
        <f>DJ179</f>
        <v>0</v>
      </c>
      <c r="DM179" s="459">
        <f>DG179</f>
        <v>0</v>
      </c>
      <c r="DN179" s="467"/>
      <c r="DO179" s="459"/>
      <c r="DP179" s="467"/>
      <c r="DQ179" s="467"/>
      <c r="DR179" s="459">
        <f t="shared" si="733"/>
        <v>0</v>
      </c>
      <c r="DS179" s="459"/>
      <c r="DT179" s="459"/>
      <c r="DU179" s="459"/>
      <c r="DV179" s="459"/>
      <c r="DW179" s="459">
        <f t="shared" si="734"/>
        <v>0</v>
      </c>
      <c r="DX179" s="459"/>
      <c r="DY179" s="459"/>
      <c r="DZ179" s="459"/>
      <c r="EA179" s="146"/>
      <c r="EB179" s="279"/>
      <c r="EC179" s="279"/>
      <c r="ED179" s="279"/>
      <c r="EE179" s="366"/>
      <c r="EF179" s="366"/>
      <c r="EG179" s="279"/>
      <c r="EH179" s="279"/>
      <c r="EI179" s="279"/>
      <c r="EJ179" s="366"/>
      <c r="EK179" s="366"/>
      <c r="EL179" s="366"/>
      <c r="EM179" s="280"/>
      <c r="EN179" s="279"/>
      <c r="EO179" s="265" t="e">
        <f t="shared" si="1022"/>
        <v>#DIV/0!</v>
      </c>
      <c r="EP179" s="323"/>
      <c r="EQ179" s="323"/>
      <c r="ER179" s="323"/>
      <c r="ES179" s="358"/>
      <c r="ET179" s="358"/>
      <c r="EU179" s="323"/>
      <c r="EV179" s="323"/>
      <c r="EW179" s="323"/>
      <c r="EX179" s="358"/>
      <c r="EY179" s="358"/>
      <c r="EZ179" s="358"/>
      <c r="FA179" s="323"/>
      <c r="FB179" s="323">
        <f t="shared" si="738"/>
        <v>0</v>
      </c>
      <c r="FC179" s="279"/>
      <c r="FD179" s="279"/>
      <c r="FE179" s="279"/>
      <c r="FF179" s="366"/>
      <c r="FG179" s="366"/>
      <c r="FH179" s="279"/>
      <c r="FI179" s="279"/>
      <c r="FJ179" s="279"/>
      <c r="FK179" s="366"/>
      <c r="FL179" s="366"/>
      <c r="FM179" s="366"/>
      <c r="FN179" s="280"/>
      <c r="FO179" s="279"/>
    </row>
    <row r="180" spans="2:171" s="40" customFormat="1" ht="15.75" customHeight="1" x14ac:dyDescent="0.25">
      <c r="B180" s="32"/>
      <c r="C180" s="33"/>
      <c r="D180" s="33">
        <v>1</v>
      </c>
      <c r="E180" s="434">
        <v>150</v>
      </c>
      <c r="F180" s="32"/>
      <c r="G180" s="33"/>
      <c r="H180" s="33">
        <v>1</v>
      </c>
      <c r="I180" s="434">
        <v>11</v>
      </c>
      <c r="J180" s="435" t="s">
        <v>268</v>
      </c>
      <c r="K180" s="56" t="s">
        <v>276</v>
      </c>
      <c r="L180" s="53">
        <v>15000</v>
      </c>
      <c r="M180" s="434">
        <v>147</v>
      </c>
      <c r="N180" s="435" t="s">
        <v>128</v>
      </c>
      <c r="O180" s="435" t="s">
        <v>347</v>
      </c>
      <c r="P180" s="24">
        <f t="shared" si="735"/>
        <v>0</v>
      </c>
      <c r="Q180" s="435" t="s">
        <v>491</v>
      </c>
      <c r="R180" s="435" t="s">
        <v>488</v>
      </c>
      <c r="S180" s="435" t="s">
        <v>491</v>
      </c>
      <c r="T180" s="435" t="s">
        <v>488</v>
      </c>
      <c r="U180" s="161">
        <v>1</v>
      </c>
      <c r="V180" s="434">
        <v>1</v>
      </c>
      <c r="W180" s="459">
        <f t="shared" si="999"/>
        <v>511.7</v>
      </c>
      <c r="X180" s="459"/>
      <c r="Y180" s="460">
        <v>511.7</v>
      </c>
      <c r="Z180" s="459"/>
      <c r="AA180" s="461"/>
      <c r="AB180" s="459">
        <f t="shared" si="1000"/>
        <v>517.5</v>
      </c>
      <c r="AC180" s="459"/>
      <c r="AD180" s="460">
        <v>517.5</v>
      </c>
      <c r="AE180" s="459"/>
      <c r="AF180" s="461"/>
      <c r="AG180" s="459">
        <f t="shared" si="1001"/>
        <v>517.5</v>
      </c>
      <c r="AH180" s="459"/>
      <c r="AI180" s="460">
        <v>517.5</v>
      </c>
      <c r="AJ180" s="459"/>
      <c r="AK180" s="461"/>
      <c r="AL180" s="459">
        <f t="shared" si="1002"/>
        <v>225</v>
      </c>
      <c r="AM180" s="459"/>
      <c r="AN180" s="460">
        <v>225</v>
      </c>
      <c r="AO180" s="459"/>
      <c r="AP180" s="496"/>
      <c r="AQ180" s="384" t="s">
        <v>447</v>
      </c>
      <c r="AR180" s="459">
        <f t="shared" si="1003"/>
        <v>511.7</v>
      </c>
      <c r="AS180" s="459"/>
      <c r="AT180" s="462">
        <v>511.7</v>
      </c>
      <c r="AU180" s="459"/>
      <c r="AV180" s="461"/>
      <c r="AW180" s="459" t="e">
        <f t="shared" si="1004"/>
        <v>#REF!</v>
      </c>
      <c r="AX180" s="459" t="e">
        <f>#REF!-AS180</f>
        <v>#REF!</v>
      </c>
      <c r="AY180" s="459" t="e">
        <f>#REF!-AT180</f>
        <v>#REF!</v>
      </c>
      <c r="AZ180" s="459" t="e">
        <f>#REF!-AU180</f>
        <v>#REF!</v>
      </c>
      <c r="BA180" s="459" t="e">
        <f>#REF!-AV180</f>
        <v>#REF!</v>
      </c>
      <c r="BB180" s="459">
        <f t="shared" si="1005"/>
        <v>517.5</v>
      </c>
      <c r="BC180" s="459"/>
      <c r="BD180" s="460">
        <v>517.5</v>
      </c>
      <c r="BE180" s="459"/>
      <c r="BF180" s="461"/>
      <c r="BG180" s="459">
        <f t="shared" si="1006"/>
        <v>0</v>
      </c>
      <c r="BH180" s="459"/>
      <c r="BI180" s="460"/>
      <c r="BJ180" s="459"/>
      <c r="BK180" s="461"/>
      <c r="BL180" s="459">
        <f t="shared" si="1007"/>
        <v>511.7</v>
      </c>
      <c r="BM180" s="459"/>
      <c r="BN180" s="460">
        <v>511.7</v>
      </c>
      <c r="BO180" s="459"/>
      <c r="BP180" s="470"/>
      <c r="BQ180" s="459">
        <f t="shared" si="1008"/>
        <v>511.7</v>
      </c>
      <c r="BR180" s="459"/>
      <c r="BS180" s="460">
        <v>511.7</v>
      </c>
      <c r="BT180" s="459"/>
      <c r="BU180" s="461"/>
      <c r="BV180" s="459">
        <f t="shared" si="1009"/>
        <v>72.112269999999995</v>
      </c>
      <c r="BW180" s="459"/>
      <c r="BX180" s="459">
        <v>72.112269999999995</v>
      </c>
      <c r="BY180" s="459"/>
      <c r="BZ180" s="459"/>
      <c r="CA180" s="464">
        <f t="shared" si="1010"/>
        <v>583.81227000000001</v>
      </c>
      <c r="CB180" s="459">
        <f t="shared" si="1011"/>
        <v>583.81227000000001</v>
      </c>
      <c r="CC180" s="459">
        <f t="shared" si="1012"/>
        <v>0</v>
      </c>
      <c r="CD180" s="459">
        <f t="shared" si="1012"/>
        <v>583.81227000000001</v>
      </c>
      <c r="CE180" s="459">
        <f t="shared" si="1012"/>
        <v>0</v>
      </c>
      <c r="CF180" s="459">
        <f t="shared" si="1012"/>
        <v>0</v>
      </c>
      <c r="CG180" s="459">
        <f t="shared" si="1013"/>
        <v>0</v>
      </c>
      <c r="CH180" s="459">
        <f t="shared" si="1014"/>
        <v>0</v>
      </c>
      <c r="CI180" s="459">
        <f t="shared" si="1014"/>
        <v>0</v>
      </c>
      <c r="CJ180" s="459">
        <f t="shared" si="1014"/>
        <v>0</v>
      </c>
      <c r="CK180" s="459">
        <f t="shared" si="1014"/>
        <v>0</v>
      </c>
      <c r="CL180" s="465"/>
      <c r="CM180" s="466"/>
      <c r="CN180" s="466"/>
      <c r="CO180" s="459">
        <f t="shared" si="1015"/>
        <v>0</v>
      </c>
      <c r="CP180" s="459"/>
      <c r="CQ180" s="460"/>
      <c r="CR180" s="459"/>
      <c r="CS180" s="461"/>
      <c r="CT180" s="459">
        <f t="shared" si="1016"/>
        <v>0</v>
      </c>
      <c r="CU180" s="459"/>
      <c r="CV180" s="460"/>
      <c r="CW180" s="459"/>
      <c r="CX180" s="461"/>
      <c r="CY180" s="459">
        <f t="shared" si="1017"/>
        <v>0</v>
      </c>
      <c r="CZ180" s="459">
        <f t="shared" si="1018"/>
        <v>0</v>
      </c>
      <c r="DA180" s="459">
        <f t="shared" si="1018"/>
        <v>0</v>
      </c>
      <c r="DB180" s="459">
        <f t="shared" si="1018"/>
        <v>0</v>
      </c>
      <c r="DC180" s="459">
        <f t="shared" si="1018"/>
        <v>0</v>
      </c>
      <c r="DD180" s="459"/>
      <c r="DE180" s="459"/>
      <c r="DF180" s="459"/>
      <c r="DG180" s="459">
        <f t="shared" si="1019"/>
        <v>0</v>
      </c>
      <c r="DH180" s="467"/>
      <c r="DI180" s="459">
        <f t="shared" si="1020"/>
        <v>511.7</v>
      </c>
      <c r="DJ180" s="459">
        <f t="shared" si="1021"/>
        <v>511.7</v>
      </c>
      <c r="DK180" s="467"/>
      <c r="DL180" s="459"/>
      <c r="DM180" s="459"/>
      <c r="DN180" s="467"/>
      <c r="DO180" s="459"/>
      <c r="DP180" s="467"/>
      <c r="DQ180" s="467"/>
      <c r="DR180" s="459">
        <f t="shared" si="733"/>
        <v>511.7</v>
      </c>
      <c r="DS180" s="459"/>
      <c r="DT180" s="460">
        <v>511.7</v>
      </c>
      <c r="DU180" s="459"/>
      <c r="DV180" s="461"/>
      <c r="DW180" s="459">
        <f t="shared" si="734"/>
        <v>72.112269999999995</v>
      </c>
      <c r="DX180" s="459"/>
      <c r="DY180" s="459">
        <v>72.112269999999995</v>
      </c>
      <c r="DZ180" s="459"/>
      <c r="EA180" s="146"/>
      <c r="EB180" s="279"/>
      <c r="EC180" s="279"/>
      <c r="ED180" s="279"/>
      <c r="EE180" s="366"/>
      <c r="EF180" s="366"/>
      <c r="EG180" s="279"/>
      <c r="EH180" s="279"/>
      <c r="EI180" s="279"/>
      <c r="EJ180" s="366"/>
      <c r="EK180" s="366"/>
      <c r="EL180" s="366">
        <v>2.18E-2</v>
      </c>
      <c r="EM180" s="280"/>
      <c r="EN180" s="279"/>
      <c r="EO180" s="265" t="e">
        <f t="shared" si="1022"/>
        <v>#DIV/0!</v>
      </c>
      <c r="EP180" s="323">
        <f t="shared" si="736"/>
        <v>583.81227000000001</v>
      </c>
      <c r="EQ180" s="323">
        <f t="shared" si="796"/>
        <v>511.7</v>
      </c>
      <c r="ER180" s="323">
        <v>72.112269999999995</v>
      </c>
      <c r="ES180" s="358">
        <f t="shared" si="1023"/>
        <v>0.87648037955762725</v>
      </c>
      <c r="ET180" s="358">
        <f t="shared" si="1024"/>
        <v>0.12351962044237268</v>
      </c>
      <c r="EU180" s="323">
        <f t="shared" si="737"/>
        <v>583.81227000000001</v>
      </c>
      <c r="EV180" s="323">
        <f t="shared" si="1025"/>
        <v>511.7</v>
      </c>
      <c r="EW180" s="323">
        <f t="shared" si="1026"/>
        <v>72.112269999999995</v>
      </c>
      <c r="EX180" s="358">
        <f t="shared" si="1027"/>
        <v>0.87648037955762725</v>
      </c>
      <c r="EY180" s="358">
        <f t="shared" si="1028"/>
        <v>0.12351962044237268</v>
      </c>
      <c r="EZ180" s="358">
        <v>7.2700000000000001E-2</v>
      </c>
      <c r="FA180" s="323">
        <f t="shared" si="1029"/>
        <v>511.7</v>
      </c>
      <c r="FB180" s="323">
        <f t="shared" si="738"/>
        <v>0</v>
      </c>
      <c r="FC180" s="279"/>
      <c r="FD180" s="279"/>
      <c r="FE180" s="279"/>
      <c r="FF180" s="366"/>
      <c r="FG180" s="366"/>
      <c r="FH180" s="279"/>
      <c r="FI180" s="279"/>
      <c r="FJ180" s="279"/>
      <c r="FK180" s="366"/>
      <c r="FL180" s="366"/>
      <c r="FM180" s="366">
        <v>7.2700000000000001E-2</v>
      </c>
      <c r="FN180" s="280"/>
      <c r="FO180" s="279"/>
    </row>
    <row r="181" spans="2:171" s="40" customFormat="1" ht="15.6" customHeight="1" x14ac:dyDescent="0.25">
      <c r="B181" s="32"/>
      <c r="C181" s="33"/>
      <c r="D181" s="33">
        <v>1</v>
      </c>
      <c r="E181" s="434">
        <v>151</v>
      </c>
      <c r="F181" s="32"/>
      <c r="G181" s="33"/>
      <c r="H181" s="33"/>
      <c r="I181" s="664" t="s">
        <v>271</v>
      </c>
      <c r="J181" s="665"/>
      <c r="K181" s="665"/>
      <c r="L181" s="159">
        <f>L180</f>
        <v>15000</v>
      </c>
      <c r="M181" s="434">
        <v>148</v>
      </c>
      <c r="N181" s="435" t="s">
        <v>129</v>
      </c>
      <c r="O181" s="435"/>
      <c r="P181" s="24">
        <f t="shared" si="735"/>
        <v>0</v>
      </c>
      <c r="Q181" s="435"/>
      <c r="R181" s="435"/>
      <c r="S181" s="435"/>
      <c r="T181" s="435"/>
      <c r="U181" s="161"/>
      <c r="V181" s="434"/>
      <c r="W181" s="459">
        <f t="shared" si="999"/>
        <v>0</v>
      </c>
      <c r="X181" s="459"/>
      <c r="Y181" s="460">
        <f>368.4-368.4</f>
        <v>0</v>
      </c>
      <c r="Z181" s="459"/>
      <c r="AA181" s="472"/>
      <c r="AB181" s="459">
        <f t="shared" si="1000"/>
        <v>372.6</v>
      </c>
      <c r="AC181" s="459"/>
      <c r="AD181" s="460">
        <v>372.6</v>
      </c>
      <c r="AE181" s="459"/>
      <c r="AF181" s="472"/>
      <c r="AG181" s="459">
        <f t="shared" si="1001"/>
        <v>372.6</v>
      </c>
      <c r="AH181" s="459"/>
      <c r="AI181" s="460">
        <v>372.6</v>
      </c>
      <c r="AJ181" s="459"/>
      <c r="AK181" s="472"/>
      <c r="AL181" s="459">
        <f t="shared" si="1002"/>
        <v>162</v>
      </c>
      <c r="AM181" s="459"/>
      <c r="AN181" s="460">
        <v>162</v>
      </c>
      <c r="AO181" s="459"/>
      <c r="AP181" s="467"/>
      <c r="AQ181" s="384"/>
      <c r="AR181" s="459">
        <f t="shared" si="1003"/>
        <v>0</v>
      </c>
      <c r="AS181" s="459"/>
      <c r="AT181" s="462"/>
      <c r="AU181" s="459"/>
      <c r="AV181" s="459"/>
      <c r="AW181" s="459" t="e">
        <f t="shared" si="1004"/>
        <v>#REF!</v>
      </c>
      <c r="AX181" s="459" t="e">
        <f>#REF!-AS181</f>
        <v>#REF!</v>
      </c>
      <c r="AY181" s="459" t="e">
        <f>#REF!-AT181</f>
        <v>#REF!</v>
      </c>
      <c r="AZ181" s="459" t="e">
        <f>#REF!-AU181</f>
        <v>#REF!</v>
      </c>
      <c r="BA181" s="459" t="e">
        <f>#REF!-AV181</f>
        <v>#REF!</v>
      </c>
      <c r="BB181" s="459">
        <f t="shared" si="1005"/>
        <v>372.6</v>
      </c>
      <c r="BC181" s="459"/>
      <c r="BD181" s="460">
        <v>372.6</v>
      </c>
      <c r="BE181" s="459"/>
      <c r="BF181" s="459"/>
      <c r="BG181" s="459">
        <f t="shared" si="1006"/>
        <v>0</v>
      </c>
      <c r="BH181" s="459"/>
      <c r="BI181" s="459"/>
      <c r="BJ181" s="459"/>
      <c r="BK181" s="459"/>
      <c r="BL181" s="459">
        <f t="shared" si="1007"/>
        <v>0</v>
      </c>
      <c r="BM181" s="459"/>
      <c r="BN181" s="460"/>
      <c r="BO181" s="459"/>
      <c r="BP181" s="459"/>
      <c r="BQ181" s="459">
        <f t="shared" si="1008"/>
        <v>0</v>
      </c>
      <c r="BR181" s="459"/>
      <c r="BS181" s="459"/>
      <c r="BT181" s="459"/>
      <c r="BU181" s="459"/>
      <c r="BV181" s="459">
        <f t="shared" si="1009"/>
        <v>0</v>
      </c>
      <c r="BW181" s="459"/>
      <c r="BX181" s="459"/>
      <c r="BY181" s="459"/>
      <c r="BZ181" s="459"/>
      <c r="CA181" s="464">
        <f t="shared" si="1010"/>
        <v>0</v>
      </c>
      <c r="CB181" s="459">
        <f t="shared" si="1011"/>
        <v>0</v>
      </c>
      <c r="CC181" s="459">
        <f t="shared" si="1012"/>
        <v>0</v>
      </c>
      <c r="CD181" s="459">
        <f t="shared" si="1012"/>
        <v>0</v>
      </c>
      <c r="CE181" s="459">
        <f t="shared" si="1012"/>
        <v>0</v>
      </c>
      <c r="CF181" s="459">
        <f t="shared" si="1012"/>
        <v>0</v>
      </c>
      <c r="CG181" s="459">
        <f t="shared" si="1013"/>
        <v>0</v>
      </c>
      <c r="CH181" s="459">
        <f t="shared" si="1014"/>
        <v>0</v>
      </c>
      <c r="CI181" s="459">
        <f t="shared" si="1014"/>
        <v>0</v>
      </c>
      <c r="CJ181" s="459">
        <f t="shared" si="1014"/>
        <v>0</v>
      </c>
      <c r="CK181" s="459">
        <f t="shared" si="1014"/>
        <v>0</v>
      </c>
      <c r="CL181" s="465"/>
      <c r="CM181" s="466"/>
      <c r="CN181" s="466"/>
      <c r="CO181" s="459">
        <f t="shared" si="1015"/>
        <v>0</v>
      </c>
      <c r="CP181" s="459"/>
      <c r="CQ181" s="459"/>
      <c r="CR181" s="459"/>
      <c r="CS181" s="459"/>
      <c r="CT181" s="459">
        <f t="shared" si="1016"/>
        <v>0</v>
      </c>
      <c r="CU181" s="459"/>
      <c r="CV181" s="459"/>
      <c r="CW181" s="459"/>
      <c r="CX181" s="459"/>
      <c r="CY181" s="459">
        <f t="shared" si="1017"/>
        <v>0</v>
      </c>
      <c r="CZ181" s="459">
        <f t="shared" si="1018"/>
        <v>0</v>
      </c>
      <c r="DA181" s="459">
        <f t="shared" si="1018"/>
        <v>0</v>
      </c>
      <c r="DB181" s="459">
        <f t="shared" si="1018"/>
        <v>0</v>
      </c>
      <c r="DC181" s="459">
        <f t="shared" si="1018"/>
        <v>0</v>
      </c>
      <c r="DD181" s="459"/>
      <c r="DE181" s="459"/>
      <c r="DF181" s="459"/>
      <c r="DG181" s="459">
        <f t="shared" si="1019"/>
        <v>0</v>
      </c>
      <c r="DH181" s="467"/>
      <c r="DI181" s="459">
        <f t="shared" si="1020"/>
        <v>0</v>
      </c>
      <c r="DJ181" s="459">
        <f t="shared" si="1021"/>
        <v>0</v>
      </c>
      <c r="DK181" s="467"/>
      <c r="DL181" s="459"/>
      <c r="DM181" s="459"/>
      <c r="DN181" s="467"/>
      <c r="DO181" s="459"/>
      <c r="DP181" s="467"/>
      <c r="DQ181" s="467"/>
      <c r="DR181" s="459">
        <f t="shared" si="733"/>
        <v>0</v>
      </c>
      <c r="DS181" s="459"/>
      <c r="DT181" s="459"/>
      <c r="DU181" s="459"/>
      <c r="DV181" s="459"/>
      <c r="DW181" s="459">
        <f t="shared" si="734"/>
        <v>0</v>
      </c>
      <c r="DX181" s="459"/>
      <c r="DY181" s="459"/>
      <c r="DZ181" s="459"/>
      <c r="EA181" s="146"/>
      <c r="EB181" s="279"/>
      <c r="EC181" s="279"/>
      <c r="ED181" s="279"/>
      <c r="EE181" s="366"/>
      <c r="EF181" s="366"/>
      <c r="EG181" s="279"/>
      <c r="EH181" s="279"/>
      <c r="EI181" s="279"/>
      <c r="EJ181" s="366"/>
      <c r="EK181" s="366"/>
      <c r="EL181" s="366">
        <v>2.0500000000000001E-2</v>
      </c>
      <c r="EM181" s="280"/>
      <c r="EN181" s="279"/>
      <c r="EO181" s="265" t="e">
        <f t="shared" si="1022"/>
        <v>#DIV/0!</v>
      </c>
      <c r="EP181" s="323"/>
      <c r="EQ181" s="323"/>
      <c r="ER181" s="323"/>
      <c r="ES181" s="358"/>
      <c r="ET181" s="358"/>
      <c r="EU181" s="323"/>
      <c r="EV181" s="323"/>
      <c r="EW181" s="323"/>
      <c r="EX181" s="358"/>
      <c r="EY181" s="358"/>
      <c r="EZ181" s="358">
        <v>6.8400000000000002E-2</v>
      </c>
      <c r="FA181" s="323"/>
      <c r="FB181" s="323">
        <f t="shared" si="738"/>
        <v>0</v>
      </c>
      <c r="FC181" s="279"/>
      <c r="FD181" s="279"/>
      <c r="FE181" s="279"/>
      <c r="FF181" s="366"/>
      <c r="FG181" s="366"/>
      <c r="FH181" s="279"/>
      <c r="FI181" s="279"/>
      <c r="FJ181" s="279"/>
      <c r="FK181" s="366"/>
      <c r="FL181" s="366"/>
      <c r="FM181" s="366">
        <v>6.8400000000000002E-2</v>
      </c>
      <c r="FN181" s="280"/>
      <c r="FO181" s="279"/>
    </row>
    <row r="182" spans="2:171" s="40" customFormat="1" ht="15.6" customHeight="1" x14ac:dyDescent="0.25">
      <c r="B182" s="32"/>
      <c r="C182" s="33"/>
      <c r="D182" s="33">
        <v>1</v>
      </c>
      <c r="E182" s="434">
        <v>152</v>
      </c>
      <c r="F182" s="32"/>
      <c r="G182" s="33"/>
      <c r="H182" s="33">
        <v>1</v>
      </c>
      <c r="I182" s="657" t="s">
        <v>4</v>
      </c>
      <c r="J182" s="658"/>
      <c r="K182" s="658"/>
      <c r="L182" s="658"/>
      <c r="M182" s="434">
        <v>149</v>
      </c>
      <c r="N182" s="435" t="s">
        <v>130</v>
      </c>
      <c r="O182" s="435"/>
      <c r="P182" s="24">
        <f t="shared" si="735"/>
        <v>0</v>
      </c>
      <c r="Q182" s="435" t="s">
        <v>490</v>
      </c>
      <c r="R182" s="435" t="s">
        <v>488</v>
      </c>
      <c r="S182" s="435" t="s">
        <v>490</v>
      </c>
      <c r="T182" s="435" t="s">
        <v>488</v>
      </c>
      <c r="U182" s="161">
        <v>1</v>
      </c>
      <c r="V182" s="434"/>
      <c r="W182" s="459">
        <f t="shared" si="999"/>
        <v>511.7</v>
      </c>
      <c r="X182" s="459"/>
      <c r="Y182" s="460">
        <v>511.7</v>
      </c>
      <c r="Z182" s="459"/>
      <c r="AA182" s="461"/>
      <c r="AB182" s="459">
        <f t="shared" si="1000"/>
        <v>517.5</v>
      </c>
      <c r="AC182" s="459"/>
      <c r="AD182" s="460">
        <v>517.5</v>
      </c>
      <c r="AE182" s="459"/>
      <c r="AF182" s="461"/>
      <c r="AG182" s="459">
        <f t="shared" si="1001"/>
        <v>517.5</v>
      </c>
      <c r="AH182" s="459"/>
      <c r="AI182" s="460">
        <v>517.5</v>
      </c>
      <c r="AJ182" s="459"/>
      <c r="AK182" s="461"/>
      <c r="AL182" s="459">
        <f t="shared" si="1002"/>
        <v>225</v>
      </c>
      <c r="AM182" s="459"/>
      <c r="AN182" s="460">
        <v>225</v>
      </c>
      <c r="AO182" s="459"/>
      <c r="AP182" s="496"/>
      <c r="AQ182" s="384" t="s">
        <v>386</v>
      </c>
      <c r="AR182" s="459">
        <f t="shared" si="1003"/>
        <v>511.7</v>
      </c>
      <c r="AS182" s="459"/>
      <c r="AT182" s="462">
        <v>511.7</v>
      </c>
      <c r="AU182" s="459"/>
      <c r="AV182" s="461"/>
      <c r="AW182" s="459" t="e">
        <f t="shared" si="1004"/>
        <v>#REF!</v>
      </c>
      <c r="AX182" s="459" t="e">
        <f>#REF!-AS182</f>
        <v>#REF!</v>
      </c>
      <c r="AY182" s="459" t="e">
        <f>#REF!-AT182</f>
        <v>#REF!</v>
      </c>
      <c r="AZ182" s="459" t="e">
        <f>#REF!-AU182</f>
        <v>#REF!</v>
      </c>
      <c r="BA182" s="459" t="e">
        <f>#REF!-AV182</f>
        <v>#REF!</v>
      </c>
      <c r="BB182" s="459">
        <f t="shared" si="1005"/>
        <v>517.5</v>
      </c>
      <c r="BC182" s="459"/>
      <c r="BD182" s="460">
        <f>225+292.5</f>
        <v>517.5</v>
      </c>
      <c r="BE182" s="459"/>
      <c r="BF182" s="461"/>
      <c r="BG182" s="459">
        <f t="shared" si="1006"/>
        <v>0</v>
      </c>
      <c r="BH182" s="459"/>
      <c r="BI182" s="460"/>
      <c r="BJ182" s="459"/>
      <c r="BK182" s="461"/>
      <c r="BL182" s="459">
        <f t="shared" si="1007"/>
        <v>511.7</v>
      </c>
      <c r="BM182" s="459"/>
      <c r="BN182" s="460">
        <v>511.7</v>
      </c>
      <c r="BO182" s="459"/>
      <c r="BP182" s="470"/>
      <c r="BQ182" s="459">
        <f t="shared" si="1008"/>
        <v>511.7</v>
      </c>
      <c r="BR182" s="459"/>
      <c r="BS182" s="460">
        <v>511.7</v>
      </c>
      <c r="BT182" s="459"/>
      <c r="BU182" s="461"/>
      <c r="BV182" s="459">
        <f t="shared" si="1009"/>
        <v>130</v>
      </c>
      <c r="BW182" s="459"/>
      <c r="BX182" s="459">
        <v>130</v>
      </c>
      <c r="BY182" s="459"/>
      <c r="BZ182" s="459"/>
      <c r="CA182" s="464">
        <f t="shared" si="1010"/>
        <v>641.70000000000005</v>
      </c>
      <c r="CB182" s="459">
        <f t="shared" si="1011"/>
        <v>641.70000000000005</v>
      </c>
      <c r="CC182" s="459">
        <f t="shared" si="1012"/>
        <v>0</v>
      </c>
      <c r="CD182" s="459">
        <f t="shared" si="1012"/>
        <v>641.70000000000005</v>
      </c>
      <c r="CE182" s="459">
        <f t="shared" si="1012"/>
        <v>0</v>
      </c>
      <c r="CF182" s="459">
        <f t="shared" si="1012"/>
        <v>0</v>
      </c>
      <c r="CG182" s="459">
        <f t="shared" si="1013"/>
        <v>0</v>
      </c>
      <c r="CH182" s="459">
        <f t="shared" si="1014"/>
        <v>0</v>
      </c>
      <c r="CI182" s="459">
        <f t="shared" si="1014"/>
        <v>0</v>
      </c>
      <c r="CJ182" s="459">
        <f t="shared" si="1014"/>
        <v>0</v>
      </c>
      <c r="CK182" s="459">
        <f t="shared" si="1014"/>
        <v>0</v>
      </c>
      <c r="CL182" s="465"/>
      <c r="CM182" s="466"/>
      <c r="CN182" s="466"/>
      <c r="CO182" s="459">
        <f t="shared" si="1015"/>
        <v>0</v>
      </c>
      <c r="CP182" s="459"/>
      <c r="CQ182" s="460"/>
      <c r="CR182" s="459"/>
      <c r="CS182" s="461"/>
      <c r="CT182" s="459">
        <f t="shared" si="1016"/>
        <v>0</v>
      </c>
      <c r="CU182" s="459"/>
      <c r="CV182" s="460"/>
      <c r="CW182" s="459"/>
      <c r="CX182" s="461"/>
      <c r="CY182" s="459">
        <f t="shared" si="1017"/>
        <v>0</v>
      </c>
      <c r="CZ182" s="459">
        <f t="shared" si="1018"/>
        <v>0</v>
      </c>
      <c r="DA182" s="459">
        <f t="shared" si="1018"/>
        <v>0</v>
      </c>
      <c r="DB182" s="459">
        <f t="shared" si="1018"/>
        <v>0</v>
      </c>
      <c r="DC182" s="459">
        <f t="shared" si="1018"/>
        <v>0</v>
      </c>
      <c r="DD182" s="459"/>
      <c r="DE182" s="459"/>
      <c r="DF182" s="459"/>
      <c r="DG182" s="459">
        <f t="shared" si="1019"/>
        <v>0</v>
      </c>
      <c r="DH182" s="467"/>
      <c r="DI182" s="459">
        <f t="shared" si="1020"/>
        <v>511.7</v>
      </c>
      <c r="DJ182" s="459">
        <f t="shared" si="1021"/>
        <v>511.7</v>
      </c>
      <c r="DK182" s="467"/>
      <c r="DL182" s="459"/>
      <c r="DM182" s="459"/>
      <c r="DN182" s="467"/>
      <c r="DO182" s="459"/>
      <c r="DP182" s="467"/>
      <c r="DQ182" s="467"/>
      <c r="DR182" s="459">
        <f t="shared" si="733"/>
        <v>511.7</v>
      </c>
      <c r="DS182" s="459"/>
      <c r="DT182" s="460">
        <v>511.7</v>
      </c>
      <c r="DU182" s="459"/>
      <c r="DV182" s="461"/>
      <c r="DW182" s="459">
        <f t="shared" si="734"/>
        <v>130</v>
      </c>
      <c r="DX182" s="459"/>
      <c r="DY182" s="459">
        <v>130</v>
      </c>
      <c r="DZ182" s="459"/>
      <c r="EA182" s="146"/>
      <c r="EB182" s="279"/>
      <c r="EC182" s="279"/>
      <c r="ED182" s="279"/>
      <c r="EE182" s="366"/>
      <c r="EF182" s="366"/>
      <c r="EG182" s="279"/>
      <c r="EH182" s="279"/>
      <c r="EI182" s="279"/>
      <c r="EJ182" s="366"/>
      <c r="EK182" s="366"/>
      <c r="EL182" s="366">
        <v>2.2800000000000001E-2</v>
      </c>
      <c r="EM182" s="280"/>
      <c r="EN182" s="279"/>
      <c r="EO182" s="265" t="e">
        <f t="shared" si="1022"/>
        <v>#DIV/0!</v>
      </c>
      <c r="EP182" s="323">
        <f t="shared" si="736"/>
        <v>641.70000000000005</v>
      </c>
      <c r="EQ182" s="323">
        <f t="shared" si="796"/>
        <v>511.7</v>
      </c>
      <c r="ER182" s="323">
        <v>130</v>
      </c>
      <c r="ES182" s="358">
        <f t="shared" si="1023"/>
        <v>0.79741312139629106</v>
      </c>
      <c r="ET182" s="358">
        <f t="shared" si="1024"/>
        <v>0.20258687860370889</v>
      </c>
      <c r="EU182" s="323">
        <f t="shared" si="737"/>
        <v>641.70000000000005</v>
      </c>
      <c r="EV182" s="323">
        <f t="shared" si="1025"/>
        <v>511.7</v>
      </c>
      <c r="EW182" s="323">
        <f t="shared" si="1026"/>
        <v>130</v>
      </c>
      <c r="EX182" s="358">
        <f t="shared" si="1027"/>
        <v>0.79741312139629106</v>
      </c>
      <c r="EY182" s="358">
        <f t="shared" si="1028"/>
        <v>0.20258687860370889</v>
      </c>
      <c r="EZ182" s="358">
        <v>7.6100000000000001E-2</v>
      </c>
      <c r="FA182" s="323">
        <f t="shared" si="1029"/>
        <v>511.7</v>
      </c>
      <c r="FB182" s="323">
        <f t="shared" si="738"/>
        <v>0</v>
      </c>
      <c r="FC182" s="279"/>
      <c r="FD182" s="279"/>
      <c r="FE182" s="279"/>
      <c r="FF182" s="366"/>
      <c r="FG182" s="366"/>
      <c r="FH182" s="279"/>
      <c r="FI182" s="279"/>
      <c r="FJ182" s="279"/>
      <c r="FK182" s="366"/>
      <c r="FL182" s="366"/>
      <c r="FM182" s="366">
        <v>7.6100000000000001E-2</v>
      </c>
      <c r="FN182" s="280"/>
      <c r="FO182" s="279"/>
    </row>
    <row r="183" spans="2:171" s="40" customFormat="1" ht="15.6" customHeight="1" x14ac:dyDescent="0.25">
      <c r="B183" s="32"/>
      <c r="C183" s="33"/>
      <c r="D183" s="33">
        <v>1</v>
      </c>
      <c r="E183" s="434">
        <v>153</v>
      </c>
      <c r="F183" s="32"/>
      <c r="G183" s="33"/>
      <c r="H183" s="33">
        <v>1</v>
      </c>
      <c r="I183" s="434">
        <v>12</v>
      </c>
      <c r="J183" s="435" t="s">
        <v>269</v>
      </c>
      <c r="K183" s="56" t="s">
        <v>277</v>
      </c>
      <c r="L183" s="53">
        <v>2200</v>
      </c>
      <c r="M183" s="434">
        <v>150</v>
      </c>
      <c r="N183" s="435" t="s">
        <v>131</v>
      </c>
      <c r="O183" s="435" t="s">
        <v>340</v>
      </c>
      <c r="P183" s="24">
        <f t="shared" si="735"/>
        <v>0</v>
      </c>
      <c r="Q183" s="435" t="s">
        <v>501</v>
      </c>
      <c r="R183" s="435" t="s">
        <v>488</v>
      </c>
      <c r="S183" s="435" t="s">
        <v>490</v>
      </c>
      <c r="T183" s="435" t="s">
        <v>488</v>
      </c>
      <c r="U183" s="161">
        <v>1</v>
      </c>
      <c r="V183" s="434"/>
      <c r="W183" s="459">
        <f t="shared" si="999"/>
        <v>2022.1</v>
      </c>
      <c r="X183" s="459"/>
      <c r="Y183" s="460">
        <v>2022.1</v>
      </c>
      <c r="Z183" s="459"/>
      <c r="AA183" s="461"/>
      <c r="AB183" s="459">
        <f t="shared" si="1000"/>
        <v>1598.5</v>
      </c>
      <c r="AC183" s="459"/>
      <c r="AD183" s="460">
        <v>1598.5</v>
      </c>
      <c r="AE183" s="459"/>
      <c r="AF183" s="461"/>
      <c r="AG183" s="459">
        <f t="shared" si="1001"/>
        <v>1598.5</v>
      </c>
      <c r="AH183" s="459"/>
      <c r="AI183" s="460">
        <v>1598.5</v>
      </c>
      <c r="AJ183" s="459"/>
      <c r="AK183" s="461"/>
      <c r="AL183" s="459">
        <f t="shared" si="1002"/>
        <v>695</v>
      </c>
      <c r="AM183" s="459"/>
      <c r="AN183" s="460">
        <v>695</v>
      </c>
      <c r="AO183" s="459"/>
      <c r="AP183" s="496"/>
      <c r="AQ183" s="384" t="s">
        <v>375</v>
      </c>
      <c r="AR183" s="459">
        <f t="shared" si="1003"/>
        <v>2022.1</v>
      </c>
      <c r="AS183" s="459"/>
      <c r="AT183" s="462">
        <v>2022.1</v>
      </c>
      <c r="AU183" s="459"/>
      <c r="AV183" s="461"/>
      <c r="AW183" s="459" t="e">
        <f t="shared" si="1004"/>
        <v>#REF!</v>
      </c>
      <c r="AX183" s="459" t="e">
        <f>#REF!-AS183</f>
        <v>#REF!</v>
      </c>
      <c r="AY183" s="459" t="e">
        <f>#REF!-AT183</f>
        <v>#REF!</v>
      </c>
      <c r="AZ183" s="459" t="e">
        <f>#REF!-AU183</f>
        <v>#REF!</v>
      </c>
      <c r="BA183" s="459" t="e">
        <f>#REF!-AV183</f>
        <v>#REF!</v>
      </c>
      <c r="BB183" s="459">
        <f t="shared" si="1005"/>
        <v>1598.5</v>
      </c>
      <c r="BC183" s="459"/>
      <c r="BD183" s="460">
        <f>695+903.5</f>
        <v>1598.5</v>
      </c>
      <c r="BE183" s="459"/>
      <c r="BF183" s="461"/>
      <c r="BG183" s="459">
        <f t="shared" si="1006"/>
        <v>0</v>
      </c>
      <c r="BH183" s="459"/>
      <c r="BI183" s="461"/>
      <c r="BJ183" s="459"/>
      <c r="BK183" s="461"/>
      <c r="BL183" s="459">
        <f t="shared" si="1007"/>
        <v>2022.1000000000001</v>
      </c>
      <c r="BM183" s="459"/>
      <c r="BN183" s="460">
        <f>372.258+1061.516+588.326</f>
        <v>2022.1000000000001</v>
      </c>
      <c r="BO183" s="459"/>
      <c r="BP183" s="470"/>
      <c r="BQ183" s="459">
        <f t="shared" si="1008"/>
        <v>2022.1000000000001</v>
      </c>
      <c r="BR183" s="459"/>
      <c r="BS183" s="470">
        <f>372.258+1061.516+588.326</f>
        <v>2022.1000000000001</v>
      </c>
      <c r="BT183" s="459"/>
      <c r="BU183" s="461"/>
      <c r="BV183" s="459">
        <f t="shared" si="1009"/>
        <v>202.20999999999998</v>
      </c>
      <c r="BW183" s="459"/>
      <c r="BX183" s="459">
        <f>37.23+106.15+58.83</f>
        <v>202.20999999999998</v>
      </c>
      <c r="BY183" s="459"/>
      <c r="BZ183" s="459"/>
      <c r="CA183" s="464">
        <f t="shared" si="1010"/>
        <v>2224.31</v>
      </c>
      <c r="CB183" s="459">
        <f t="shared" si="1011"/>
        <v>2224.31</v>
      </c>
      <c r="CC183" s="459">
        <f t="shared" si="1012"/>
        <v>0</v>
      </c>
      <c r="CD183" s="459">
        <f t="shared" si="1012"/>
        <v>2224.31</v>
      </c>
      <c r="CE183" s="459">
        <f t="shared" si="1012"/>
        <v>0</v>
      </c>
      <c r="CF183" s="459">
        <f t="shared" si="1012"/>
        <v>0</v>
      </c>
      <c r="CG183" s="459">
        <f t="shared" si="1013"/>
        <v>0</v>
      </c>
      <c r="CH183" s="459">
        <f t="shared" si="1014"/>
        <v>0</v>
      </c>
      <c r="CI183" s="459">
        <f t="shared" si="1014"/>
        <v>0</v>
      </c>
      <c r="CJ183" s="459">
        <f t="shared" si="1014"/>
        <v>0</v>
      </c>
      <c r="CK183" s="459">
        <f t="shared" si="1014"/>
        <v>0</v>
      </c>
      <c r="CL183" s="465"/>
      <c r="CM183" s="466"/>
      <c r="CN183" s="466"/>
      <c r="CO183" s="459">
        <f t="shared" si="1015"/>
        <v>0</v>
      </c>
      <c r="CP183" s="459"/>
      <c r="CQ183" s="461"/>
      <c r="CR183" s="459"/>
      <c r="CS183" s="461"/>
      <c r="CT183" s="459">
        <f t="shared" si="1016"/>
        <v>0</v>
      </c>
      <c r="CU183" s="459"/>
      <c r="CV183" s="461"/>
      <c r="CW183" s="459"/>
      <c r="CX183" s="461"/>
      <c r="CY183" s="459">
        <f t="shared" si="1017"/>
        <v>0</v>
      </c>
      <c r="CZ183" s="459">
        <f t="shared" si="1018"/>
        <v>0</v>
      </c>
      <c r="DA183" s="459">
        <f t="shared" si="1018"/>
        <v>0</v>
      </c>
      <c r="DB183" s="459">
        <f t="shared" si="1018"/>
        <v>0</v>
      </c>
      <c r="DC183" s="459">
        <f t="shared" si="1018"/>
        <v>0</v>
      </c>
      <c r="DD183" s="459"/>
      <c r="DE183" s="459"/>
      <c r="DF183" s="459"/>
      <c r="DG183" s="459">
        <f t="shared" si="1019"/>
        <v>0</v>
      </c>
      <c r="DH183" s="467"/>
      <c r="DI183" s="459">
        <f t="shared" si="1020"/>
        <v>2022.1000000000001</v>
      </c>
      <c r="DJ183" s="459">
        <f t="shared" si="1021"/>
        <v>2022.1000000000001</v>
      </c>
      <c r="DK183" s="467"/>
      <c r="DL183" s="459"/>
      <c r="DM183" s="459"/>
      <c r="DN183" s="467"/>
      <c r="DO183" s="459"/>
      <c r="DP183" s="467"/>
      <c r="DQ183" s="467"/>
      <c r="DR183" s="459">
        <f t="shared" si="733"/>
        <v>2022.1</v>
      </c>
      <c r="DS183" s="459"/>
      <c r="DT183" s="460">
        <v>2022.1</v>
      </c>
      <c r="DU183" s="459"/>
      <c r="DV183" s="461"/>
      <c r="DW183" s="459">
        <f t="shared" si="734"/>
        <v>202.21</v>
      </c>
      <c r="DX183" s="459"/>
      <c r="DY183" s="459">
        <v>202.21</v>
      </c>
      <c r="DZ183" s="459"/>
      <c r="EA183" s="146"/>
      <c r="EB183" s="279"/>
      <c r="EC183" s="279"/>
      <c r="ED183" s="279"/>
      <c r="EE183" s="366"/>
      <c r="EF183" s="366"/>
      <c r="EG183" s="279"/>
      <c r="EH183" s="279"/>
      <c r="EI183" s="279"/>
      <c r="EJ183" s="366"/>
      <c r="EK183" s="366"/>
      <c r="EL183" s="366">
        <v>2.3800000000000002E-2</v>
      </c>
      <c r="EM183" s="280"/>
      <c r="EN183" s="279"/>
      <c r="EO183" s="265" t="e">
        <f t="shared" si="1022"/>
        <v>#DIV/0!</v>
      </c>
      <c r="EP183" s="323">
        <f t="shared" si="736"/>
        <v>2224.31</v>
      </c>
      <c r="EQ183" s="323">
        <f t="shared" si="796"/>
        <v>2022.1</v>
      </c>
      <c r="ER183" s="323">
        <v>202.21</v>
      </c>
      <c r="ES183" s="358">
        <f t="shared" si="1023"/>
        <v>0.90909090909090906</v>
      </c>
      <c r="ET183" s="358">
        <f t="shared" si="1024"/>
        <v>9.0909090909090912E-2</v>
      </c>
      <c r="EU183" s="323">
        <f t="shared" si="737"/>
        <v>2224.31</v>
      </c>
      <c r="EV183" s="323">
        <f t="shared" si="1025"/>
        <v>2022.1</v>
      </c>
      <c r="EW183" s="323">
        <f t="shared" si="1026"/>
        <v>202.21</v>
      </c>
      <c r="EX183" s="358">
        <f t="shared" si="1027"/>
        <v>0.90909090909090906</v>
      </c>
      <c r="EY183" s="358">
        <f t="shared" si="1028"/>
        <v>9.0909090909090912E-2</v>
      </c>
      <c r="EZ183" s="358">
        <v>7.9399999999999998E-2</v>
      </c>
      <c r="FA183" s="323">
        <f t="shared" si="1029"/>
        <v>2022.1</v>
      </c>
      <c r="FB183" s="323">
        <f t="shared" si="738"/>
        <v>0</v>
      </c>
      <c r="FC183" s="279"/>
      <c r="FD183" s="279"/>
      <c r="FE183" s="279"/>
      <c r="FF183" s="366"/>
      <c r="FG183" s="366"/>
      <c r="FH183" s="279"/>
      <c r="FI183" s="279"/>
      <c r="FJ183" s="279"/>
      <c r="FK183" s="366"/>
      <c r="FL183" s="366"/>
      <c r="FM183" s="366">
        <v>7.9399999999999998E-2</v>
      </c>
      <c r="FN183" s="280"/>
      <c r="FO183" s="279"/>
    </row>
    <row r="184" spans="2:171" s="40" customFormat="1" ht="15.6" customHeight="1" x14ac:dyDescent="0.25">
      <c r="B184" s="32"/>
      <c r="C184" s="33">
        <v>1</v>
      </c>
      <c r="D184" s="33"/>
      <c r="E184" s="434">
        <v>154</v>
      </c>
      <c r="F184" s="32"/>
      <c r="G184" s="33"/>
      <c r="H184" s="33">
        <v>1</v>
      </c>
      <c r="I184" s="664" t="s">
        <v>271</v>
      </c>
      <c r="J184" s="665"/>
      <c r="K184" s="665"/>
      <c r="L184" s="159">
        <f>L183</f>
        <v>2200</v>
      </c>
      <c r="M184" s="434">
        <v>151</v>
      </c>
      <c r="N184" s="435" t="s">
        <v>60</v>
      </c>
      <c r="O184" s="435" t="s">
        <v>345</v>
      </c>
      <c r="P184" s="24">
        <f t="shared" si="735"/>
        <v>0</v>
      </c>
      <c r="Q184" s="435" t="s">
        <v>490</v>
      </c>
      <c r="R184" s="435" t="s">
        <v>488</v>
      </c>
      <c r="S184" s="435" t="s">
        <v>491</v>
      </c>
      <c r="T184" s="435" t="s">
        <v>488</v>
      </c>
      <c r="U184" s="161">
        <v>1</v>
      </c>
      <c r="V184" s="434">
        <v>1</v>
      </c>
      <c r="W184" s="459">
        <f t="shared" si="999"/>
        <v>64161.735999999997</v>
      </c>
      <c r="X184" s="459"/>
      <c r="Y184" s="459">
        <v>2341.4</v>
      </c>
      <c r="Z184" s="459">
        <f>12331.312+49489.024</f>
        <v>61820.335999999996</v>
      </c>
      <c r="AA184" s="464"/>
      <c r="AB184" s="459">
        <f t="shared" si="1000"/>
        <v>18073.677</v>
      </c>
      <c r="AC184" s="459"/>
      <c r="AD184" s="459">
        <v>2362.1</v>
      </c>
      <c r="AE184" s="459">
        <v>15711.576999999999</v>
      </c>
      <c r="AF184" s="464"/>
      <c r="AG184" s="459">
        <f t="shared" si="1001"/>
        <v>4432.1000000000004</v>
      </c>
      <c r="AH184" s="459"/>
      <c r="AI184" s="459">
        <v>2362.1</v>
      </c>
      <c r="AJ184" s="459">
        <v>2070</v>
      </c>
      <c r="AK184" s="464"/>
      <c r="AL184" s="459">
        <f t="shared" si="1002"/>
        <v>3097</v>
      </c>
      <c r="AM184" s="459"/>
      <c r="AN184" s="459">
        <v>1027</v>
      </c>
      <c r="AO184" s="459">
        <v>2070</v>
      </c>
      <c r="AP184" s="495"/>
      <c r="AQ184" s="384" t="s">
        <v>437</v>
      </c>
      <c r="AR184" s="459">
        <f t="shared" si="1003"/>
        <v>64161.735999999997</v>
      </c>
      <c r="AS184" s="459"/>
      <c r="AT184" s="469">
        <v>2341.4</v>
      </c>
      <c r="AU184" s="459">
        <f>12331.312+49489.024</f>
        <v>61820.335999999996</v>
      </c>
      <c r="AV184" s="459"/>
      <c r="AW184" s="459" t="e">
        <f t="shared" si="1004"/>
        <v>#REF!</v>
      </c>
      <c r="AX184" s="459" t="e">
        <f>#REF!-AS184</f>
        <v>#REF!</v>
      </c>
      <c r="AY184" s="459" t="e">
        <f>#REF!-AT184</f>
        <v>#REF!</v>
      </c>
      <c r="AZ184" s="459" t="e">
        <f>#REF!-AU184</f>
        <v>#REF!</v>
      </c>
      <c r="BA184" s="459" t="e">
        <f>#REF!-AV184</f>
        <v>#REF!</v>
      </c>
      <c r="BB184" s="459">
        <f t="shared" si="1005"/>
        <v>18827.111999999997</v>
      </c>
      <c r="BC184" s="459"/>
      <c r="BD184" s="459">
        <f>1027+1335.1</f>
        <v>2362.1</v>
      </c>
      <c r="BE184" s="459">
        <f>2070+13641.577+753.435</f>
        <v>16465.011999999999</v>
      </c>
      <c r="BF184" s="459"/>
      <c r="BG184" s="459">
        <f t="shared" si="1006"/>
        <v>0</v>
      </c>
      <c r="BH184" s="459"/>
      <c r="BI184" s="459"/>
      <c r="BJ184" s="459"/>
      <c r="BK184" s="459"/>
      <c r="BL184" s="459">
        <f t="shared" si="1007"/>
        <v>64161.735999999997</v>
      </c>
      <c r="BM184" s="459"/>
      <c r="BN184" s="459">
        <v>2341.4</v>
      </c>
      <c r="BO184" s="459">
        <f>2403.38582+17196.61418+15578.624+11754.22+14887.492</f>
        <v>61820.335999999996</v>
      </c>
      <c r="BP184" s="459"/>
      <c r="BQ184" s="459">
        <f t="shared" si="1008"/>
        <v>64161.735999999997</v>
      </c>
      <c r="BR184" s="459"/>
      <c r="BS184" s="459">
        <v>2341.4</v>
      </c>
      <c r="BT184" s="459">
        <f>2403.38582+17196.61418+15578.624+11754.22+14887.492</f>
        <v>61820.335999999996</v>
      </c>
      <c r="BU184" s="459"/>
      <c r="BV184" s="459">
        <f t="shared" si="1009"/>
        <v>7980.9830000000002</v>
      </c>
      <c r="BW184" s="459"/>
      <c r="BX184" s="459">
        <v>1986.1179999999999</v>
      </c>
      <c r="BY184" s="459">
        <f>1900.658+1000+510.696+1139.835+1443.676</f>
        <v>5994.8649999999998</v>
      </c>
      <c r="BZ184" s="459"/>
      <c r="CA184" s="464">
        <f t="shared" si="1010"/>
        <v>72142.718999999997</v>
      </c>
      <c r="CB184" s="459">
        <f t="shared" si="1011"/>
        <v>72142.718999999997</v>
      </c>
      <c r="CC184" s="459">
        <f t="shared" si="1012"/>
        <v>0</v>
      </c>
      <c r="CD184" s="459">
        <f t="shared" si="1012"/>
        <v>4327.518</v>
      </c>
      <c r="CE184" s="459">
        <f t="shared" si="1012"/>
        <v>67815.201000000001</v>
      </c>
      <c r="CF184" s="459">
        <f t="shared" si="1012"/>
        <v>0</v>
      </c>
      <c r="CG184" s="459">
        <f t="shared" si="1013"/>
        <v>0</v>
      </c>
      <c r="CH184" s="459">
        <f t="shared" si="1014"/>
        <v>0</v>
      </c>
      <c r="CI184" s="459">
        <f t="shared" si="1014"/>
        <v>0</v>
      </c>
      <c r="CJ184" s="459">
        <f t="shared" si="1014"/>
        <v>0</v>
      </c>
      <c r="CK184" s="459">
        <f t="shared" si="1014"/>
        <v>0</v>
      </c>
      <c r="CL184" s="465"/>
      <c r="CM184" s="559">
        <f>BB184+BB192</f>
        <v>20386.511999999999</v>
      </c>
      <c r="CN184" s="559">
        <f>CM184-BG184-BG192</f>
        <v>20386.511999999999</v>
      </c>
      <c r="CO184" s="459">
        <f t="shared" si="1015"/>
        <v>0</v>
      </c>
      <c r="CP184" s="459"/>
      <c r="CQ184" s="459"/>
      <c r="CR184" s="459"/>
      <c r="CS184" s="459"/>
      <c r="CT184" s="459">
        <f t="shared" si="1016"/>
        <v>0</v>
      </c>
      <c r="CU184" s="459"/>
      <c r="CV184" s="459"/>
      <c r="CW184" s="459"/>
      <c r="CX184" s="459"/>
      <c r="CY184" s="459">
        <f t="shared" si="1017"/>
        <v>0</v>
      </c>
      <c r="CZ184" s="459">
        <f t="shared" si="1018"/>
        <v>0</v>
      </c>
      <c r="DA184" s="459">
        <f t="shared" si="1018"/>
        <v>0</v>
      </c>
      <c r="DB184" s="459">
        <f t="shared" si="1018"/>
        <v>0</v>
      </c>
      <c r="DC184" s="459">
        <f t="shared" si="1018"/>
        <v>0</v>
      </c>
      <c r="DD184" s="459"/>
      <c r="DE184" s="464"/>
      <c r="DF184" s="464">
        <f>DD184-DE184</f>
        <v>0</v>
      </c>
      <c r="DG184" s="459">
        <f t="shared" si="1019"/>
        <v>0</v>
      </c>
      <c r="DH184" s="467"/>
      <c r="DI184" s="459">
        <f t="shared" si="1020"/>
        <v>64161.735999999997</v>
      </c>
      <c r="DJ184" s="459">
        <f t="shared" si="1021"/>
        <v>64161.735999999997</v>
      </c>
      <c r="DK184" s="467"/>
      <c r="DL184" s="560">
        <f>DJ184+DJ192</f>
        <v>66079.436000000002</v>
      </c>
      <c r="DM184" s="560">
        <f>DG184+DG192</f>
        <v>0</v>
      </c>
      <c r="DN184" s="467"/>
      <c r="DO184" s="459">
        <f>CN184-DL184</f>
        <v>-45692.923999999999</v>
      </c>
      <c r="DP184" s="467">
        <f>DO184-DM184</f>
        <v>-45692.923999999999</v>
      </c>
      <c r="DQ184" s="467"/>
      <c r="DR184" s="459">
        <f t="shared" si="733"/>
        <v>64161.735999999997</v>
      </c>
      <c r="DS184" s="459"/>
      <c r="DT184" s="459">
        <v>2341.4</v>
      </c>
      <c r="DU184" s="459">
        <f>2403.38582+17196.61418+15578.624+11754.22+14887.492</f>
        <v>61820.335999999996</v>
      </c>
      <c r="DV184" s="459"/>
      <c r="DW184" s="459">
        <f t="shared" si="734"/>
        <v>7980.9830000000002</v>
      </c>
      <c r="DX184" s="459"/>
      <c r="DY184" s="459">
        <v>1986.1179999999999</v>
      </c>
      <c r="DZ184" s="459">
        <f>4551.189+1443.676</f>
        <v>5994.8649999999998</v>
      </c>
      <c r="EA184" s="146"/>
      <c r="EB184" s="279"/>
      <c r="EC184" s="279"/>
      <c r="ED184" s="279"/>
      <c r="EE184" s="366"/>
      <c r="EF184" s="366"/>
      <c r="EG184" s="279"/>
      <c r="EH184" s="279"/>
      <c r="EI184" s="279"/>
      <c r="EJ184" s="366"/>
      <c r="EK184" s="366"/>
      <c r="EL184" s="366">
        <v>2.53E-2</v>
      </c>
      <c r="EM184" s="280"/>
      <c r="EN184" s="279"/>
      <c r="EO184" s="265" t="e">
        <f t="shared" si="1022"/>
        <v>#DIV/0!</v>
      </c>
      <c r="EP184" s="323">
        <f t="shared" si="736"/>
        <v>4327.518</v>
      </c>
      <c r="EQ184" s="323">
        <f t="shared" si="796"/>
        <v>2341.4</v>
      </c>
      <c r="ER184" s="323">
        <v>1986.1179999999999</v>
      </c>
      <c r="ES184" s="358">
        <f t="shared" si="1023"/>
        <v>0.54104916490237598</v>
      </c>
      <c r="ET184" s="358">
        <f t="shared" si="1024"/>
        <v>0.45895083509762408</v>
      </c>
      <c r="EU184" s="323">
        <f t="shared" si="737"/>
        <v>4327.518</v>
      </c>
      <c r="EV184" s="323">
        <f t="shared" si="1025"/>
        <v>2341.4</v>
      </c>
      <c r="EW184" s="323">
        <f t="shared" si="1026"/>
        <v>1986.1179999999999</v>
      </c>
      <c r="EX184" s="358">
        <f t="shared" si="1027"/>
        <v>0.54104916490237598</v>
      </c>
      <c r="EY184" s="358">
        <f t="shared" si="1028"/>
        <v>0.45895083509762408</v>
      </c>
      <c r="EZ184" s="358">
        <v>8.43E-2</v>
      </c>
      <c r="FA184" s="323">
        <f t="shared" si="1029"/>
        <v>2341.4</v>
      </c>
      <c r="FB184" s="323">
        <f t="shared" si="738"/>
        <v>0</v>
      </c>
      <c r="FC184" s="279">
        <f t="shared" ref="FC184" si="1035">FD184+FE184</f>
        <v>67815.201000000001</v>
      </c>
      <c r="FD184" s="279">
        <f t="shared" ref="FD184" si="1036">AU184</f>
        <v>61820.335999999996</v>
      </c>
      <c r="FE184" s="279">
        <v>5994.8649999999998</v>
      </c>
      <c r="FF184" s="366">
        <f t="shared" ref="FF184" si="1037">FD184/FC184</f>
        <v>0.91159998183888002</v>
      </c>
      <c r="FG184" s="366">
        <f t="shared" ref="FG184" si="1038">FE184/FC184</f>
        <v>8.8400018161119948E-2</v>
      </c>
      <c r="FH184" s="279">
        <f t="shared" ref="FH184" si="1039">FI184+FJ184</f>
        <v>67815.201000000001</v>
      </c>
      <c r="FI184" s="279">
        <f t="shared" ref="FI184" si="1040">DU184</f>
        <v>61820.335999999996</v>
      </c>
      <c r="FJ184" s="279">
        <f t="shared" ref="FJ184" si="1041">DZ184</f>
        <v>5994.8649999999998</v>
      </c>
      <c r="FK184" s="366">
        <f t="shared" ref="FK184" si="1042">FI184/FH184</f>
        <v>0.91159998183888002</v>
      </c>
      <c r="FL184" s="366">
        <f t="shared" ref="FL184" si="1043">FJ184/FH184</f>
        <v>8.8400018161119948E-2</v>
      </c>
      <c r="FM184" s="366">
        <v>8.43E-2</v>
      </c>
      <c r="FN184" s="280">
        <f t="shared" ref="FN184" si="1044">FH184*FF184</f>
        <v>61820.336000000003</v>
      </c>
      <c r="FO184" s="279">
        <f t="shared" ref="FO184" si="1045">FI184-FN184</f>
        <v>0</v>
      </c>
    </row>
    <row r="185" spans="2:171" s="40" customFormat="1" ht="15.75" customHeight="1" x14ac:dyDescent="0.25">
      <c r="B185" s="32"/>
      <c r="C185" s="33"/>
      <c r="D185" s="33">
        <v>1</v>
      </c>
      <c r="E185" s="434">
        <v>155</v>
      </c>
      <c r="F185" s="32"/>
      <c r="G185" s="33"/>
      <c r="H185" s="33"/>
      <c r="I185" s="434"/>
      <c r="J185" s="435"/>
      <c r="K185" s="435"/>
      <c r="L185" s="53"/>
      <c r="M185" s="434">
        <v>152</v>
      </c>
      <c r="N185" s="435" t="s">
        <v>132</v>
      </c>
      <c r="O185" s="435"/>
      <c r="P185" s="24">
        <f t="shared" si="735"/>
        <v>0</v>
      </c>
      <c r="Q185" s="435" t="s">
        <v>490</v>
      </c>
      <c r="R185" s="435" t="s">
        <v>488</v>
      </c>
      <c r="S185" s="435"/>
      <c r="T185" s="435"/>
      <c r="U185" s="161">
        <v>1</v>
      </c>
      <c r="V185" s="434">
        <v>1</v>
      </c>
      <c r="W185" s="459">
        <f t="shared" si="999"/>
        <v>1346.7</v>
      </c>
      <c r="X185" s="459"/>
      <c r="Y185" s="460">
        <v>1346.7</v>
      </c>
      <c r="Z185" s="459"/>
      <c r="AA185" s="461"/>
      <c r="AB185" s="459">
        <f t="shared" si="1000"/>
        <v>1223.5999999999999</v>
      </c>
      <c r="AC185" s="459"/>
      <c r="AD185" s="460">
        <v>1223.5999999999999</v>
      </c>
      <c r="AE185" s="459"/>
      <c r="AF185" s="461"/>
      <c r="AG185" s="459">
        <f t="shared" si="1001"/>
        <v>1223.5999999999999</v>
      </c>
      <c r="AH185" s="459"/>
      <c r="AI185" s="460">
        <v>1223.5999999999999</v>
      </c>
      <c r="AJ185" s="459"/>
      <c r="AK185" s="461"/>
      <c r="AL185" s="459">
        <f t="shared" si="1002"/>
        <v>532</v>
      </c>
      <c r="AM185" s="459"/>
      <c r="AN185" s="460">
        <v>532</v>
      </c>
      <c r="AO185" s="459"/>
      <c r="AP185" s="496"/>
      <c r="AQ185" s="384" t="s">
        <v>527</v>
      </c>
      <c r="AR185" s="459">
        <f t="shared" si="1003"/>
        <v>1346.7</v>
      </c>
      <c r="AS185" s="459"/>
      <c r="AT185" s="462">
        <v>1346.7</v>
      </c>
      <c r="AU185" s="459"/>
      <c r="AV185" s="461"/>
      <c r="AW185" s="459" t="e">
        <f t="shared" si="1004"/>
        <v>#REF!</v>
      </c>
      <c r="AX185" s="459" t="e">
        <f>#REF!-AS185</f>
        <v>#REF!</v>
      </c>
      <c r="AY185" s="459" t="e">
        <f>#REF!-AT185</f>
        <v>#REF!</v>
      </c>
      <c r="AZ185" s="459" t="e">
        <f>#REF!-AU185</f>
        <v>#REF!</v>
      </c>
      <c r="BA185" s="459" t="e">
        <f>#REF!-AV185</f>
        <v>#REF!</v>
      </c>
      <c r="BB185" s="459">
        <f t="shared" si="1005"/>
        <v>1223.5999999999999</v>
      </c>
      <c r="BC185" s="459"/>
      <c r="BD185" s="460">
        <v>1223.5999999999999</v>
      </c>
      <c r="BE185" s="459"/>
      <c r="BF185" s="461"/>
      <c r="BG185" s="459">
        <f t="shared" si="1006"/>
        <v>0</v>
      </c>
      <c r="BH185" s="459"/>
      <c r="BI185" s="460"/>
      <c r="BJ185" s="459"/>
      <c r="BK185" s="461"/>
      <c r="BL185" s="459">
        <f t="shared" si="1007"/>
        <v>1346.7</v>
      </c>
      <c r="BM185" s="459"/>
      <c r="BN185" s="460">
        <v>1346.7</v>
      </c>
      <c r="BO185" s="459"/>
      <c r="BP185" s="470"/>
      <c r="BQ185" s="459">
        <f t="shared" si="1008"/>
        <v>1346.7</v>
      </c>
      <c r="BR185" s="459"/>
      <c r="BS185" s="460">
        <v>1346.7</v>
      </c>
      <c r="BT185" s="459"/>
      <c r="BU185" s="461"/>
      <c r="BV185" s="459">
        <f t="shared" si="1009"/>
        <v>671.38900000000001</v>
      </c>
      <c r="BW185" s="459"/>
      <c r="BX185" s="459">
        <v>671.38900000000001</v>
      </c>
      <c r="BY185" s="459"/>
      <c r="BZ185" s="459"/>
      <c r="CA185" s="464">
        <f t="shared" si="1010"/>
        <v>2018.0889999999999</v>
      </c>
      <c r="CB185" s="459">
        <f t="shared" si="1011"/>
        <v>2018.0889999999999</v>
      </c>
      <c r="CC185" s="459">
        <f t="shared" si="1012"/>
        <v>0</v>
      </c>
      <c r="CD185" s="459">
        <f t="shared" si="1012"/>
        <v>2018.0889999999999</v>
      </c>
      <c r="CE185" s="459">
        <f t="shared" si="1012"/>
        <v>0</v>
      </c>
      <c r="CF185" s="459">
        <f t="shared" si="1012"/>
        <v>0</v>
      </c>
      <c r="CG185" s="459">
        <f t="shared" si="1013"/>
        <v>0</v>
      </c>
      <c r="CH185" s="459">
        <f t="shared" si="1014"/>
        <v>0</v>
      </c>
      <c r="CI185" s="459">
        <f t="shared" si="1014"/>
        <v>0</v>
      </c>
      <c r="CJ185" s="459">
        <f t="shared" si="1014"/>
        <v>0</v>
      </c>
      <c r="CK185" s="459">
        <f t="shared" si="1014"/>
        <v>0</v>
      </c>
      <c r="CL185" s="465"/>
      <c r="CM185" s="466">
        <f>AR180+AR181+AR182+AR183+AR185+AR186+AR187+AR188+AR189+AR190+AR191+AR193+AR194</f>
        <v>8967.4816300000002</v>
      </c>
      <c r="CN185" s="466">
        <f>CM185+CO181-BG186-BG187</f>
        <v>8967.4816300000002</v>
      </c>
      <c r="CO185" s="459">
        <f t="shared" si="1015"/>
        <v>0</v>
      </c>
      <c r="CP185" s="459"/>
      <c r="CQ185" s="460"/>
      <c r="CR185" s="459"/>
      <c r="CS185" s="461"/>
      <c r="CT185" s="459">
        <f t="shared" si="1016"/>
        <v>0</v>
      </c>
      <c r="CU185" s="459"/>
      <c r="CV185" s="460"/>
      <c r="CW185" s="459"/>
      <c r="CX185" s="461"/>
      <c r="CY185" s="459">
        <f t="shared" si="1017"/>
        <v>0</v>
      </c>
      <c r="CZ185" s="459">
        <f t="shared" si="1018"/>
        <v>0</v>
      </c>
      <c r="DA185" s="459">
        <f t="shared" si="1018"/>
        <v>0</v>
      </c>
      <c r="DB185" s="459">
        <f t="shared" si="1018"/>
        <v>0</v>
      </c>
      <c r="DC185" s="459">
        <f t="shared" si="1018"/>
        <v>0</v>
      </c>
      <c r="DD185" s="459"/>
      <c r="DE185" s="459"/>
      <c r="DF185" s="459"/>
      <c r="DG185" s="459">
        <f t="shared" si="1019"/>
        <v>0</v>
      </c>
      <c r="DH185" s="467"/>
      <c r="DI185" s="459">
        <f t="shared" si="1020"/>
        <v>1346.7</v>
      </c>
      <c r="DJ185" s="459">
        <f t="shared" si="1021"/>
        <v>1346.7</v>
      </c>
      <c r="DK185" s="467"/>
      <c r="DL185" s="459">
        <f>DJ180+DJ181+DJ182+DJ183+DJ185+DJ186+DJ187+DJ188+DJ189+DJ190+DJ191+DJ193+DJ194</f>
        <v>8967.4816300000002</v>
      </c>
      <c r="DM185" s="459">
        <f>DG180+DG181+DG182+DG183+DG185+DG186+DG187+DG188+DG189+DG190+DG191+DG192+DG193+DG194</f>
        <v>0</v>
      </c>
      <c r="DN185" s="467"/>
      <c r="DO185" s="459">
        <f>CN185-DL185</f>
        <v>0</v>
      </c>
      <c r="DP185" s="467"/>
      <c r="DQ185" s="467"/>
      <c r="DR185" s="459">
        <f t="shared" si="733"/>
        <v>1346.7</v>
      </c>
      <c r="DS185" s="459"/>
      <c r="DT185" s="460">
        <v>1346.7</v>
      </c>
      <c r="DU185" s="459"/>
      <c r="DV185" s="461"/>
      <c r="DW185" s="459">
        <f t="shared" si="734"/>
        <v>671.38900000000001</v>
      </c>
      <c r="DX185" s="459"/>
      <c r="DY185" s="459">
        <v>671.38900000000001</v>
      </c>
      <c r="DZ185" s="459"/>
      <c r="EA185" s="146"/>
      <c r="EB185" s="279"/>
      <c r="EC185" s="279"/>
      <c r="ED185" s="279"/>
      <c r="EE185" s="366"/>
      <c r="EF185" s="366"/>
      <c r="EG185" s="279"/>
      <c r="EH185" s="279"/>
      <c r="EI185" s="279"/>
      <c r="EJ185" s="366"/>
      <c r="EK185" s="366"/>
      <c r="EL185" s="366">
        <v>4.0899999999999999E-2</v>
      </c>
      <c r="EM185" s="280"/>
      <c r="EN185" s="279"/>
      <c r="EO185" s="265" t="e">
        <f t="shared" si="1022"/>
        <v>#DIV/0!</v>
      </c>
      <c r="EP185" s="323">
        <f t="shared" si="736"/>
        <v>2018.0889999999999</v>
      </c>
      <c r="EQ185" s="323">
        <f t="shared" si="796"/>
        <v>1346.7</v>
      </c>
      <c r="ER185" s="323">
        <v>671.38900000000001</v>
      </c>
      <c r="ES185" s="358">
        <f t="shared" si="1023"/>
        <v>0.66731447423775669</v>
      </c>
      <c r="ET185" s="358">
        <f t="shared" si="1024"/>
        <v>0.33268552576224342</v>
      </c>
      <c r="EU185" s="323">
        <f t="shared" si="737"/>
        <v>2018.0889999999999</v>
      </c>
      <c r="EV185" s="323">
        <f t="shared" si="1025"/>
        <v>1346.7</v>
      </c>
      <c r="EW185" s="323">
        <f t="shared" si="1026"/>
        <v>671.38900000000001</v>
      </c>
      <c r="EX185" s="358">
        <f t="shared" si="1027"/>
        <v>0.66731447423775669</v>
      </c>
      <c r="EY185" s="358">
        <f t="shared" si="1028"/>
        <v>0.33268552576224342</v>
      </c>
      <c r="EZ185" s="358">
        <v>0.1363</v>
      </c>
      <c r="FA185" s="323">
        <f t="shared" si="1029"/>
        <v>1346.7</v>
      </c>
      <c r="FB185" s="323">
        <f t="shared" si="738"/>
        <v>0</v>
      </c>
      <c r="FC185" s="279"/>
      <c r="FD185" s="279"/>
      <c r="FE185" s="279"/>
      <c r="FF185" s="366"/>
      <c r="FG185" s="366"/>
      <c r="FH185" s="279"/>
      <c r="FI185" s="279"/>
      <c r="FJ185" s="279"/>
      <c r="FK185" s="366"/>
      <c r="FL185" s="366"/>
      <c r="FM185" s="366">
        <v>0.1363</v>
      </c>
      <c r="FN185" s="280"/>
      <c r="FO185" s="279"/>
    </row>
    <row r="186" spans="2:171" s="40" customFormat="1" ht="15.75" customHeight="1" x14ac:dyDescent="0.25">
      <c r="B186" s="32"/>
      <c r="C186" s="33"/>
      <c r="D186" s="33">
        <v>1</v>
      </c>
      <c r="E186" s="434">
        <v>156</v>
      </c>
      <c r="F186" s="32"/>
      <c r="G186" s="33"/>
      <c r="H186" s="33">
        <v>1</v>
      </c>
      <c r="I186" s="434"/>
      <c r="J186" s="435"/>
      <c r="K186" s="435"/>
      <c r="L186" s="53"/>
      <c r="M186" s="434">
        <v>153</v>
      </c>
      <c r="N186" s="435" t="s">
        <v>133</v>
      </c>
      <c r="O186" s="435"/>
      <c r="P186" s="24">
        <f t="shared" si="735"/>
        <v>0</v>
      </c>
      <c r="Q186" s="435" t="s">
        <v>491</v>
      </c>
      <c r="R186" s="435" t="s">
        <v>488</v>
      </c>
      <c r="S186" s="435"/>
      <c r="T186" s="435"/>
      <c r="U186" s="161">
        <v>1</v>
      </c>
      <c r="V186" s="434"/>
      <c r="W186" s="459">
        <f t="shared" si="999"/>
        <v>642.70000000000005</v>
      </c>
      <c r="X186" s="459"/>
      <c r="Y186" s="460">
        <v>642.70000000000005</v>
      </c>
      <c r="Z186" s="459"/>
      <c r="AA186" s="461"/>
      <c r="AB186" s="459">
        <f t="shared" si="1000"/>
        <v>648.6</v>
      </c>
      <c r="AC186" s="459"/>
      <c r="AD186" s="460">
        <v>648.6</v>
      </c>
      <c r="AE186" s="459"/>
      <c r="AF186" s="461"/>
      <c r="AG186" s="459">
        <f t="shared" si="1001"/>
        <v>648.6</v>
      </c>
      <c r="AH186" s="459"/>
      <c r="AI186" s="460">
        <v>648.6</v>
      </c>
      <c r="AJ186" s="459"/>
      <c r="AK186" s="461"/>
      <c r="AL186" s="459">
        <f t="shared" si="1002"/>
        <v>282</v>
      </c>
      <c r="AM186" s="459"/>
      <c r="AN186" s="460">
        <v>282</v>
      </c>
      <c r="AO186" s="459"/>
      <c r="AP186" s="496"/>
      <c r="AQ186" s="384" t="s">
        <v>405</v>
      </c>
      <c r="AR186" s="459">
        <f t="shared" si="1003"/>
        <v>642.70000000000005</v>
      </c>
      <c r="AS186" s="459"/>
      <c r="AT186" s="462">
        <v>642.70000000000005</v>
      </c>
      <c r="AU186" s="459"/>
      <c r="AV186" s="461"/>
      <c r="AW186" s="459" t="e">
        <f t="shared" si="1004"/>
        <v>#REF!</v>
      </c>
      <c r="AX186" s="459" t="e">
        <f>#REF!-AS186</f>
        <v>#REF!</v>
      </c>
      <c r="AY186" s="459" t="e">
        <f>#REF!-AT186</f>
        <v>#REF!</v>
      </c>
      <c r="AZ186" s="459" t="e">
        <f>#REF!-AU186</f>
        <v>#REF!</v>
      </c>
      <c r="BA186" s="459" t="e">
        <f>#REF!-AV186</f>
        <v>#REF!</v>
      </c>
      <c r="BB186" s="459">
        <f t="shared" si="1005"/>
        <v>648.6</v>
      </c>
      <c r="BC186" s="459"/>
      <c r="BD186" s="460">
        <v>648.6</v>
      </c>
      <c r="BE186" s="459"/>
      <c r="BF186" s="461"/>
      <c r="BG186" s="459">
        <f t="shared" si="1006"/>
        <v>0</v>
      </c>
      <c r="BH186" s="459"/>
      <c r="BI186" s="460"/>
      <c r="BJ186" s="459"/>
      <c r="BK186" s="461"/>
      <c r="BL186" s="459">
        <f t="shared" si="1007"/>
        <v>642.70000000000005</v>
      </c>
      <c r="BM186" s="459"/>
      <c r="BN186" s="462">
        <v>642.70000000000005</v>
      </c>
      <c r="BO186" s="459"/>
      <c r="BP186" s="470"/>
      <c r="BQ186" s="459">
        <f t="shared" si="1008"/>
        <v>642.70000000000005</v>
      </c>
      <c r="BR186" s="459"/>
      <c r="BS186" s="462">
        <v>642.70000000000005</v>
      </c>
      <c r="BT186" s="459"/>
      <c r="BU186" s="461"/>
      <c r="BV186" s="459">
        <f t="shared" si="1009"/>
        <v>69.3</v>
      </c>
      <c r="BW186" s="459"/>
      <c r="BX186" s="459">
        <v>69.3</v>
      </c>
      <c r="BY186" s="459"/>
      <c r="BZ186" s="459"/>
      <c r="CA186" s="464">
        <f t="shared" si="1010"/>
        <v>712</v>
      </c>
      <c r="CB186" s="459">
        <f t="shared" si="1011"/>
        <v>712</v>
      </c>
      <c r="CC186" s="459">
        <f t="shared" si="1012"/>
        <v>0</v>
      </c>
      <c r="CD186" s="459">
        <f t="shared" si="1012"/>
        <v>712</v>
      </c>
      <c r="CE186" s="459">
        <f t="shared" si="1012"/>
        <v>0</v>
      </c>
      <c r="CF186" s="459">
        <f t="shared" si="1012"/>
        <v>0</v>
      </c>
      <c r="CG186" s="459">
        <f t="shared" si="1013"/>
        <v>0</v>
      </c>
      <c r="CH186" s="459">
        <f t="shared" si="1014"/>
        <v>0</v>
      </c>
      <c r="CI186" s="459">
        <f t="shared" si="1014"/>
        <v>0</v>
      </c>
      <c r="CJ186" s="459">
        <f t="shared" si="1014"/>
        <v>0</v>
      </c>
      <c r="CK186" s="459">
        <f t="shared" si="1014"/>
        <v>0</v>
      </c>
      <c r="CL186" s="465"/>
      <c r="CM186" s="466"/>
      <c r="CN186" s="466"/>
      <c r="CO186" s="459">
        <f t="shared" si="1015"/>
        <v>0</v>
      </c>
      <c r="CP186" s="459"/>
      <c r="CQ186" s="460"/>
      <c r="CR186" s="459"/>
      <c r="CS186" s="461"/>
      <c r="CT186" s="459">
        <f t="shared" si="1016"/>
        <v>0</v>
      </c>
      <c r="CU186" s="459"/>
      <c r="CV186" s="460"/>
      <c r="CW186" s="459"/>
      <c r="CX186" s="461"/>
      <c r="CY186" s="459">
        <f t="shared" si="1017"/>
        <v>0</v>
      </c>
      <c r="CZ186" s="459">
        <f t="shared" si="1018"/>
        <v>0</v>
      </c>
      <c r="DA186" s="459">
        <f t="shared" si="1018"/>
        <v>0</v>
      </c>
      <c r="DB186" s="459">
        <f t="shared" si="1018"/>
        <v>0</v>
      </c>
      <c r="DC186" s="459">
        <f t="shared" si="1018"/>
        <v>0</v>
      </c>
      <c r="DD186" s="459"/>
      <c r="DE186" s="459"/>
      <c r="DF186" s="459"/>
      <c r="DG186" s="459">
        <f t="shared" si="1019"/>
        <v>0</v>
      </c>
      <c r="DH186" s="467"/>
      <c r="DI186" s="459">
        <f t="shared" si="1020"/>
        <v>642.70000000000005</v>
      </c>
      <c r="DJ186" s="459">
        <f t="shared" si="1021"/>
        <v>642.70000000000005</v>
      </c>
      <c r="DK186" s="467"/>
      <c r="DL186" s="459"/>
      <c r="DM186" s="459"/>
      <c r="DN186" s="467"/>
      <c r="DO186" s="459"/>
      <c r="DP186" s="467"/>
      <c r="DQ186" s="467"/>
      <c r="DR186" s="459">
        <f t="shared" si="733"/>
        <v>642.70000000000005</v>
      </c>
      <c r="DS186" s="459"/>
      <c r="DT186" s="460">
        <v>642.70000000000005</v>
      </c>
      <c r="DU186" s="459"/>
      <c r="DV186" s="461"/>
      <c r="DW186" s="459">
        <f t="shared" si="734"/>
        <v>69.3</v>
      </c>
      <c r="DX186" s="459"/>
      <c r="DY186" s="459">
        <v>69.3</v>
      </c>
      <c r="DZ186" s="459"/>
      <c r="EA186" s="146"/>
      <c r="EB186" s="279"/>
      <c r="EC186" s="279"/>
      <c r="ED186" s="279"/>
      <c r="EE186" s="366"/>
      <c r="EF186" s="366"/>
      <c r="EG186" s="279"/>
      <c r="EH186" s="279"/>
      <c r="EI186" s="279"/>
      <c r="EJ186" s="366"/>
      <c r="EK186" s="366"/>
      <c r="EL186" s="366">
        <v>2.24E-2</v>
      </c>
      <c r="EM186" s="280"/>
      <c r="EN186" s="279"/>
      <c r="EO186" s="265" t="e">
        <f t="shared" si="1022"/>
        <v>#DIV/0!</v>
      </c>
      <c r="EP186" s="323">
        <f t="shared" si="736"/>
        <v>712</v>
      </c>
      <c r="EQ186" s="323">
        <f t="shared" si="796"/>
        <v>642.70000000000005</v>
      </c>
      <c r="ER186" s="323">
        <v>69.3</v>
      </c>
      <c r="ES186" s="358">
        <f t="shared" si="1023"/>
        <v>0.90266853932584279</v>
      </c>
      <c r="ET186" s="358">
        <f t="shared" si="1024"/>
        <v>9.7331460674157294E-2</v>
      </c>
      <c r="EU186" s="323">
        <f t="shared" si="737"/>
        <v>712</v>
      </c>
      <c r="EV186" s="323">
        <f t="shared" si="1025"/>
        <v>642.70000000000005</v>
      </c>
      <c r="EW186" s="323">
        <f t="shared" si="1026"/>
        <v>69.3</v>
      </c>
      <c r="EX186" s="358">
        <f t="shared" si="1027"/>
        <v>0.90266853932584279</v>
      </c>
      <c r="EY186" s="358">
        <f t="shared" si="1028"/>
        <v>9.7331460674157294E-2</v>
      </c>
      <c r="EZ186" s="358">
        <v>7.4800000000000005E-2</v>
      </c>
      <c r="FA186" s="323">
        <f t="shared" si="1029"/>
        <v>642.70000000000005</v>
      </c>
      <c r="FB186" s="323">
        <f t="shared" si="738"/>
        <v>0</v>
      </c>
      <c r="FC186" s="279"/>
      <c r="FD186" s="279"/>
      <c r="FE186" s="279"/>
      <c r="FF186" s="366"/>
      <c r="FG186" s="366"/>
      <c r="FH186" s="279"/>
      <c r="FI186" s="279"/>
      <c r="FJ186" s="279"/>
      <c r="FK186" s="366"/>
      <c r="FL186" s="366"/>
      <c r="FM186" s="366">
        <v>7.4800000000000005E-2</v>
      </c>
      <c r="FN186" s="280"/>
      <c r="FO186" s="279"/>
    </row>
    <row r="187" spans="2:171" s="40" customFormat="1" ht="15.6" customHeight="1" x14ac:dyDescent="0.25">
      <c r="B187" s="32"/>
      <c r="C187" s="33"/>
      <c r="D187" s="33">
        <v>1</v>
      </c>
      <c r="E187" s="434">
        <v>157</v>
      </c>
      <c r="F187" s="32"/>
      <c r="G187" s="33"/>
      <c r="H187" s="33">
        <v>1</v>
      </c>
      <c r="I187" s="434"/>
      <c r="J187" s="435"/>
      <c r="K187" s="435"/>
      <c r="L187" s="53"/>
      <c r="M187" s="434">
        <v>154</v>
      </c>
      <c r="N187" s="435" t="s">
        <v>134</v>
      </c>
      <c r="O187" s="435"/>
      <c r="P187" s="24">
        <f t="shared" si="735"/>
        <v>0</v>
      </c>
      <c r="Q187" s="435" t="s">
        <v>490</v>
      </c>
      <c r="R187" s="435" t="s">
        <v>488</v>
      </c>
      <c r="S187" s="435" t="s">
        <v>490</v>
      </c>
      <c r="T187" s="435" t="s">
        <v>488</v>
      </c>
      <c r="U187" s="161">
        <v>1</v>
      </c>
      <c r="V187" s="434">
        <v>1</v>
      </c>
      <c r="W187" s="459">
        <f t="shared" si="999"/>
        <v>1183</v>
      </c>
      <c r="X187" s="459"/>
      <c r="Y187" s="460">
        <v>1183</v>
      </c>
      <c r="Z187" s="459"/>
      <c r="AA187" s="461"/>
      <c r="AB187" s="459">
        <f t="shared" si="1000"/>
        <v>1177.5999999999999</v>
      </c>
      <c r="AC187" s="459"/>
      <c r="AD187" s="460">
        <v>1177.5999999999999</v>
      </c>
      <c r="AE187" s="459"/>
      <c r="AF187" s="461"/>
      <c r="AG187" s="459">
        <f t="shared" si="1001"/>
        <v>1177.5999999999999</v>
      </c>
      <c r="AH187" s="459"/>
      <c r="AI187" s="460">
        <v>1177.5999999999999</v>
      </c>
      <c r="AJ187" s="459"/>
      <c r="AK187" s="461"/>
      <c r="AL187" s="459">
        <f t="shared" si="1002"/>
        <v>512</v>
      </c>
      <c r="AM187" s="459"/>
      <c r="AN187" s="460">
        <v>512</v>
      </c>
      <c r="AO187" s="459"/>
      <c r="AP187" s="496"/>
      <c r="AQ187" s="384" t="s">
        <v>430</v>
      </c>
      <c r="AR187" s="459">
        <f t="shared" si="1003"/>
        <v>1066.174</v>
      </c>
      <c r="AS187" s="459"/>
      <c r="AT187" s="462">
        <f>1183-116.826</f>
        <v>1066.174</v>
      </c>
      <c r="AU187" s="459"/>
      <c r="AV187" s="459"/>
      <c r="AW187" s="459" t="e">
        <f t="shared" si="1004"/>
        <v>#REF!</v>
      </c>
      <c r="AX187" s="459" t="e">
        <f>#REF!-AS187</f>
        <v>#REF!</v>
      </c>
      <c r="AY187" s="459" t="e">
        <f>#REF!-AT187</f>
        <v>#REF!</v>
      </c>
      <c r="AZ187" s="459" t="e">
        <f>#REF!-AU187</f>
        <v>#REF!</v>
      </c>
      <c r="BA187" s="459" t="e">
        <f>#REF!-AV187</f>
        <v>#REF!</v>
      </c>
      <c r="BB187" s="459">
        <f t="shared" si="1005"/>
        <v>1177.5999999999999</v>
      </c>
      <c r="BC187" s="459"/>
      <c r="BD187" s="460">
        <f>512+665.6</f>
        <v>1177.5999999999999</v>
      </c>
      <c r="BE187" s="459"/>
      <c r="BF187" s="459"/>
      <c r="BG187" s="459">
        <f t="shared" si="1006"/>
        <v>0</v>
      </c>
      <c r="BH187" s="459"/>
      <c r="BI187" s="460"/>
      <c r="BJ187" s="459"/>
      <c r="BK187" s="459"/>
      <c r="BL187" s="459">
        <f t="shared" si="1007"/>
        <v>1066.174</v>
      </c>
      <c r="BM187" s="459"/>
      <c r="BN187" s="460">
        <f>516.258+549.916</f>
        <v>1066.174</v>
      </c>
      <c r="BO187" s="459"/>
      <c r="BP187" s="459"/>
      <c r="BQ187" s="459">
        <f t="shared" si="1008"/>
        <v>1066.174</v>
      </c>
      <c r="BR187" s="459"/>
      <c r="BS187" s="460">
        <f>516.258+549.916</f>
        <v>1066.174</v>
      </c>
      <c r="BT187" s="459"/>
      <c r="BU187" s="459"/>
      <c r="BV187" s="459">
        <f t="shared" si="1009"/>
        <v>85.078069999999997</v>
      </c>
      <c r="BW187" s="459"/>
      <c r="BX187" s="459">
        <f>41.19605+43.88202</f>
        <v>85.078069999999997</v>
      </c>
      <c r="BY187" s="459"/>
      <c r="BZ187" s="459"/>
      <c r="CA187" s="464">
        <f t="shared" si="1010"/>
        <v>1151.25207</v>
      </c>
      <c r="CB187" s="459">
        <f t="shared" si="1011"/>
        <v>1151.25207</v>
      </c>
      <c r="CC187" s="459">
        <f t="shared" si="1012"/>
        <v>0</v>
      </c>
      <c r="CD187" s="459">
        <f t="shared" si="1012"/>
        <v>1151.25207</v>
      </c>
      <c r="CE187" s="459">
        <f t="shared" si="1012"/>
        <v>0</v>
      </c>
      <c r="CF187" s="459">
        <f t="shared" si="1012"/>
        <v>0</v>
      </c>
      <c r="CG187" s="459">
        <f t="shared" si="1013"/>
        <v>0</v>
      </c>
      <c r="CH187" s="459">
        <f t="shared" si="1014"/>
        <v>0</v>
      </c>
      <c r="CI187" s="459">
        <f t="shared" si="1014"/>
        <v>0</v>
      </c>
      <c r="CJ187" s="459">
        <f t="shared" si="1014"/>
        <v>0</v>
      </c>
      <c r="CK187" s="459">
        <f t="shared" si="1014"/>
        <v>0</v>
      </c>
      <c r="CL187" s="465"/>
      <c r="CM187" s="466"/>
      <c r="CN187" s="466"/>
      <c r="CO187" s="459">
        <f t="shared" si="1015"/>
        <v>0</v>
      </c>
      <c r="CP187" s="459"/>
      <c r="CQ187" s="460"/>
      <c r="CR187" s="459"/>
      <c r="CS187" s="459"/>
      <c r="CT187" s="459">
        <f t="shared" si="1016"/>
        <v>0</v>
      </c>
      <c r="CU187" s="459"/>
      <c r="CV187" s="460"/>
      <c r="CW187" s="459"/>
      <c r="CX187" s="459"/>
      <c r="CY187" s="459">
        <f t="shared" si="1017"/>
        <v>0</v>
      </c>
      <c r="CZ187" s="459">
        <f t="shared" si="1018"/>
        <v>0</v>
      </c>
      <c r="DA187" s="459">
        <f t="shared" si="1018"/>
        <v>0</v>
      </c>
      <c r="DB187" s="459">
        <f t="shared" si="1018"/>
        <v>0</v>
      </c>
      <c r="DC187" s="459">
        <f t="shared" si="1018"/>
        <v>0</v>
      </c>
      <c r="DD187" s="459"/>
      <c r="DE187" s="459"/>
      <c r="DF187" s="459"/>
      <c r="DG187" s="459">
        <f t="shared" si="1019"/>
        <v>0</v>
      </c>
      <c r="DH187" s="467"/>
      <c r="DI187" s="459">
        <f t="shared" si="1020"/>
        <v>1066.174</v>
      </c>
      <c r="DJ187" s="459">
        <f t="shared" si="1021"/>
        <v>1066.174</v>
      </c>
      <c r="DK187" s="467"/>
      <c r="DL187" s="459"/>
      <c r="DM187" s="459"/>
      <c r="DN187" s="467"/>
      <c r="DO187" s="459"/>
      <c r="DP187" s="467"/>
      <c r="DQ187" s="467"/>
      <c r="DR187" s="459">
        <f t="shared" si="733"/>
        <v>1066.174</v>
      </c>
      <c r="DS187" s="459"/>
      <c r="DT187" s="460">
        <f>516.258+549.916</f>
        <v>1066.174</v>
      </c>
      <c r="DU187" s="459"/>
      <c r="DV187" s="459"/>
      <c r="DW187" s="459">
        <f t="shared" si="734"/>
        <v>85.078069999999997</v>
      </c>
      <c r="DX187" s="459"/>
      <c r="DY187" s="459">
        <f>41.19605+43.88202</f>
        <v>85.078069999999997</v>
      </c>
      <c r="DZ187" s="459"/>
      <c r="EA187" s="146"/>
      <c r="EB187" s="279"/>
      <c r="EC187" s="279"/>
      <c r="ED187" s="279"/>
      <c r="EE187" s="366"/>
      <c r="EF187" s="366"/>
      <c r="EG187" s="279"/>
      <c r="EH187" s="279"/>
      <c r="EI187" s="279"/>
      <c r="EJ187" s="366"/>
      <c r="EK187" s="366"/>
      <c r="EL187" s="366">
        <v>2.2200000000000001E-2</v>
      </c>
      <c r="EM187" s="280"/>
      <c r="EN187" s="279"/>
      <c r="EO187" s="265" t="e">
        <f t="shared" si="1022"/>
        <v>#DIV/0!</v>
      </c>
      <c r="EP187" s="323">
        <f t="shared" si="736"/>
        <v>1151.25207</v>
      </c>
      <c r="EQ187" s="323">
        <f t="shared" si="796"/>
        <v>1066.174</v>
      </c>
      <c r="ER187" s="323">
        <v>85.078069999999997</v>
      </c>
      <c r="ES187" s="358">
        <f t="shared" si="1023"/>
        <v>0.926099529184777</v>
      </c>
      <c r="ET187" s="358">
        <f t="shared" si="1024"/>
        <v>7.3900470815222941E-2</v>
      </c>
      <c r="EU187" s="323">
        <f t="shared" si="737"/>
        <v>1151.25207</v>
      </c>
      <c r="EV187" s="323">
        <f t="shared" si="1025"/>
        <v>1066.174</v>
      </c>
      <c r="EW187" s="323">
        <f t="shared" si="1026"/>
        <v>85.078069999999997</v>
      </c>
      <c r="EX187" s="358">
        <f t="shared" si="1027"/>
        <v>0.926099529184777</v>
      </c>
      <c r="EY187" s="358">
        <f t="shared" si="1028"/>
        <v>7.3900470815222941E-2</v>
      </c>
      <c r="EZ187" s="358">
        <v>7.3899999999999993E-2</v>
      </c>
      <c r="FA187" s="323">
        <f t="shared" si="1029"/>
        <v>1066.174</v>
      </c>
      <c r="FB187" s="323">
        <f t="shared" si="738"/>
        <v>0</v>
      </c>
      <c r="FC187" s="279"/>
      <c r="FD187" s="279"/>
      <c r="FE187" s="279"/>
      <c r="FF187" s="366"/>
      <c r="FG187" s="366"/>
      <c r="FH187" s="279"/>
      <c r="FI187" s="279"/>
      <c r="FJ187" s="279"/>
      <c r="FK187" s="366"/>
      <c r="FL187" s="366"/>
      <c r="FM187" s="366">
        <v>7.3899999999999993E-2</v>
      </c>
      <c r="FN187" s="280"/>
      <c r="FO187" s="279"/>
    </row>
    <row r="188" spans="2:171" s="40" customFormat="1" ht="15.6" customHeight="1" x14ac:dyDescent="0.25">
      <c r="B188" s="32"/>
      <c r="C188" s="33"/>
      <c r="D188" s="33">
        <v>1</v>
      </c>
      <c r="E188" s="434">
        <v>158</v>
      </c>
      <c r="F188" s="32"/>
      <c r="G188" s="33"/>
      <c r="H188" s="33"/>
      <c r="I188" s="434"/>
      <c r="J188" s="435"/>
      <c r="K188" s="435"/>
      <c r="L188" s="53"/>
      <c r="M188" s="434">
        <v>155</v>
      </c>
      <c r="N188" s="435" t="s">
        <v>135</v>
      </c>
      <c r="O188" s="435"/>
      <c r="P188" s="24">
        <f t="shared" si="735"/>
        <v>0</v>
      </c>
      <c r="Q188" s="435"/>
      <c r="R188" s="435"/>
      <c r="S188" s="435" t="s">
        <v>537</v>
      </c>
      <c r="T188" s="435" t="s">
        <v>488</v>
      </c>
      <c r="U188" s="161">
        <v>1</v>
      </c>
      <c r="V188" s="434"/>
      <c r="W188" s="459">
        <f t="shared" si="999"/>
        <v>395</v>
      </c>
      <c r="X188" s="459"/>
      <c r="Y188" s="460">
        <v>395</v>
      </c>
      <c r="Z188" s="459"/>
      <c r="AA188" s="461"/>
      <c r="AB188" s="459">
        <f t="shared" si="1000"/>
        <v>441.6</v>
      </c>
      <c r="AC188" s="459"/>
      <c r="AD188" s="460">
        <v>441.6</v>
      </c>
      <c r="AE188" s="459"/>
      <c r="AF188" s="461"/>
      <c r="AG188" s="459">
        <f t="shared" si="1001"/>
        <v>441.6</v>
      </c>
      <c r="AH188" s="459"/>
      <c r="AI188" s="460">
        <v>441.6</v>
      </c>
      <c r="AJ188" s="459"/>
      <c r="AK188" s="461"/>
      <c r="AL188" s="459">
        <f t="shared" si="1002"/>
        <v>192</v>
      </c>
      <c r="AM188" s="459"/>
      <c r="AN188" s="460">
        <v>192</v>
      </c>
      <c r="AO188" s="459"/>
      <c r="AP188" s="496"/>
      <c r="AQ188" s="384" t="s">
        <v>415</v>
      </c>
      <c r="AR188" s="459">
        <f t="shared" si="1003"/>
        <v>395</v>
      </c>
      <c r="AS188" s="459"/>
      <c r="AT188" s="462">
        <v>395</v>
      </c>
      <c r="AU188" s="459"/>
      <c r="AV188" s="459"/>
      <c r="AW188" s="459" t="e">
        <f t="shared" si="1004"/>
        <v>#REF!</v>
      </c>
      <c r="AX188" s="459" t="e">
        <f>#REF!-AS188</f>
        <v>#REF!</v>
      </c>
      <c r="AY188" s="459" t="e">
        <f>#REF!-AT188</f>
        <v>#REF!</v>
      </c>
      <c r="AZ188" s="459" t="e">
        <f>#REF!-AU188</f>
        <v>#REF!</v>
      </c>
      <c r="BA188" s="459" t="e">
        <f>#REF!-AV188</f>
        <v>#REF!</v>
      </c>
      <c r="BB188" s="459">
        <f t="shared" si="1005"/>
        <v>441.6</v>
      </c>
      <c r="BC188" s="459"/>
      <c r="BD188" s="460">
        <v>441.6</v>
      </c>
      <c r="BE188" s="459"/>
      <c r="BF188" s="459"/>
      <c r="BG188" s="459">
        <f t="shared" si="1006"/>
        <v>0</v>
      </c>
      <c r="BH188" s="459"/>
      <c r="BI188" s="459"/>
      <c r="BJ188" s="459"/>
      <c r="BK188" s="459"/>
      <c r="BL188" s="459">
        <f t="shared" si="1007"/>
        <v>395</v>
      </c>
      <c r="BM188" s="459"/>
      <c r="BN188" s="462">
        <v>395</v>
      </c>
      <c r="BO188" s="459"/>
      <c r="BP188" s="459"/>
      <c r="BQ188" s="459">
        <f t="shared" si="1008"/>
        <v>395</v>
      </c>
      <c r="BR188" s="459"/>
      <c r="BS188" s="462">
        <v>395</v>
      </c>
      <c r="BT188" s="459"/>
      <c r="BU188" s="459"/>
      <c r="BV188" s="459">
        <f t="shared" si="1009"/>
        <v>31.6</v>
      </c>
      <c r="BW188" s="459"/>
      <c r="BX188" s="459">
        <v>31.6</v>
      </c>
      <c r="BY188" s="459"/>
      <c r="BZ188" s="459"/>
      <c r="CA188" s="464">
        <f t="shared" si="1010"/>
        <v>426.6</v>
      </c>
      <c r="CB188" s="459">
        <f t="shared" si="1011"/>
        <v>426.6</v>
      </c>
      <c r="CC188" s="459">
        <f t="shared" si="1012"/>
        <v>0</v>
      </c>
      <c r="CD188" s="459">
        <f t="shared" si="1012"/>
        <v>426.6</v>
      </c>
      <c r="CE188" s="459">
        <f t="shared" si="1012"/>
        <v>0</v>
      </c>
      <c r="CF188" s="459">
        <f t="shared" si="1012"/>
        <v>0</v>
      </c>
      <c r="CG188" s="459">
        <f t="shared" si="1013"/>
        <v>0</v>
      </c>
      <c r="CH188" s="459">
        <f t="shared" si="1014"/>
        <v>0</v>
      </c>
      <c r="CI188" s="459">
        <f t="shared" si="1014"/>
        <v>0</v>
      </c>
      <c r="CJ188" s="459">
        <f t="shared" si="1014"/>
        <v>0</v>
      </c>
      <c r="CK188" s="459">
        <f t="shared" si="1014"/>
        <v>0</v>
      </c>
      <c r="CL188" s="465"/>
      <c r="CM188" s="466"/>
      <c r="CN188" s="466"/>
      <c r="CO188" s="459">
        <f t="shared" si="1015"/>
        <v>0</v>
      </c>
      <c r="CP188" s="459"/>
      <c r="CQ188" s="459"/>
      <c r="CR188" s="459"/>
      <c r="CS188" s="459"/>
      <c r="CT188" s="459">
        <f t="shared" si="1016"/>
        <v>0</v>
      </c>
      <c r="CU188" s="459"/>
      <c r="CV188" s="459"/>
      <c r="CW188" s="459"/>
      <c r="CX188" s="459"/>
      <c r="CY188" s="459">
        <f t="shared" si="1017"/>
        <v>0</v>
      </c>
      <c r="CZ188" s="459">
        <f t="shared" si="1018"/>
        <v>0</v>
      </c>
      <c r="DA188" s="459">
        <f t="shared" si="1018"/>
        <v>0</v>
      </c>
      <c r="DB188" s="459">
        <f t="shared" si="1018"/>
        <v>0</v>
      </c>
      <c r="DC188" s="459">
        <f t="shared" si="1018"/>
        <v>0</v>
      </c>
      <c r="DD188" s="459"/>
      <c r="DE188" s="459"/>
      <c r="DF188" s="459"/>
      <c r="DG188" s="459">
        <f t="shared" si="1019"/>
        <v>0</v>
      </c>
      <c r="DH188" s="467"/>
      <c r="DI188" s="459">
        <f t="shared" si="1020"/>
        <v>395</v>
      </c>
      <c r="DJ188" s="459">
        <f t="shared" si="1021"/>
        <v>395</v>
      </c>
      <c r="DK188" s="467"/>
      <c r="DL188" s="459"/>
      <c r="DM188" s="459"/>
      <c r="DN188" s="467"/>
      <c r="DO188" s="459"/>
      <c r="DP188" s="467"/>
      <c r="DQ188" s="467"/>
      <c r="DR188" s="459">
        <f t="shared" si="733"/>
        <v>395</v>
      </c>
      <c r="DS188" s="459"/>
      <c r="DT188" s="462">
        <v>395</v>
      </c>
      <c r="DU188" s="459"/>
      <c r="DV188" s="459"/>
      <c r="DW188" s="459">
        <f t="shared" si="734"/>
        <v>31.6</v>
      </c>
      <c r="DX188" s="459"/>
      <c r="DY188" s="459">
        <v>31.6</v>
      </c>
      <c r="DZ188" s="459"/>
      <c r="EA188" s="146"/>
      <c r="EB188" s="279"/>
      <c r="EC188" s="279"/>
      <c r="ED188" s="279"/>
      <c r="EE188" s="366"/>
      <c r="EF188" s="366"/>
      <c r="EG188" s="279"/>
      <c r="EH188" s="279"/>
      <c r="EI188" s="279"/>
      <c r="EJ188" s="366"/>
      <c r="EK188" s="366"/>
      <c r="EL188" s="366">
        <v>2.18E-2</v>
      </c>
      <c r="EM188" s="280"/>
      <c r="EN188" s="279"/>
      <c r="EO188" s="265" t="e">
        <f t="shared" si="1022"/>
        <v>#DIV/0!</v>
      </c>
      <c r="EP188" s="323">
        <f t="shared" si="736"/>
        <v>426.6</v>
      </c>
      <c r="EQ188" s="323">
        <f t="shared" si="796"/>
        <v>395</v>
      </c>
      <c r="ER188" s="323">
        <v>31.6</v>
      </c>
      <c r="ES188" s="358">
        <f t="shared" si="1023"/>
        <v>0.92592592592592593</v>
      </c>
      <c r="ET188" s="358">
        <f t="shared" si="1024"/>
        <v>7.407407407407407E-2</v>
      </c>
      <c r="EU188" s="323">
        <f t="shared" si="737"/>
        <v>426.6</v>
      </c>
      <c r="EV188" s="323">
        <f t="shared" si="1025"/>
        <v>395</v>
      </c>
      <c r="EW188" s="323">
        <f t="shared" si="1026"/>
        <v>31.6</v>
      </c>
      <c r="EX188" s="358">
        <f t="shared" si="1027"/>
        <v>0.92592592592592593</v>
      </c>
      <c r="EY188" s="358">
        <f t="shared" si="1028"/>
        <v>7.407407407407407E-2</v>
      </c>
      <c r="EZ188" s="358">
        <v>7.2599999999999998E-2</v>
      </c>
      <c r="FA188" s="323">
        <f t="shared" si="1029"/>
        <v>395</v>
      </c>
      <c r="FB188" s="323">
        <f t="shared" si="738"/>
        <v>0</v>
      </c>
      <c r="FC188" s="279"/>
      <c r="FD188" s="279"/>
      <c r="FE188" s="279"/>
      <c r="FF188" s="366"/>
      <c r="FG188" s="366"/>
      <c r="FH188" s="279"/>
      <c r="FI188" s="279"/>
      <c r="FJ188" s="279"/>
      <c r="FK188" s="366"/>
      <c r="FL188" s="366"/>
      <c r="FM188" s="366">
        <v>7.2599999999999998E-2</v>
      </c>
      <c r="FN188" s="280"/>
      <c r="FO188" s="279"/>
    </row>
    <row r="189" spans="2:171" s="40" customFormat="1" ht="15.6" customHeight="1" x14ac:dyDescent="0.25">
      <c r="B189" s="32"/>
      <c r="C189" s="33"/>
      <c r="D189" s="33">
        <v>1</v>
      </c>
      <c r="E189" s="434">
        <v>159</v>
      </c>
      <c r="F189" s="32"/>
      <c r="G189" s="33"/>
      <c r="H189" s="33">
        <v>1</v>
      </c>
      <c r="I189" s="434"/>
      <c r="J189" s="435"/>
      <c r="K189" s="435"/>
      <c r="L189" s="53"/>
      <c r="M189" s="434">
        <v>156</v>
      </c>
      <c r="N189" s="435" t="s">
        <v>136</v>
      </c>
      <c r="O189" s="435"/>
      <c r="P189" s="24">
        <f t="shared" si="735"/>
        <v>0</v>
      </c>
      <c r="Q189" s="435" t="s">
        <v>491</v>
      </c>
      <c r="R189" s="435" t="s">
        <v>488</v>
      </c>
      <c r="S189" s="435"/>
      <c r="T189" s="435"/>
      <c r="U189" s="161">
        <v>1</v>
      </c>
      <c r="V189" s="434">
        <v>1</v>
      </c>
      <c r="W189" s="459">
        <f t="shared" si="999"/>
        <v>603.79999999999995</v>
      </c>
      <c r="X189" s="459"/>
      <c r="Y189" s="460">
        <v>603.79999999999995</v>
      </c>
      <c r="Z189" s="459"/>
      <c r="AA189" s="461"/>
      <c r="AB189" s="459">
        <f t="shared" si="1000"/>
        <v>609.5</v>
      </c>
      <c r="AC189" s="459"/>
      <c r="AD189" s="460">
        <v>609.5</v>
      </c>
      <c r="AE189" s="459"/>
      <c r="AF189" s="461"/>
      <c r="AG189" s="459">
        <f t="shared" si="1001"/>
        <v>609.5</v>
      </c>
      <c r="AH189" s="459"/>
      <c r="AI189" s="460">
        <v>609.5</v>
      </c>
      <c r="AJ189" s="459"/>
      <c r="AK189" s="461"/>
      <c r="AL189" s="459">
        <f t="shared" si="1002"/>
        <v>265</v>
      </c>
      <c r="AM189" s="459"/>
      <c r="AN189" s="460">
        <v>265</v>
      </c>
      <c r="AO189" s="459"/>
      <c r="AP189" s="496"/>
      <c r="AQ189" s="384" t="s">
        <v>519</v>
      </c>
      <c r="AR189" s="459">
        <f t="shared" si="1003"/>
        <v>603.79999999999995</v>
      </c>
      <c r="AS189" s="459"/>
      <c r="AT189" s="462">
        <v>603.79999999999995</v>
      </c>
      <c r="AU189" s="459"/>
      <c r="AV189" s="461"/>
      <c r="AW189" s="459" t="e">
        <f t="shared" si="1004"/>
        <v>#REF!</v>
      </c>
      <c r="AX189" s="459" t="e">
        <f>#REF!-AS189</f>
        <v>#REF!</v>
      </c>
      <c r="AY189" s="459" t="e">
        <f>#REF!-AT189</f>
        <v>#REF!</v>
      </c>
      <c r="AZ189" s="459" t="e">
        <f>#REF!-AU189</f>
        <v>#REF!</v>
      </c>
      <c r="BA189" s="459" t="e">
        <f>#REF!-AV189</f>
        <v>#REF!</v>
      </c>
      <c r="BB189" s="459">
        <f t="shared" si="1005"/>
        <v>609.5</v>
      </c>
      <c r="BC189" s="459"/>
      <c r="BD189" s="460">
        <f>265+344.5</f>
        <v>609.5</v>
      </c>
      <c r="BE189" s="459"/>
      <c r="BF189" s="461"/>
      <c r="BG189" s="459">
        <f t="shared" si="1006"/>
        <v>0</v>
      </c>
      <c r="BH189" s="459"/>
      <c r="BI189" s="461"/>
      <c r="BJ189" s="459"/>
      <c r="BK189" s="461"/>
      <c r="BL189" s="459">
        <f t="shared" si="1007"/>
        <v>603.79999999999995</v>
      </c>
      <c r="BM189" s="459"/>
      <c r="BN189" s="462">
        <v>603.79999999999995</v>
      </c>
      <c r="BO189" s="459"/>
      <c r="BP189" s="470"/>
      <c r="BQ189" s="459">
        <f t="shared" si="1008"/>
        <v>603.79999999999995</v>
      </c>
      <c r="BR189" s="459"/>
      <c r="BS189" s="462">
        <v>603.79999999999995</v>
      </c>
      <c r="BT189" s="459"/>
      <c r="BU189" s="461"/>
      <c r="BV189" s="459">
        <f t="shared" si="1009"/>
        <v>68.694779999999994</v>
      </c>
      <c r="BW189" s="459"/>
      <c r="BX189" s="459">
        <v>68.694779999999994</v>
      </c>
      <c r="BY189" s="459"/>
      <c r="BZ189" s="459"/>
      <c r="CA189" s="464">
        <f t="shared" si="1010"/>
        <v>672.49477999999999</v>
      </c>
      <c r="CB189" s="459">
        <f t="shared" si="1011"/>
        <v>672.49477999999999</v>
      </c>
      <c r="CC189" s="459">
        <f t="shared" si="1012"/>
        <v>0</v>
      </c>
      <c r="CD189" s="459">
        <f t="shared" si="1012"/>
        <v>672.49477999999999</v>
      </c>
      <c r="CE189" s="459">
        <f t="shared" si="1012"/>
        <v>0</v>
      </c>
      <c r="CF189" s="459">
        <f t="shared" si="1012"/>
        <v>0</v>
      </c>
      <c r="CG189" s="459">
        <f t="shared" si="1013"/>
        <v>0</v>
      </c>
      <c r="CH189" s="459">
        <f t="shared" si="1014"/>
        <v>0</v>
      </c>
      <c r="CI189" s="459">
        <f t="shared" si="1014"/>
        <v>0</v>
      </c>
      <c r="CJ189" s="459">
        <f t="shared" si="1014"/>
        <v>0</v>
      </c>
      <c r="CK189" s="459">
        <f t="shared" si="1014"/>
        <v>0</v>
      </c>
      <c r="CL189" s="465"/>
      <c r="CM189" s="466"/>
      <c r="CN189" s="466"/>
      <c r="CO189" s="459">
        <f t="shared" si="1015"/>
        <v>0</v>
      </c>
      <c r="CP189" s="459"/>
      <c r="CQ189" s="461"/>
      <c r="CR189" s="459"/>
      <c r="CS189" s="461"/>
      <c r="CT189" s="459">
        <f t="shared" si="1016"/>
        <v>0</v>
      </c>
      <c r="CU189" s="459"/>
      <c r="CV189" s="461"/>
      <c r="CW189" s="459"/>
      <c r="CX189" s="461"/>
      <c r="CY189" s="459">
        <f t="shared" si="1017"/>
        <v>0</v>
      </c>
      <c r="CZ189" s="459">
        <f t="shared" si="1018"/>
        <v>0</v>
      </c>
      <c r="DA189" s="459">
        <f t="shared" si="1018"/>
        <v>0</v>
      </c>
      <c r="DB189" s="459">
        <f t="shared" si="1018"/>
        <v>0</v>
      </c>
      <c r="DC189" s="459">
        <f t="shared" si="1018"/>
        <v>0</v>
      </c>
      <c r="DD189" s="459"/>
      <c r="DE189" s="459"/>
      <c r="DF189" s="459"/>
      <c r="DG189" s="459">
        <f t="shared" si="1019"/>
        <v>0</v>
      </c>
      <c r="DH189" s="467"/>
      <c r="DI189" s="459">
        <f t="shared" si="1020"/>
        <v>603.79999999999995</v>
      </c>
      <c r="DJ189" s="459">
        <f t="shared" si="1021"/>
        <v>603.79999999999995</v>
      </c>
      <c r="DK189" s="467"/>
      <c r="DL189" s="459"/>
      <c r="DM189" s="459"/>
      <c r="DN189" s="467"/>
      <c r="DO189" s="459"/>
      <c r="DP189" s="467"/>
      <c r="DQ189" s="467"/>
      <c r="DR189" s="459">
        <f t="shared" si="733"/>
        <v>603.79999999999995</v>
      </c>
      <c r="DS189" s="459"/>
      <c r="DT189" s="460">
        <v>603.79999999999995</v>
      </c>
      <c r="DU189" s="459"/>
      <c r="DV189" s="461"/>
      <c r="DW189" s="459">
        <f t="shared" si="734"/>
        <v>68.694779999999994</v>
      </c>
      <c r="DX189" s="459"/>
      <c r="DY189" s="459">
        <v>68.694779999999994</v>
      </c>
      <c r="DZ189" s="459"/>
      <c r="EA189" s="146"/>
      <c r="EB189" s="279"/>
      <c r="EC189" s="279"/>
      <c r="ED189" s="279"/>
      <c r="EE189" s="366"/>
      <c r="EF189" s="366"/>
      <c r="EG189" s="279"/>
      <c r="EH189" s="279"/>
      <c r="EI189" s="279"/>
      <c r="EJ189" s="366"/>
      <c r="EK189" s="366"/>
      <c r="EL189" s="366">
        <v>2.18E-2</v>
      </c>
      <c r="EM189" s="280"/>
      <c r="EN189" s="279"/>
      <c r="EO189" s="265" t="e">
        <f t="shared" si="1022"/>
        <v>#DIV/0!</v>
      </c>
      <c r="EP189" s="323">
        <f t="shared" si="736"/>
        <v>672.49477999999999</v>
      </c>
      <c r="EQ189" s="323">
        <f t="shared" si="796"/>
        <v>603.79999999999995</v>
      </c>
      <c r="ER189" s="323">
        <v>68.694779999999994</v>
      </c>
      <c r="ES189" s="358">
        <f t="shared" si="1023"/>
        <v>0.89785083536261789</v>
      </c>
      <c r="ET189" s="358">
        <f t="shared" si="1024"/>
        <v>0.10214916463738201</v>
      </c>
      <c r="EU189" s="323">
        <f t="shared" si="737"/>
        <v>672.49477999999999</v>
      </c>
      <c r="EV189" s="323">
        <f t="shared" si="1025"/>
        <v>603.79999999999995</v>
      </c>
      <c r="EW189" s="323">
        <f t="shared" si="1026"/>
        <v>68.694779999999994</v>
      </c>
      <c r="EX189" s="358">
        <f t="shared" si="1027"/>
        <v>0.89785083536261789</v>
      </c>
      <c r="EY189" s="358">
        <f t="shared" si="1028"/>
        <v>0.10214916463738201</v>
      </c>
      <c r="EZ189" s="358">
        <v>7.2800000000000004E-2</v>
      </c>
      <c r="FA189" s="323">
        <f t="shared" si="1029"/>
        <v>603.79999999999995</v>
      </c>
      <c r="FB189" s="323">
        <f t="shared" si="738"/>
        <v>0</v>
      </c>
      <c r="FC189" s="279"/>
      <c r="FD189" s="279"/>
      <c r="FE189" s="279"/>
      <c r="FF189" s="366"/>
      <c r="FG189" s="366"/>
      <c r="FH189" s="279"/>
      <c r="FI189" s="279"/>
      <c r="FJ189" s="279"/>
      <c r="FK189" s="366"/>
      <c r="FL189" s="366"/>
      <c r="FM189" s="366">
        <v>7.2800000000000004E-2</v>
      </c>
      <c r="FN189" s="280"/>
      <c r="FO189" s="279"/>
    </row>
    <row r="190" spans="2:171" s="40" customFormat="1" ht="15.6" customHeight="1" x14ac:dyDescent="0.25">
      <c r="B190" s="32"/>
      <c r="C190" s="33"/>
      <c r="D190" s="33">
        <v>1</v>
      </c>
      <c r="E190" s="434">
        <v>160</v>
      </c>
      <c r="F190" s="32"/>
      <c r="G190" s="33"/>
      <c r="H190" s="33">
        <v>1</v>
      </c>
      <c r="I190" s="434"/>
      <c r="J190" s="435"/>
      <c r="K190" s="435"/>
      <c r="L190" s="53"/>
      <c r="M190" s="434">
        <v>157</v>
      </c>
      <c r="N190" s="435" t="s">
        <v>137</v>
      </c>
      <c r="O190" s="435"/>
      <c r="P190" s="24">
        <f t="shared" si="735"/>
        <v>0</v>
      </c>
      <c r="Q190" s="435" t="s">
        <v>490</v>
      </c>
      <c r="R190" s="435" t="s">
        <v>488</v>
      </c>
      <c r="S190" s="435"/>
      <c r="T190" s="435"/>
      <c r="U190" s="161">
        <v>1</v>
      </c>
      <c r="V190" s="434">
        <v>1</v>
      </c>
      <c r="W190" s="459">
        <f t="shared" si="999"/>
        <v>794.1</v>
      </c>
      <c r="X190" s="459"/>
      <c r="Y190" s="460">
        <v>794.1</v>
      </c>
      <c r="Z190" s="459"/>
      <c r="AA190" s="461"/>
      <c r="AB190" s="459">
        <f t="shared" si="1000"/>
        <v>759</v>
      </c>
      <c r="AC190" s="459"/>
      <c r="AD190" s="460">
        <v>759</v>
      </c>
      <c r="AE190" s="459"/>
      <c r="AF190" s="461"/>
      <c r="AG190" s="459">
        <f t="shared" si="1001"/>
        <v>759</v>
      </c>
      <c r="AH190" s="459"/>
      <c r="AI190" s="460">
        <v>759</v>
      </c>
      <c r="AJ190" s="459"/>
      <c r="AK190" s="461"/>
      <c r="AL190" s="459">
        <f t="shared" si="1002"/>
        <v>330</v>
      </c>
      <c r="AM190" s="459"/>
      <c r="AN190" s="460">
        <v>330</v>
      </c>
      <c r="AO190" s="459"/>
      <c r="AP190" s="496"/>
      <c r="AQ190" s="384" t="s">
        <v>458</v>
      </c>
      <c r="AR190" s="459">
        <f t="shared" si="1003"/>
        <v>754.39499999999998</v>
      </c>
      <c r="AS190" s="459"/>
      <c r="AT190" s="462">
        <f>794.1-39.705</f>
        <v>754.39499999999998</v>
      </c>
      <c r="AU190" s="459"/>
      <c r="AV190" s="461"/>
      <c r="AW190" s="459" t="e">
        <f t="shared" si="1004"/>
        <v>#REF!</v>
      </c>
      <c r="AX190" s="459" t="e">
        <f>#REF!-AS190</f>
        <v>#REF!</v>
      </c>
      <c r="AY190" s="459" t="e">
        <f>#REF!-AT190</f>
        <v>#REF!</v>
      </c>
      <c r="AZ190" s="459" t="e">
        <f>#REF!-AU190</f>
        <v>#REF!</v>
      </c>
      <c r="BA190" s="459" t="e">
        <f>#REF!-AV190</f>
        <v>#REF!</v>
      </c>
      <c r="BB190" s="459">
        <f t="shared" si="1005"/>
        <v>759</v>
      </c>
      <c r="BC190" s="459"/>
      <c r="BD190" s="460">
        <f>330+429</f>
        <v>759</v>
      </c>
      <c r="BE190" s="459"/>
      <c r="BF190" s="461"/>
      <c r="BG190" s="459">
        <f t="shared" si="1006"/>
        <v>0</v>
      </c>
      <c r="BH190" s="459"/>
      <c r="BI190" s="460"/>
      <c r="BJ190" s="459"/>
      <c r="BK190" s="461"/>
      <c r="BL190" s="459">
        <f t="shared" si="1007"/>
        <v>754.39499999999998</v>
      </c>
      <c r="BM190" s="459"/>
      <c r="BN190" s="460">
        <v>754.39499999999998</v>
      </c>
      <c r="BO190" s="459"/>
      <c r="BP190" s="470"/>
      <c r="BQ190" s="459">
        <f t="shared" si="1008"/>
        <v>754.39499999999998</v>
      </c>
      <c r="BR190" s="459"/>
      <c r="BS190" s="460">
        <v>754.39499999999998</v>
      </c>
      <c r="BT190" s="459"/>
      <c r="BU190" s="461"/>
      <c r="BV190" s="459">
        <f t="shared" si="1009"/>
        <v>313.44299999999998</v>
      </c>
      <c r="BW190" s="459"/>
      <c r="BX190" s="459">
        <v>313.44299999999998</v>
      </c>
      <c r="BY190" s="459"/>
      <c r="BZ190" s="459"/>
      <c r="CA190" s="464">
        <f t="shared" si="1010"/>
        <v>1067.838</v>
      </c>
      <c r="CB190" s="459">
        <f t="shared" si="1011"/>
        <v>1067.838</v>
      </c>
      <c r="CC190" s="459">
        <f t="shared" si="1012"/>
        <v>0</v>
      </c>
      <c r="CD190" s="459">
        <f t="shared" si="1012"/>
        <v>1067.838</v>
      </c>
      <c r="CE190" s="459">
        <f t="shared" si="1012"/>
        <v>0</v>
      </c>
      <c r="CF190" s="459">
        <f t="shared" si="1012"/>
        <v>0</v>
      </c>
      <c r="CG190" s="459">
        <f t="shared" si="1013"/>
        <v>0</v>
      </c>
      <c r="CH190" s="459">
        <f t="shared" si="1014"/>
        <v>0</v>
      </c>
      <c r="CI190" s="459">
        <f t="shared" si="1014"/>
        <v>0</v>
      </c>
      <c r="CJ190" s="459">
        <f t="shared" si="1014"/>
        <v>0</v>
      </c>
      <c r="CK190" s="459">
        <f t="shared" si="1014"/>
        <v>0</v>
      </c>
      <c r="CL190" s="465"/>
      <c r="CM190" s="466"/>
      <c r="CN190" s="466"/>
      <c r="CO190" s="459">
        <f t="shared" si="1015"/>
        <v>0</v>
      </c>
      <c r="CP190" s="459"/>
      <c r="CQ190" s="460"/>
      <c r="CR190" s="459"/>
      <c r="CS190" s="461"/>
      <c r="CT190" s="459">
        <f t="shared" si="1016"/>
        <v>0</v>
      </c>
      <c r="CU190" s="459"/>
      <c r="CV190" s="460"/>
      <c r="CW190" s="459"/>
      <c r="CX190" s="461"/>
      <c r="CY190" s="459">
        <f t="shared" si="1017"/>
        <v>0</v>
      </c>
      <c r="CZ190" s="459">
        <f t="shared" si="1018"/>
        <v>0</v>
      </c>
      <c r="DA190" s="459">
        <f t="shared" si="1018"/>
        <v>0</v>
      </c>
      <c r="DB190" s="459">
        <f t="shared" si="1018"/>
        <v>0</v>
      </c>
      <c r="DC190" s="459">
        <f t="shared" si="1018"/>
        <v>0</v>
      </c>
      <c r="DD190" s="459"/>
      <c r="DE190" s="459"/>
      <c r="DF190" s="459"/>
      <c r="DG190" s="459">
        <f t="shared" si="1019"/>
        <v>0</v>
      </c>
      <c r="DH190" s="467"/>
      <c r="DI190" s="459">
        <f t="shared" si="1020"/>
        <v>754.39499999999998</v>
      </c>
      <c r="DJ190" s="459">
        <f t="shared" si="1021"/>
        <v>754.39499999999998</v>
      </c>
      <c r="DK190" s="467"/>
      <c r="DL190" s="459"/>
      <c r="DM190" s="459"/>
      <c r="DN190" s="467"/>
      <c r="DO190" s="459"/>
      <c r="DP190" s="467"/>
      <c r="DQ190" s="467"/>
      <c r="DR190" s="459">
        <f t="shared" si="733"/>
        <v>754.39499999999998</v>
      </c>
      <c r="DS190" s="459"/>
      <c r="DT190" s="460">
        <v>754.39499999999998</v>
      </c>
      <c r="DU190" s="459"/>
      <c r="DV190" s="461"/>
      <c r="DW190" s="459">
        <f t="shared" si="734"/>
        <v>313.44299999999998</v>
      </c>
      <c r="DX190" s="459"/>
      <c r="DY190" s="459">
        <v>313.44299999999998</v>
      </c>
      <c r="DZ190" s="472"/>
      <c r="EA190" s="146"/>
      <c r="EB190" s="279"/>
      <c r="EC190" s="279"/>
      <c r="ED190" s="279"/>
      <c r="EE190" s="370"/>
      <c r="EF190" s="370"/>
      <c r="EG190" s="279"/>
      <c r="EH190" s="279"/>
      <c r="EI190" s="279"/>
      <c r="EJ190" s="370"/>
      <c r="EK190" s="370"/>
      <c r="EL190" s="372">
        <v>2.4899999999999999E-2</v>
      </c>
      <c r="EM190" s="289"/>
      <c r="EN190" s="428"/>
      <c r="EO190" s="270" t="e">
        <f t="shared" si="1022"/>
        <v>#DIV/0!</v>
      </c>
      <c r="EP190" s="323">
        <f t="shared" si="736"/>
        <v>1067.838</v>
      </c>
      <c r="EQ190" s="323">
        <f t="shared" si="796"/>
        <v>754.39499999999998</v>
      </c>
      <c r="ER190" s="323">
        <v>313.44299999999998</v>
      </c>
      <c r="ES190" s="364">
        <f t="shared" si="1023"/>
        <v>0.7064695206576278</v>
      </c>
      <c r="ET190" s="364">
        <f t="shared" si="1024"/>
        <v>0.29353047934237214</v>
      </c>
      <c r="EU190" s="323">
        <f t="shared" si="737"/>
        <v>1067.838</v>
      </c>
      <c r="EV190" s="323">
        <f t="shared" si="1025"/>
        <v>754.39499999999998</v>
      </c>
      <c r="EW190" s="323">
        <f t="shared" si="1026"/>
        <v>313.44299999999998</v>
      </c>
      <c r="EX190" s="364">
        <f t="shared" si="1027"/>
        <v>0.7064695206576278</v>
      </c>
      <c r="EY190" s="364">
        <f t="shared" si="1028"/>
        <v>0.29353047934237214</v>
      </c>
      <c r="EZ190" s="364">
        <v>8.3000000000000004E-2</v>
      </c>
      <c r="FA190" s="324">
        <f t="shared" si="1029"/>
        <v>754.39499999999998</v>
      </c>
      <c r="FB190" s="324">
        <f t="shared" si="738"/>
        <v>0</v>
      </c>
      <c r="FC190" s="279"/>
      <c r="FD190" s="279"/>
      <c r="FE190" s="279"/>
      <c r="FF190" s="370"/>
      <c r="FG190" s="370"/>
      <c r="FH190" s="279"/>
      <c r="FI190" s="279"/>
      <c r="FJ190" s="279"/>
      <c r="FK190" s="370"/>
      <c r="FL190" s="370"/>
      <c r="FM190" s="372">
        <v>8.3000000000000004E-2</v>
      </c>
      <c r="FN190" s="289"/>
      <c r="FO190" s="428"/>
    </row>
    <row r="191" spans="2:171" s="40" customFormat="1" ht="15" customHeight="1" x14ac:dyDescent="0.25">
      <c r="B191" s="32"/>
      <c r="C191" s="33"/>
      <c r="D191" s="33">
        <v>1</v>
      </c>
      <c r="E191" s="434">
        <v>161</v>
      </c>
      <c r="F191" s="32"/>
      <c r="G191" s="33"/>
      <c r="H191" s="33">
        <v>1</v>
      </c>
      <c r="I191" s="434"/>
      <c r="J191" s="435"/>
      <c r="K191" s="435"/>
      <c r="L191" s="53"/>
      <c r="M191" s="434">
        <v>158</v>
      </c>
      <c r="N191" s="435" t="s">
        <v>138</v>
      </c>
      <c r="O191" s="435"/>
      <c r="P191" s="24">
        <f t="shared" si="735"/>
        <v>0</v>
      </c>
      <c r="Q191" s="435" t="s">
        <v>491</v>
      </c>
      <c r="R191" s="435" t="s">
        <v>488</v>
      </c>
      <c r="S191" s="435" t="s">
        <v>491</v>
      </c>
      <c r="T191" s="435" t="s">
        <v>488</v>
      </c>
      <c r="U191" s="161">
        <v>1</v>
      </c>
      <c r="V191" s="434">
        <v>2</v>
      </c>
      <c r="W191" s="459">
        <f t="shared" si="999"/>
        <v>669.3</v>
      </c>
      <c r="X191" s="459"/>
      <c r="Y191" s="460">
        <f>300.9+368.4</f>
        <v>669.3</v>
      </c>
      <c r="Z191" s="459"/>
      <c r="AA191" s="461"/>
      <c r="AB191" s="459">
        <f t="shared" si="1000"/>
        <v>0</v>
      </c>
      <c r="AC191" s="459"/>
      <c r="AD191" s="460">
        <v>0</v>
      </c>
      <c r="AE191" s="459"/>
      <c r="AF191" s="461"/>
      <c r="AG191" s="459">
        <f t="shared" si="1001"/>
        <v>0</v>
      </c>
      <c r="AH191" s="459"/>
      <c r="AI191" s="460">
        <v>0</v>
      </c>
      <c r="AJ191" s="459"/>
      <c r="AK191" s="461"/>
      <c r="AL191" s="459">
        <f t="shared" si="1002"/>
        <v>132</v>
      </c>
      <c r="AM191" s="459"/>
      <c r="AN191" s="460">
        <v>132</v>
      </c>
      <c r="AO191" s="459"/>
      <c r="AP191" s="496"/>
      <c r="AQ191" s="384" t="s">
        <v>541</v>
      </c>
      <c r="AR191" s="459">
        <f t="shared" si="1003"/>
        <v>599.11262999999997</v>
      </c>
      <c r="AS191" s="459"/>
      <c r="AT191" s="462">
        <f>300.9+366.135-67.92237</f>
        <v>599.11262999999997</v>
      </c>
      <c r="AU191" s="459"/>
      <c r="AV191" s="461"/>
      <c r="AW191" s="459" t="e">
        <f t="shared" si="1004"/>
        <v>#REF!</v>
      </c>
      <c r="AX191" s="459" t="e">
        <f>#REF!-AS191</f>
        <v>#REF!</v>
      </c>
      <c r="AY191" s="459" t="e">
        <f>#REF!-AT191</f>
        <v>#REF!</v>
      </c>
      <c r="AZ191" s="459" t="e">
        <f>#REF!-AU191</f>
        <v>#REF!</v>
      </c>
      <c r="BA191" s="459" t="e">
        <f>#REF!-AV191</f>
        <v>#REF!</v>
      </c>
      <c r="BB191" s="459">
        <f t="shared" si="1005"/>
        <v>0</v>
      </c>
      <c r="BC191" s="459"/>
      <c r="BD191" s="461"/>
      <c r="BE191" s="459"/>
      <c r="BF191" s="461"/>
      <c r="BG191" s="459">
        <f t="shared" si="1006"/>
        <v>0</v>
      </c>
      <c r="BH191" s="459"/>
      <c r="BI191" s="461"/>
      <c r="BJ191" s="459"/>
      <c r="BK191" s="461"/>
      <c r="BL191" s="459">
        <f t="shared" si="1007"/>
        <v>599.11262999999997</v>
      </c>
      <c r="BM191" s="459"/>
      <c r="BN191" s="460">
        <f>300.9+298.21263</f>
        <v>599.11262999999997</v>
      </c>
      <c r="BO191" s="459"/>
      <c r="BP191" s="470"/>
      <c r="BQ191" s="459">
        <f t="shared" si="1008"/>
        <v>599.11262999999997</v>
      </c>
      <c r="BR191" s="459"/>
      <c r="BS191" s="460">
        <f>300.9+298.21263</f>
        <v>599.11262999999997</v>
      </c>
      <c r="BT191" s="459"/>
      <c r="BU191" s="461"/>
      <c r="BV191" s="459">
        <f t="shared" si="1009"/>
        <v>396.42196999999999</v>
      </c>
      <c r="BW191" s="459"/>
      <c r="BX191" s="459">
        <f>199.1+197.32197</f>
        <v>396.42196999999999</v>
      </c>
      <c r="BY191" s="459"/>
      <c r="BZ191" s="459"/>
      <c r="CA191" s="464">
        <f t="shared" si="1010"/>
        <v>995.53459999999995</v>
      </c>
      <c r="CB191" s="459">
        <f t="shared" si="1011"/>
        <v>995.53459999999995</v>
      </c>
      <c r="CC191" s="459">
        <f t="shared" si="1012"/>
        <v>0</v>
      </c>
      <c r="CD191" s="459">
        <f t="shared" si="1012"/>
        <v>995.53459999999995</v>
      </c>
      <c r="CE191" s="459">
        <f t="shared" si="1012"/>
        <v>0</v>
      </c>
      <c r="CF191" s="459">
        <f t="shared" si="1012"/>
        <v>0</v>
      </c>
      <c r="CG191" s="459">
        <f t="shared" si="1013"/>
        <v>0</v>
      </c>
      <c r="CH191" s="459">
        <f t="shared" si="1014"/>
        <v>0</v>
      </c>
      <c r="CI191" s="459">
        <f t="shared" si="1014"/>
        <v>0</v>
      </c>
      <c r="CJ191" s="459">
        <f t="shared" si="1014"/>
        <v>0</v>
      </c>
      <c r="CK191" s="459">
        <f t="shared" si="1014"/>
        <v>0</v>
      </c>
      <c r="CL191" s="465"/>
      <c r="CM191" s="466"/>
      <c r="CN191" s="466"/>
      <c r="CO191" s="459">
        <f t="shared" si="1015"/>
        <v>0</v>
      </c>
      <c r="CP191" s="459"/>
      <c r="CQ191" s="461"/>
      <c r="CR191" s="459"/>
      <c r="CS191" s="461"/>
      <c r="CT191" s="459">
        <f t="shared" si="1016"/>
        <v>0</v>
      </c>
      <c r="CU191" s="459"/>
      <c r="CV191" s="461"/>
      <c r="CW191" s="459"/>
      <c r="CX191" s="461"/>
      <c r="CY191" s="459">
        <f t="shared" si="1017"/>
        <v>0</v>
      </c>
      <c r="CZ191" s="459">
        <f t="shared" si="1018"/>
        <v>0</v>
      </c>
      <c r="DA191" s="459">
        <f t="shared" si="1018"/>
        <v>0</v>
      </c>
      <c r="DB191" s="459">
        <f t="shared" si="1018"/>
        <v>0</v>
      </c>
      <c r="DC191" s="459">
        <f t="shared" si="1018"/>
        <v>0</v>
      </c>
      <c r="DD191" s="459"/>
      <c r="DE191" s="459"/>
      <c r="DF191" s="459"/>
      <c r="DG191" s="459">
        <f t="shared" si="1019"/>
        <v>0</v>
      </c>
      <c r="DH191" s="467"/>
      <c r="DI191" s="459">
        <f t="shared" si="1020"/>
        <v>599.11262999999997</v>
      </c>
      <c r="DJ191" s="459">
        <f t="shared" si="1021"/>
        <v>599.11262999999997</v>
      </c>
      <c r="DK191" s="467"/>
      <c r="DL191" s="459"/>
      <c r="DM191" s="459"/>
      <c r="DN191" s="467"/>
      <c r="DO191" s="459"/>
      <c r="DP191" s="467"/>
      <c r="DQ191" s="467"/>
      <c r="DR191" s="459">
        <f t="shared" si="733"/>
        <v>599.11262999999997</v>
      </c>
      <c r="DS191" s="459"/>
      <c r="DT191" s="460">
        <f>300.9+298.21263</f>
        <v>599.11262999999997</v>
      </c>
      <c r="DU191" s="459"/>
      <c r="DV191" s="461"/>
      <c r="DW191" s="459">
        <f t="shared" si="734"/>
        <v>396.42196999999999</v>
      </c>
      <c r="DX191" s="459"/>
      <c r="DY191" s="459">
        <f>199.1+197.32197</f>
        <v>396.42196999999999</v>
      </c>
      <c r="DZ191" s="459"/>
      <c r="EA191" s="146"/>
      <c r="EB191" s="279"/>
      <c r="EC191" s="279"/>
      <c r="ED191" s="279"/>
      <c r="EE191" s="366"/>
      <c r="EF191" s="366"/>
      <c r="EG191" s="279"/>
      <c r="EH191" s="279"/>
      <c r="EI191" s="279"/>
      <c r="EJ191" s="366"/>
      <c r="EK191" s="366"/>
      <c r="EL191" s="366">
        <v>2.01E-2</v>
      </c>
      <c r="EM191" s="280"/>
      <c r="EN191" s="279"/>
      <c r="EO191" s="265" t="e">
        <f t="shared" si="1022"/>
        <v>#DIV/0!</v>
      </c>
      <c r="EP191" s="323">
        <f t="shared" ref="EP191" si="1046">EQ191+ER191</f>
        <v>995.53459999999995</v>
      </c>
      <c r="EQ191" s="323">
        <f t="shared" ref="EQ191" si="1047">AT191</f>
        <v>599.11262999999997</v>
      </c>
      <c r="ER191" s="323">
        <v>396.42196999999999</v>
      </c>
      <c r="ES191" s="358">
        <f t="shared" ref="ES191" si="1048">EQ191/EP191</f>
        <v>0.60179990730608457</v>
      </c>
      <c r="ET191" s="358">
        <f t="shared" ref="ET191" si="1049">ER191/EP191</f>
        <v>0.39820009269391543</v>
      </c>
      <c r="EU191" s="323">
        <f t="shared" ref="EU191" si="1050">EV191+EW191</f>
        <v>995.53459999999995</v>
      </c>
      <c r="EV191" s="323">
        <f t="shared" ref="EV191" si="1051">DT191</f>
        <v>599.11262999999997</v>
      </c>
      <c r="EW191" s="323">
        <f t="shared" ref="EW191" si="1052">DY191</f>
        <v>396.42196999999999</v>
      </c>
      <c r="EX191" s="358">
        <f t="shared" ref="EX191" si="1053">EV191/EU191</f>
        <v>0.60179990730608457</v>
      </c>
      <c r="EY191" s="358">
        <f t="shared" ref="EY191" si="1054">EW191/EU191</f>
        <v>0.39820009269391543</v>
      </c>
      <c r="EZ191" s="358">
        <v>8.3000000000000004E-2</v>
      </c>
      <c r="FA191" s="323">
        <f t="shared" ref="FA191" si="1055">EU191*ES191</f>
        <v>599.11262999999997</v>
      </c>
      <c r="FB191" s="323">
        <f t="shared" si="738"/>
        <v>0</v>
      </c>
      <c r="FC191" s="279"/>
      <c r="FD191" s="279"/>
      <c r="FE191" s="279"/>
      <c r="FF191" s="366"/>
      <c r="FG191" s="366"/>
      <c r="FH191" s="279"/>
      <c r="FI191" s="279"/>
      <c r="FJ191" s="279"/>
      <c r="FK191" s="366"/>
      <c r="FL191" s="366"/>
      <c r="FM191" s="366">
        <v>6.7000000000000004E-2</v>
      </c>
      <c r="FN191" s="280"/>
      <c r="FO191" s="279"/>
    </row>
    <row r="192" spans="2:171" s="40" customFormat="1" ht="15.75" customHeight="1" x14ac:dyDescent="0.25">
      <c r="B192" s="32"/>
      <c r="C192" s="33">
        <v>1</v>
      </c>
      <c r="D192" s="33"/>
      <c r="E192" s="434">
        <v>162</v>
      </c>
      <c r="F192" s="32"/>
      <c r="G192" s="33">
        <v>1</v>
      </c>
      <c r="H192" s="33">
        <v>1</v>
      </c>
      <c r="I192" s="434"/>
      <c r="J192" s="435"/>
      <c r="K192" s="435"/>
      <c r="L192" s="53"/>
      <c r="M192" s="434">
        <v>159</v>
      </c>
      <c r="N192" s="435" t="s">
        <v>61</v>
      </c>
      <c r="O192" s="435"/>
      <c r="P192" s="24">
        <f t="shared" si="735"/>
        <v>0</v>
      </c>
      <c r="Q192" s="435" t="s">
        <v>490</v>
      </c>
      <c r="R192" s="435" t="s">
        <v>488</v>
      </c>
      <c r="S192" s="435" t="s">
        <v>490</v>
      </c>
      <c r="T192" s="435" t="s">
        <v>488</v>
      </c>
      <c r="U192" s="161">
        <v>1</v>
      </c>
      <c r="V192" s="434">
        <v>1</v>
      </c>
      <c r="W192" s="459">
        <f t="shared" si="999"/>
        <v>1917.7</v>
      </c>
      <c r="X192" s="459"/>
      <c r="Y192" s="460">
        <v>1917.7</v>
      </c>
      <c r="Z192" s="459"/>
      <c r="AA192" s="461"/>
      <c r="AB192" s="459">
        <f t="shared" si="1000"/>
        <v>1559.4</v>
      </c>
      <c r="AC192" s="459"/>
      <c r="AD192" s="460">
        <v>1559.4</v>
      </c>
      <c r="AE192" s="459"/>
      <c r="AF192" s="461"/>
      <c r="AG192" s="459">
        <f t="shared" si="1001"/>
        <v>1559.4</v>
      </c>
      <c r="AH192" s="459"/>
      <c r="AI192" s="460">
        <v>1559.4</v>
      </c>
      <c r="AJ192" s="459"/>
      <c r="AK192" s="461"/>
      <c r="AL192" s="459">
        <f t="shared" si="1002"/>
        <v>678</v>
      </c>
      <c r="AM192" s="459"/>
      <c r="AN192" s="460">
        <v>678</v>
      </c>
      <c r="AO192" s="459"/>
      <c r="AP192" s="496"/>
      <c r="AQ192" s="384" t="s">
        <v>479</v>
      </c>
      <c r="AR192" s="459">
        <f t="shared" si="1003"/>
        <v>1917.7</v>
      </c>
      <c r="AS192" s="459"/>
      <c r="AT192" s="460">
        <v>1917.7</v>
      </c>
      <c r="AU192" s="459"/>
      <c r="AV192" s="461"/>
      <c r="AW192" s="459" t="e">
        <f t="shared" si="1004"/>
        <v>#REF!</v>
      </c>
      <c r="AX192" s="459" t="e">
        <f>#REF!-AS192</f>
        <v>#REF!</v>
      </c>
      <c r="AY192" s="459" t="e">
        <f>#REF!-AT192</f>
        <v>#REF!</v>
      </c>
      <c r="AZ192" s="459" t="e">
        <f>#REF!-AU192</f>
        <v>#REF!</v>
      </c>
      <c r="BA192" s="459" t="e">
        <f>#REF!-AV192</f>
        <v>#REF!</v>
      </c>
      <c r="BB192" s="459">
        <f t="shared" si="1005"/>
        <v>1559.4</v>
      </c>
      <c r="BC192" s="459"/>
      <c r="BD192" s="460">
        <v>1559.4</v>
      </c>
      <c r="BE192" s="459"/>
      <c r="BF192" s="461"/>
      <c r="BG192" s="459">
        <f t="shared" si="1006"/>
        <v>0</v>
      </c>
      <c r="BH192" s="459"/>
      <c r="BI192" s="460"/>
      <c r="BJ192" s="459"/>
      <c r="BK192" s="461"/>
      <c r="BL192" s="459">
        <f t="shared" si="1007"/>
        <v>1917.6999999999998</v>
      </c>
      <c r="BM192" s="459"/>
      <c r="BN192" s="460">
        <f>1662.06+255.64</f>
        <v>1917.6999999999998</v>
      </c>
      <c r="BO192" s="459"/>
      <c r="BP192" s="470"/>
      <c r="BQ192" s="459">
        <f t="shared" si="1008"/>
        <v>1917.6999999999998</v>
      </c>
      <c r="BR192" s="459"/>
      <c r="BS192" s="460">
        <f>1662.06+255.64</f>
        <v>1917.6999999999998</v>
      </c>
      <c r="BT192" s="459"/>
      <c r="BU192" s="461"/>
      <c r="BV192" s="459">
        <f t="shared" si="1009"/>
        <v>193.76999999999998</v>
      </c>
      <c r="BW192" s="459"/>
      <c r="BX192" s="459">
        <f>167.94+25.83</f>
        <v>193.76999999999998</v>
      </c>
      <c r="BY192" s="459"/>
      <c r="BZ192" s="459"/>
      <c r="CA192" s="464">
        <f t="shared" si="1010"/>
        <v>2111.4699999999998</v>
      </c>
      <c r="CB192" s="459">
        <f t="shared" si="1011"/>
        <v>2111.4699999999998</v>
      </c>
      <c r="CC192" s="459">
        <f t="shared" si="1012"/>
        <v>0</v>
      </c>
      <c r="CD192" s="459">
        <f t="shared" si="1012"/>
        <v>2111.4699999999998</v>
      </c>
      <c r="CE192" s="459">
        <f t="shared" si="1012"/>
        <v>0</v>
      </c>
      <c r="CF192" s="459">
        <f t="shared" si="1012"/>
        <v>0</v>
      </c>
      <c r="CG192" s="459">
        <f t="shared" si="1013"/>
        <v>0</v>
      </c>
      <c r="CH192" s="459">
        <f t="shared" si="1014"/>
        <v>0</v>
      </c>
      <c r="CI192" s="459">
        <f t="shared" si="1014"/>
        <v>0</v>
      </c>
      <c r="CJ192" s="459">
        <f t="shared" si="1014"/>
        <v>0</v>
      </c>
      <c r="CK192" s="459">
        <f t="shared" si="1014"/>
        <v>0</v>
      </c>
      <c r="CL192" s="465"/>
      <c r="CM192" s="466"/>
      <c r="CN192" s="466"/>
      <c r="CO192" s="459">
        <f t="shared" si="1015"/>
        <v>0</v>
      </c>
      <c r="CP192" s="459"/>
      <c r="CQ192" s="460"/>
      <c r="CR192" s="459"/>
      <c r="CS192" s="461"/>
      <c r="CT192" s="459">
        <f t="shared" si="1016"/>
        <v>0</v>
      </c>
      <c r="CU192" s="459"/>
      <c r="CV192" s="460"/>
      <c r="CW192" s="459"/>
      <c r="CX192" s="461"/>
      <c r="CY192" s="459">
        <f t="shared" si="1017"/>
        <v>0</v>
      </c>
      <c r="CZ192" s="459">
        <f t="shared" si="1018"/>
        <v>0</v>
      </c>
      <c r="DA192" s="459">
        <f t="shared" si="1018"/>
        <v>0</v>
      </c>
      <c r="DB192" s="459">
        <f t="shared" si="1018"/>
        <v>0</v>
      </c>
      <c r="DC192" s="459">
        <f t="shared" si="1018"/>
        <v>0</v>
      </c>
      <c r="DD192" s="459"/>
      <c r="DE192" s="459"/>
      <c r="DF192" s="459"/>
      <c r="DG192" s="459">
        <f t="shared" si="1019"/>
        <v>0</v>
      </c>
      <c r="DH192" s="467"/>
      <c r="DI192" s="459">
        <f t="shared" si="1020"/>
        <v>1917.6999999999998</v>
      </c>
      <c r="DJ192" s="459">
        <f t="shared" si="1021"/>
        <v>1917.6999999999998</v>
      </c>
      <c r="DK192" s="467"/>
      <c r="DL192" s="459"/>
      <c r="DM192" s="459"/>
      <c r="DN192" s="467"/>
      <c r="DO192" s="459"/>
      <c r="DP192" s="467"/>
      <c r="DQ192" s="467"/>
      <c r="DR192" s="459">
        <f t="shared" si="733"/>
        <v>1917.6999999999998</v>
      </c>
      <c r="DS192" s="459"/>
      <c r="DT192" s="460">
        <f>1662.06+255.64</f>
        <v>1917.6999999999998</v>
      </c>
      <c r="DU192" s="459"/>
      <c r="DV192" s="461"/>
      <c r="DW192" s="459">
        <f t="shared" si="734"/>
        <v>193.76999999999998</v>
      </c>
      <c r="DX192" s="459"/>
      <c r="DY192" s="459">
        <f>167.94+25.83</f>
        <v>193.76999999999998</v>
      </c>
      <c r="DZ192" s="459"/>
      <c r="EA192" s="146"/>
      <c r="EB192" s="279"/>
      <c r="EC192" s="279"/>
      <c r="ED192" s="279"/>
      <c r="EE192" s="366"/>
      <c r="EF192" s="366"/>
      <c r="EG192" s="279"/>
      <c r="EH192" s="279"/>
      <c r="EI192" s="279"/>
      <c r="EJ192" s="366"/>
      <c r="EK192" s="366"/>
      <c r="EL192" s="366">
        <v>2.75E-2</v>
      </c>
      <c r="EM192" s="280"/>
      <c r="EN192" s="279"/>
      <c r="EO192" s="265" t="e">
        <f t="shared" si="1022"/>
        <v>#DIV/0!</v>
      </c>
      <c r="EP192" s="323">
        <f t="shared" si="736"/>
        <v>2111.4700000000003</v>
      </c>
      <c r="EQ192" s="323">
        <f t="shared" si="796"/>
        <v>1917.7</v>
      </c>
      <c r="ER192" s="323">
        <v>193.77</v>
      </c>
      <c r="ES192" s="358">
        <f t="shared" si="1023"/>
        <v>0.90822981145836779</v>
      </c>
      <c r="ET192" s="358">
        <f t="shared" si="1024"/>
        <v>9.1770188541632131E-2</v>
      </c>
      <c r="EU192" s="323">
        <f t="shared" si="737"/>
        <v>2111.4699999999998</v>
      </c>
      <c r="EV192" s="323">
        <f t="shared" si="1025"/>
        <v>1917.6999999999998</v>
      </c>
      <c r="EW192" s="323">
        <f t="shared" si="1026"/>
        <v>193.76999999999998</v>
      </c>
      <c r="EX192" s="358">
        <f t="shared" si="1027"/>
        <v>0.9082298114583679</v>
      </c>
      <c r="EY192" s="358">
        <f t="shared" si="1028"/>
        <v>9.1770188541632131E-2</v>
      </c>
      <c r="EZ192" s="358">
        <v>9.1700000000000004E-2</v>
      </c>
      <c r="FA192" s="323">
        <f t="shared" si="1029"/>
        <v>1917.6999999999996</v>
      </c>
      <c r="FB192" s="323">
        <f t="shared" si="738"/>
        <v>0</v>
      </c>
      <c r="FC192" s="279"/>
      <c r="FD192" s="279"/>
      <c r="FE192" s="279"/>
      <c r="FF192" s="366"/>
      <c r="FG192" s="366"/>
      <c r="FH192" s="279"/>
      <c r="FI192" s="279"/>
      <c r="FJ192" s="279"/>
      <c r="FK192" s="366"/>
      <c r="FL192" s="366"/>
      <c r="FM192" s="366">
        <v>9.1700000000000004E-2</v>
      </c>
      <c r="FN192" s="280"/>
      <c r="FO192" s="279"/>
    </row>
    <row r="193" spans="2:171" s="40" customFormat="1" ht="15.75" customHeight="1" x14ac:dyDescent="0.25">
      <c r="B193" s="32"/>
      <c r="C193" s="33"/>
      <c r="D193" s="33">
        <v>1</v>
      </c>
      <c r="E193" s="434">
        <v>163</v>
      </c>
      <c r="F193" s="32"/>
      <c r="G193" s="33"/>
      <c r="H193" s="33">
        <v>1</v>
      </c>
      <c r="I193" s="434"/>
      <c r="J193" s="435"/>
      <c r="K193" s="435"/>
      <c r="L193" s="53"/>
      <c r="M193" s="434">
        <v>160</v>
      </c>
      <c r="N193" s="435" t="s">
        <v>236</v>
      </c>
      <c r="O193" s="435"/>
      <c r="P193" s="24">
        <f t="shared" si="735"/>
        <v>0</v>
      </c>
      <c r="Q193" s="435" t="s">
        <v>491</v>
      </c>
      <c r="R193" s="435" t="s">
        <v>488</v>
      </c>
      <c r="S193" s="435" t="s">
        <v>490</v>
      </c>
      <c r="T193" s="435" t="s">
        <v>488</v>
      </c>
      <c r="U193" s="161">
        <v>1</v>
      </c>
      <c r="V193" s="434">
        <v>1</v>
      </c>
      <c r="W193" s="459">
        <f t="shared" si="999"/>
        <v>589.4</v>
      </c>
      <c r="X193" s="459"/>
      <c r="Y193" s="460">
        <v>589.4</v>
      </c>
      <c r="Z193" s="459"/>
      <c r="AA193" s="461"/>
      <c r="AB193" s="459">
        <f t="shared" si="1000"/>
        <v>1935.925</v>
      </c>
      <c r="AC193" s="459"/>
      <c r="AD193" s="460">
        <v>595.70000000000005</v>
      </c>
      <c r="AE193" s="459">
        <v>1340.2249999999999</v>
      </c>
      <c r="AF193" s="461"/>
      <c r="AG193" s="459">
        <f t="shared" si="1001"/>
        <v>1935.925</v>
      </c>
      <c r="AH193" s="459"/>
      <c r="AI193" s="460">
        <v>595.70000000000005</v>
      </c>
      <c r="AJ193" s="459">
        <v>1340.2249999999999</v>
      </c>
      <c r="AK193" s="461"/>
      <c r="AL193" s="459">
        <f t="shared" si="1002"/>
        <v>1599.2249999999999</v>
      </c>
      <c r="AM193" s="459"/>
      <c r="AN193" s="460">
        <v>259</v>
      </c>
      <c r="AO193" s="459">
        <v>1340.2249999999999</v>
      </c>
      <c r="AP193" s="496"/>
      <c r="AQ193" s="384" t="s">
        <v>462</v>
      </c>
      <c r="AR193" s="459">
        <f t="shared" si="1003"/>
        <v>514.1</v>
      </c>
      <c r="AS193" s="459"/>
      <c r="AT193" s="460">
        <v>514.1</v>
      </c>
      <c r="AU193" s="459"/>
      <c r="AV193" s="461"/>
      <c r="AW193" s="459" t="e">
        <f t="shared" si="1004"/>
        <v>#REF!</v>
      </c>
      <c r="AX193" s="459" t="e">
        <f>#REF!-AS193</f>
        <v>#REF!</v>
      </c>
      <c r="AY193" s="459" t="e">
        <f>#REF!-AT193</f>
        <v>#REF!</v>
      </c>
      <c r="AZ193" s="459" t="e">
        <f>#REF!-AU193</f>
        <v>#REF!</v>
      </c>
      <c r="BA193" s="459" t="e">
        <f>#REF!-AV193</f>
        <v>#REF!</v>
      </c>
      <c r="BB193" s="459">
        <f t="shared" si="1005"/>
        <v>1935.925</v>
      </c>
      <c r="BC193" s="459"/>
      <c r="BD193" s="460">
        <f>259+336.7</f>
        <v>595.70000000000005</v>
      </c>
      <c r="BE193" s="459">
        <v>1340.2249999999999</v>
      </c>
      <c r="BF193" s="461"/>
      <c r="BG193" s="459">
        <f t="shared" si="1006"/>
        <v>0</v>
      </c>
      <c r="BH193" s="459"/>
      <c r="BI193" s="460"/>
      <c r="BJ193" s="459"/>
      <c r="BK193" s="461"/>
      <c r="BL193" s="459">
        <f t="shared" si="1007"/>
        <v>514.1</v>
      </c>
      <c r="BM193" s="459"/>
      <c r="BN193" s="460">
        <f>318.055+196.045</f>
        <v>514.1</v>
      </c>
      <c r="BO193" s="459"/>
      <c r="BP193" s="470"/>
      <c r="BQ193" s="459">
        <f t="shared" si="1008"/>
        <v>514.1</v>
      </c>
      <c r="BR193" s="459"/>
      <c r="BS193" s="460">
        <f>318.055+196.045</f>
        <v>514.1</v>
      </c>
      <c r="BT193" s="459"/>
      <c r="BU193" s="461"/>
      <c r="BV193" s="459">
        <f t="shared" si="1009"/>
        <v>38.8035</v>
      </c>
      <c r="BW193" s="459"/>
      <c r="BX193" s="459">
        <f>24.00652+14.79698</f>
        <v>38.8035</v>
      </c>
      <c r="BY193" s="459"/>
      <c r="BZ193" s="459"/>
      <c r="CA193" s="464">
        <f t="shared" si="1010"/>
        <v>552.90350000000001</v>
      </c>
      <c r="CB193" s="459">
        <f t="shared" si="1011"/>
        <v>552.90350000000001</v>
      </c>
      <c r="CC193" s="459">
        <f t="shared" si="1012"/>
        <v>0</v>
      </c>
      <c r="CD193" s="459">
        <f t="shared" si="1012"/>
        <v>552.90350000000001</v>
      </c>
      <c r="CE193" s="459">
        <f t="shared" si="1012"/>
        <v>0</v>
      </c>
      <c r="CF193" s="459">
        <f t="shared" si="1012"/>
        <v>0</v>
      </c>
      <c r="CG193" s="459">
        <f t="shared" si="1013"/>
        <v>0</v>
      </c>
      <c r="CH193" s="459">
        <f t="shared" si="1014"/>
        <v>0</v>
      </c>
      <c r="CI193" s="459">
        <f t="shared" si="1014"/>
        <v>0</v>
      </c>
      <c r="CJ193" s="459">
        <f t="shared" si="1014"/>
        <v>0</v>
      </c>
      <c r="CK193" s="459">
        <f t="shared" si="1014"/>
        <v>0</v>
      </c>
      <c r="CL193" s="465"/>
      <c r="CM193" s="466"/>
      <c r="CN193" s="466"/>
      <c r="CO193" s="459">
        <f t="shared" si="1015"/>
        <v>0</v>
      </c>
      <c r="CP193" s="459"/>
      <c r="CQ193" s="460"/>
      <c r="CR193" s="459"/>
      <c r="CS193" s="461"/>
      <c r="CT193" s="459">
        <f t="shared" si="1016"/>
        <v>0</v>
      </c>
      <c r="CU193" s="459"/>
      <c r="CV193" s="460"/>
      <c r="CW193" s="459"/>
      <c r="CX193" s="461"/>
      <c r="CY193" s="459">
        <f t="shared" si="1017"/>
        <v>0</v>
      </c>
      <c r="CZ193" s="459">
        <f t="shared" si="1018"/>
        <v>0</v>
      </c>
      <c r="DA193" s="459">
        <f t="shared" si="1018"/>
        <v>0</v>
      </c>
      <c r="DB193" s="459">
        <f t="shared" si="1018"/>
        <v>0</v>
      </c>
      <c r="DC193" s="459">
        <f t="shared" si="1018"/>
        <v>0</v>
      </c>
      <c r="DD193" s="459"/>
      <c r="DE193" s="459"/>
      <c r="DF193" s="459"/>
      <c r="DG193" s="459">
        <f t="shared" si="1019"/>
        <v>0</v>
      </c>
      <c r="DH193" s="467"/>
      <c r="DI193" s="459">
        <f t="shared" si="1020"/>
        <v>514.1</v>
      </c>
      <c r="DJ193" s="459">
        <f t="shared" si="1021"/>
        <v>514.1</v>
      </c>
      <c r="DK193" s="467"/>
      <c r="DL193" s="459"/>
      <c r="DM193" s="459"/>
      <c r="DN193" s="467"/>
      <c r="DO193" s="459"/>
      <c r="DP193" s="467"/>
      <c r="DQ193" s="467"/>
      <c r="DR193" s="459">
        <f t="shared" si="733"/>
        <v>514.1</v>
      </c>
      <c r="DS193" s="459"/>
      <c r="DT193" s="460">
        <f>318.055+196.045</f>
        <v>514.1</v>
      </c>
      <c r="DU193" s="459"/>
      <c r="DV193" s="461"/>
      <c r="DW193" s="459">
        <f t="shared" si="734"/>
        <v>38.8035</v>
      </c>
      <c r="DX193" s="459"/>
      <c r="DY193" s="459">
        <f>24.00652+14.79698</f>
        <v>38.8035</v>
      </c>
      <c r="DZ193" s="459"/>
      <c r="EA193" s="146"/>
      <c r="EB193" s="279"/>
      <c r="EC193" s="279"/>
      <c r="ED193" s="279"/>
      <c r="EE193" s="366"/>
      <c r="EF193" s="366"/>
      <c r="EG193" s="279"/>
      <c r="EH193" s="279"/>
      <c r="EI193" s="279"/>
      <c r="EJ193" s="366"/>
      <c r="EK193" s="366"/>
      <c r="EL193" s="366">
        <v>2.0500000000000001E-2</v>
      </c>
      <c r="EM193" s="280"/>
      <c r="EN193" s="279"/>
      <c r="EO193" s="265" t="e">
        <f t="shared" si="1022"/>
        <v>#DIV/0!</v>
      </c>
      <c r="EP193" s="323">
        <f t="shared" si="736"/>
        <v>552.90350000000001</v>
      </c>
      <c r="EQ193" s="323">
        <f t="shared" si="796"/>
        <v>514.1</v>
      </c>
      <c r="ER193" s="323">
        <v>38.8035</v>
      </c>
      <c r="ES193" s="358">
        <f t="shared" si="1023"/>
        <v>0.92981867541080865</v>
      </c>
      <c r="ET193" s="358">
        <f t="shared" si="1024"/>
        <v>7.0181324589191421E-2</v>
      </c>
      <c r="EU193" s="323">
        <f t="shared" si="737"/>
        <v>552.90350000000001</v>
      </c>
      <c r="EV193" s="323">
        <f t="shared" si="1025"/>
        <v>514.1</v>
      </c>
      <c r="EW193" s="323">
        <f t="shared" si="1026"/>
        <v>38.8035</v>
      </c>
      <c r="EX193" s="358">
        <f t="shared" si="1027"/>
        <v>0.92981867541080865</v>
      </c>
      <c r="EY193" s="358">
        <f t="shared" si="1028"/>
        <v>7.0181324589191421E-2</v>
      </c>
      <c r="EZ193" s="358">
        <v>6.83E-2</v>
      </c>
      <c r="FA193" s="323">
        <f t="shared" si="1029"/>
        <v>514.1</v>
      </c>
      <c r="FB193" s="323">
        <f t="shared" si="738"/>
        <v>0</v>
      </c>
      <c r="FC193" s="279">
        <f t="shared" si="1030"/>
        <v>0</v>
      </c>
      <c r="FD193" s="279">
        <f t="shared" si="759"/>
        <v>0</v>
      </c>
      <c r="FE193" s="279"/>
      <c r="FF193" s="366" t="e">
        <f t="shared" si="1031"/>
        <v>#DIV/0!</v>
      </c>
      <c r="FG193" s="366" t="e">
        <f t="shared" si="1032"/>
        <v>#DIV/0!</v>
      </c>
      <c r="FH193" s="279">
        <f t="shared" si="761"/>
        <v>0</v>
      </c>
      <c r="FI193" s="279">
        <f t="shared" si="820"/>
        <v>0</v>
      </c>
      <c r="FJ193" s="279">
        <f t="shared" si="821"/>
        <v>0</v>
      </c>
      <c r="FK193" s="366" t="e">
        <f t="shared" si="1033"/>
        <v>#DIV/0!</v>
      </c>
      <c r="FL193" s="366" t="e">
        <f t="shared" si="1034"/>
        <v>#DIV/0!</v>
      </c>
      <c r="FM193" s="366">
        <v>6.83E-2</v>
      </c>
      <c r="FN193" s="280" t="e">
        <f t="shared" si="998"/>
        <v>#DIV/0!</v>
      </c>
      <c r="FO193" s="279" t="e">
        <f t="shared" si="762"/>
        <v>#DIV/0!</v>
      </c>
    </row>
    <row r="194" spans="2:171" s="40" customFormat="1" ht="15.75" customHeight="1" x14ac:dyDescent="0.25">
      <c r="B194" s="32"/>
      <c r="C194" s="33"/>
      <c r="D194" s="33">
        <v>1</v>
      </c>
      <c r="E194" s="434">
        <v>164</v>
      </c>
      <c r="F194" s="32"/>
      <c r="G194" s="33"/>
      <c r="H194" s="33">
        <v>1</v>
      </c>
      <c r="I194" s="434"/>
      <c r="J194" s="435"/>
      <c r="K194" s="435"/>
      <c r="L194" s="53"/>
      <c r="M194" s="434">
        <v>161</v>
      </c>
      <c r="N194" s="435" t="s">
        <v>139</v>
      </c>
      <c r="O194" s="435"/>
      <c r="P194" s="24">
        <f t="shared" si="735"/>
        <v>0</v>
      </c>
      <c r="Q194" s="435"/>
      <c r="R194" s="435"/>
      <c r="S194" s="435" t="s">
        <v>490</v>
      </c>
      <c r="T194" s="435" t="s">
        <v>488</v>
      </c>
      <c r="U194" s="161"/>
      <c r="V194" s="434"/>
      <c r="W194" s="459">
        <f t="shared" si="999"/>
        <v>0</v>
      </c>
      <c r="X194" s="459"/>
      <c r="Y194" s="460">
        <f>1623-1623</f>
        <v>0</v>
      </c>
      <c r="Z194" s="459"/>
      <c r="AA194" s="461"/>
      <c r="AB194" s="459">
        <f t="shared" si="1000"/>
        <v>1637.6</v>
      </c>
      <c r="AC194" s="459"/>
      <c r="AD194" s="460">
        <v>1637.6</v>
      </c>
      <c r="AE194" s="459"/>
      <c r="AF194" s="461"/>
      <c r="AG194" s="459">
        <f t="shared" si="1001"/>
        <v>1637.6</v>
      </c>
      <c r="AH194" s="459"/>
      <c r="AI194" s="460">
        <v>1637.6</v>
      </c>
      <c r="AJ194" s="459"/>
      <c r="AK194" s="461"/>
      <c r="AL194" s="459">
        <f t="shared" si="1002"/>
        <v>712</v>
      </c>
      <c r="AM194" s="459"/>
      <c r="AN194" s="460">
        <v>712</v>
      </c>
      <c r="AO194" s="459"/>
      <c r="AP194" s="496"/>
      <c r="AQ194" s="384"/>
      <c r="AR194" s="459">
        <f t="shared" si="1003"/>
        <v>0</v>
      </c>
      <c r="AS194" s="459"/>
      <c r="AT194" s="460"/>
      <c r="AU194" s="459"/>
      <c r="AV194" s="459"/>
      <c r="AW194" s="459" t="e">
        <f t="shared" si="1004"/>
        <v>#REF!</v>
      </c>
      <c r="AX194" s="459" t="e">
        <f>#REF!-AS194</f>
        <v>#REF!</v>
      </c>
      <c r="AY194" s="459" t="e">
        <f>#REF!-AT194</f>
        <v>#REF!</v>
      </c>
      <c r="AZ194" s="459" t="e">
        <f>#REF!-AU194</f>
        <v>#REF!</v>
      </c>
      <c r="BA194" s="459" t="e">
        <f>#REF!-AV194</f>
        <v>#REF!</v>
      </c>
      <c r="BB194" s="459">
        <f t="shared" si="1005"/>
        <v>1637.6</v>
      </c>
      <c r="BC194" s="459"/>
      <c r="BD194" s="460">
        <v>1637.6</v>
      </c>
      <c r="BE194" s="459"/>
      <c r="BF194" s="459"/>
      <c r="BG194" s="459">
        <f t="shared" si="1006"/>
        <v>0</v>
      </c>
      <c r="BH194" s="459"/>
      <c r="BI194" s="460"/>
      <c r="BJ194" s="459"/>
      <c r="BK194" s="459"/>
      <c r="BL194" s="459">
        <f t="shared" si="1007"/>
        <v>0</v>
      </c>
      <c r="BM194" s="459"/>
      <c r="BN194" s="460"/>
      <c r="BO194" s="459"/>
      <c r="BP194" s="459"/>
      <c r="BQ194" s="459">
        <f t="shared" si="1008"/>
        <v>0</v>
      </c>
      <c r="BR194" s="459"/>
      <c r="BS194" s="460"/>
      <c r="BT194" s="459"/>
      <c r="BU194" s="459"/>
      <c r="BV194" s="459">
        <f t="shared" si="1009"/>
        <v>0</v>
      </c>
      <c r="BW194" s="459"/>
      <c r="BX194" s="460"/>
      <c r="BY194" s="459"/>
      <c r="BZ194" s="459"/>
      <c r="CA194" s="464">
        <f t="shared" si="1010"/>
        <v>0</v>
      </c>
      <c r="CB194" s="459">
        <f t="shared" si="1011"/>
        <v>0</v>
      </c>
      <c r="CC194" s="459">
        <f t="shared" si="1012"/>
        <v>0</v>
      </c>
      <c r="CD194" s="459">
        <f t="shared" si="1012"/>
        <v>0</v>
      </c>
      <c r="CE194" s="459">
        <f t="shared" si="1012"/>
        <v>0</v>
      </c>
      <c r="CF194" s="459">
        <f t="shared" si="1012"/>
        <v>0</v>
      </c>
      <c r="CG194" s="459">
        <f t="shared" si="1013"/>
        <v>0</v>
      </c>
      <c r="CH194" s="459">
        <f t="shared" si="1014"/>
        <v>0</v>
      </c>
      <c r="CI194" s="459">
        <f t="shared" si="1014"/>
        <v>0</v>
      </c>
      <c r="CJ194" s="459">
        <f t="shared" si="1014"/>
        <v>0</v>
      </c>
      <c r="CK194" s="459">
        <f t="shared" si="1014"/>
        <v>0</v>
      </c>
      <c r="CL194" s="465"/>
      <c r="CM194" s="466"/>
      <c r="CN194" s="466"/>
      <c r="CO194" s="459">
        <f t="shared" si="1015"/>
        <v>0</v>
      </c>
      <c r="CP194" s="459"/>
      <c r="CQ194" s="460"/>
      <c r="CR194" s="459"/>
      <c r="CS194" s="459"/>
      <c r="CT194" s="459">
        <f t="shared" si="1016"/>
        <v>0</v>
      </c>
      <c r="CU194" s="459"/>
      <c r="CV194" s="460"/>
      <c r="CW194" s="459"/>
      <c r="CX194" s="459"/>
      <c r="CY194" s="459">
        <f t="shared" si="1017"/>
        <v>0</v>
      </c>
      <c r="CZ194" s="459">
        <f t="shared" si="1018"/>
        <v>0</v>
      </c>
      <c r="DA194" s="459">
        <f t="shared" si="1018"/>
        <v>0</v>
      </c>
      <c r="DB194" s="459">
        <f t="shared" si="1018"/>
        <v>0</v>
      </c>
      <c r="DC194" s="459">
        <f t="shared" si="1018"/>
        <v>0</v>
      </c>
      <c r="DD194" s="459"/>
      <c r="DE194" s="459"/>
      <c r="DF194" s="459"/>
      <c r="DG194" s="459">
        <f t="shared" si="1019"/>
        <v>0</v>
      </c>
      <c r="DH194" s="467"/>
      <c r="DI194" s="459">
        <f t="shared" si="1020"/>
        <v>0</v>
      </c>
      <c r="DJ194" s="459">
        <f t="shared" si="1021"/>
        <v>0</v>
      </c>
      <c r="DK194" s="467"/>
      <c r="DL194" s="459"/>
      <c r="DM194" s="459"/>
      <c r="DN194" s="467"/>
      <c r="DO194" s="459"/>
      <c r="DP194" s="467"/>
      <c r="DQ194" s="467"/>
      <c r="DR194" s="459">
        <f t="shared" si="733"/>
        <v>0</v>
      </c>
      <c r="DS194" s="459"/>
      <c r="DT194" s="460"/>
      <c r="DU194" s="459"/>
      <c r="DV194" s="459"/>
      <c r="DW194" s="459">
        <f t="shared" si="734"/>
        <v>0</v>
      </c>
      <c r="DX194" s="459"/>
      <c r="DY194" s="460"/>
      <c r="DZ194" s="459"/>
      <c r="EA194" s="146"/>
      <c r="EB194" s="279"/>
      <c r="EC194" s="279"/>
      <c r="ED194" s="286"/>
      <c r="EE194" s="366"/>
      <c r="EF194" s="366"/>
      <c r="EG194" s="279"/>
      <c r="EH194" s="279"/>
      <c r="EI194" s="286"/>
      <c r="EJ194" s="366"/>
      <c r="EK194" s="366"/>
      <c r="EL194" s="366">
        <v>2.2200000000000001E-2</v>
      </c>
      <c r="EM194" s="280"/>
      <c r="EN194" s="279"/>
      <c r="EO194" s="265" t="e">
        <f t="shared" si="1022"/>
        <v>#DIV/0!</v>
      </c>
      <c r="EP194" s="323">
        <f t="shared" si="736"/>
        <v>0</v>
      </c>
      <c r="EQ194" s="323">
        <f t="shared" si="796"/>
        <v>0</v>
      </c>
      <c r="ER194" s="328"/>
      <c r="ES194" s="358" t="e">
        <f t="shared" si="1023"/>
        <v>#DIV/0!</v>
      </c>
      <c r="ET194" s="358" t="e">
        <f t="shared" si="1024"/>
        <v>#DIV/0!</v>
      </c>
      <c r="EU194" s="323">
        <f t="shared" si="737"/>
        <v>0</v>
      </c>
      <c r="EV194" s="323">
        <f t="shared" si="1025"/>
        <v>0</v>
      </c>
      <c r="EW194" s="328">
        <f t="shared" si="1026"/>
        <v>0</v>
      </c>
      <c r="EX194" s="358" t="e">
        <f t="shared" si="1027"/>
        <v>#DIV/0!</v>
      </c>
      <c r="EY194" s="358" t="e">
        <f t="shared" si="1028"/>
        <v>#DIV/0!</v>
      </c>
      <c r="EZ194" s="358">
        <v>7.3999999999999996E-2</v>
      </c>
      <c r="FA194" s="323" t="e">
        <f t="shared" si="1029"/>
        <v>#DIV/0!</v>
      </c>
      <c r="FB194" s="323" t="e">
        <f t="shared" si="738"/>
        <v>#DIV/0!</v>
      </c>
      <c r="FC194" s="279"/>
      <c r="FD194" s="279"/>
      <c r="FE194" s="286"/>
      <c r="FF194" s="366"/>
      <c r="FG194" s="366"/>
      <c r="FH194" s="279"/>
      <c r="FI194" s="279"/>
      <c r="FJ194" s="286"/>
      <c r="FK194" s="366"/>
      <c r="FL194" s="366"/>
      <c r="FM194" s="366">
        <v>7.3999999999999996E-2</v>
      </c>
      <c r="FN194" s="280"/>
      <c r="FO194" s="279"/>
    </row>
    <row r="195" spans="2:171" s="119" customFormat="1" ht="15.75" customHeight="1" x14ac:dyDescent="0.25">
      <c r="B195" s="113"/>
      <c r="C195" s="114"/>
      <c r="D195" s="114"/>
      <c r="E195" s="115"/>
      <c r="F195" s="113"/>
      <c r="G195" s="114"/>
      <c r="H195" s="114"/>
      <c r="I195" s="115"/>
      <c r="J195" s="116"/>
      <c r="K195" s="116"/>
      <c r="L195" s="117"/>
      <c r="M195" s="115"/>
      <c r="N195" s="118" t="s">
        <v>14</v>
      </c>
      <c r="O195" s="118"/>
      <c r="P195" s="68">
        <f t="shared" si="735"/>
        <v>0</v>
      </c>
      <c r="Q195" s="118"/>
      <c r="R195" s="118"/>
      <c r="S195" s="118"/>
      <c r="T195" s="118"/>
      <c r="U195" s="163">
        <f t="shared" ref="U195:AA195" si="1056">SUM(U196:U202)-U197</f>
        <v>5</v>
      </c>
      <c r="V195" s="163">
        <f>V196+V197+V198+V199+V200+V201+V202</f>
        <v>4</v>
      </c>
      <c r="W195" s="452">
        <f t="shared" si="1056"/>
        <v>54412.199000000008</v>
      </c>
      <c r="X195" s="452">
        <f t="shared" si="1056"/>
        <v>0</v>
      </c>
      <c r="Y195" s="452">
        <f t="shared" si="1056"/>
        <v>5028.6000000000004</v>
      </c>
      <c r="Z195" s="452">
        <f t="shared" si="1056"/>
        <v>49383.599000000002</v>
      </c>
      <c r="AA195" s="452">
        <f t="shared" si="1056"/>
        <v>0</v>
      </c>
      <c r="AB195" s="452">
        <f t="shared" ref="AB195:AF195" si="1057">SUM(AB196:AB202)-AB197</f>
        <v>4903.6000000000004</v>
      </c>
      <c r="AC195" s="452">
        <f t="shared" si="1057"/>
        <v>0</v>
      </c>
      <c r="AD195" s="452">
        <f t="shared" si="1057"/>
        <v>4903.6000000000004</v>
      </c>
      <c r="AE195" s="452">
        <f t="shared" si="1057"/>
        <v>0</v>
      </c>
      <c r="AF195" s="452">
        <f t="shared" si="1057"/>
        <v>0</v>
      </c>
      <c r="AG195" s="452">
        <f t="shared" ref="AG195:AK195" si="1058">SUM(AG196:AG202)-AG197</f>
        <v>4903.6000000000004</v>
      </c>
      <c r="AH195" s="452">
        <f t="shared" si="1058"/>
        <v>0</v>
      </c>
      <c r="AI195" s="452">
        <f t="shared" si="1058"/>
        <v>4903.6000000000004</v>
      </c>
      <c r="AJ195" s="452">
        <f t="shared" si="1058"/>
        <v>0</v>
      </c>
      <c r="AK195" s="452">
        <f t="shared" si="1058"/>
        <v>0</v>
      </c>
      <c r="AL195" s="454">
        <f t="shared" ref="AL195:AP195" si="1059">SUM(AL196:AL202)-AL197</f>
        <v>2132</v>
      </c>
      <c r="AM195" s="452">
        <f t="shared" si="1059"/>
        <v>0</v>
      </c>
      <c r="AN195" s="452">
        <f t="shared" si="1059"/>
        <v>2132</v>
      </c>
      <c r="AO195" s="452">
        <f t="shared" si="1059"/>
        <v>0</v>
      </c>
      <c r="AP195" s="452">
        <f t="shared" si="1059"/>
        <v>0</v>
      </c>
      <c r="AQ195" s="453"/>
      <c r="AR195" s="452">
        <f t="shared" ref="AR195:AU195" si="1060">SUM(AR196:AR202)-AR197</f>
        <v>54391.239000000001</v>
      </c>
      <c r="AS195" s="452">
        <f t="shared" si="1060"/>
        <v>0</v>
      </c>
      <c r="AT195" s="452">
        <f t="shared" si="1060"/>
        <v>5007.6399999999994</v>
      </c>
      <c r="AU195" s="452">
        <f t="shared" si="1060"/>
        <v>49383.599000000002</v>
      </c>
      <c r="AV195" s="452">
        <f>SUM(AV196:AV202)-AV197</f>
        <v>0</v>
      </c>
      <c r="AW195" s="452" t="e">
        <f t="shared" ref="AW195:BF195" si="1061">SUM(AW196:AW202)-AW197</f>
        <v>#REF!</v>
      </c>
      <c r="AX195" s="452" t="e">
        <f t="shared" si="1061"/>
        <v>#REF!</v>
      </c>
      <c r="AY195" s="452" t="e">
        <f t="shared" si="1061"/>
        <v>#REF!</v>
      </c>
      <c r="AZ195" s="452" t="e">
        <f t="shared" si="1061"/>
        <v>#REF!</v>
      </c>
      <c r="BA195" s="452" t="e">
        <f t="shared" si="1061"/>
        <v>#REF!</v>
      </c>
      <c r="BB195" s="452">
        <f t="shared" si="1061"/>
        <v>4859.8159999999998</v>
      </c>
      <c r="BC195" s="452">
        <f t="shared" si="1061"/>
        <v>0</v>
      </c>
      <c r="BD195" s="452">
        <f t="shared" si="1061"/>
        <v>4859.8159999999998</v>
      </c>
      <c r="BE195" s="452">
        <f t="shared" si="1061"/>
        <v>0</v>
      </c>
      <c r="BF195" s="452">
        <f t="shared" si="1061"/>
        <v>0</v>
      </c>
      <c r="BG195" s="452">
        <f t="shared" ref="BG195:CK195" si="1062">SUM(BG196:BG202)-BG197</f>
        <v>0</v>
      </c>
      <c r="BH195" s="452">
        <f t="shared" si="1062"/>
        <v>0</v>
      </c>
      <c r="BI195" s="452">
        <f t="shared" si="1062"/>
        <v>0</v>
      </c>
      <c r="BJ195" s="452">
        <f t="shared" si="1062"/>
        <v>0</v>
      </c>
      <c r="BK195" s="452">
        <f t="shared" si="1062"/>
        <v>0</v>
      </c>
      <c r="BL195" s="452">
        <f t="shared" si="1062"/>
        <v>54261.444799999997</v>
      </c>
      <c r="BM195" s="452">
        <f t="shared" si="1062"/>
        <v>0</v>
      </c>
      <c r="BN195" s="452">
        <f t="shared" si="1062"/>
        <v>5007.6399999999994</v>
      </c>
      <c r="BO195" s="452">
        <f t="shared" si="1062"/>
        <v>49253.804799999998</v>
      </c>
      <c r="BP195" s="452">
        <f t="shared" si="1062"/>
        <v>0</v>
      </c>
      <c r="BQ195" s="452">
        <f t="shared" si="1062"/>
        <v>54261.444799999997</v>
      </c>
      <c r="BR195" s="452">
        <f t="shared" si="1062"/>
        <v>0</v>
      </c>
      <c r="BS195" s="452">
        <f t="shared" si="1062"/>
        <v>5007.6399999999994</v>
      </c>
      <c r="BT195" s="452">
        <f t="shared" si="1062"/>
        <v>49253.804799999998</v>
      </c>
      <c r="BU195" s="452">
        <f t="shared" si="1062"/>
        <v>0</v>
      </c>
      <c r="BV195" s="454">
        <f t="shared" si="1062"/>
        <v>6329.7845699999998</v>
      </c>
      <c r="BW195" s="452">
        <f t="shared" si="1062"/>
        <v>0</v>
      </c>
      <c r="BX195" s="452">
        <f t="shared" si="1062"/>
        <v>929.46134000000006</v>
      </c>
      <c r="BY195" s="452">
        <f t="shared" si="1062"/>
        <v>5400.32323</v>
      </c>
      <c r="BZ195" s="452">
        <f t="shared" si="1062"/>
        <v>0</v>
      </c>
      <c r="CA195" s="452">
        <f t="shared" si="1062"/>
        <v>60591.229369999994</v>
      </c>
      <c r="CB195" s="452">
        <f t="shared" si="1062"/>
        <v>60591.229369999994</v>
      </c>
      <c r="CC195" s="452">
        <f t="shared" si="1062"/>
        <v>0</v>
      </c>
      <c r="CD195" s="452">
        <f t="shared" si="1062"/>
        <v>5937.1013400000002</v>
      </c>
      <c r="CE195" s="452">
        <f t="shared" si="1062"/>
        <v>54654.128029999993</v>
      </c>
      <c r="CF195" s="452">
        <f t="shared" si="1062"/>
        <v>0</v>
      </c>
      <c r="CG195" s="452">
        <f t="shared" si="1062"/>
        <v>0</v>
      </c>
      <c r="CH195" s="452">
        <f t="shared" si="1062"/>
        <v>0</v>
      </c>
      <c r="CI195" s="452">
        <f t="shared" si="1062"/>
        <v>0</v>
      </c>
      <c r="CJ195" s="452">
        <f t="shared" si="1062"/>
        <v>0</v>
      </c>
      <c r="CK195" s="452">
        <f t="shared" si="1062"/>
        <v>0</v>
      </c>
      <c r="CL195" s="455">
        <f>CM195+CO195-BG195</f>
        <v>4859.8159999999998</v>
      </c>
      <c r="CM195" s="456">
        <f t="shared" ref="CM195:DG195" si="1063">SUM(CM196:CM202)-CM197</f>
        <v>4859.8159999999998</v>
      </c>
      <c r="CN195" s="456">
        <f t="shared" si="1063"/>
        <v>4859.8159999999998</v>
      </c>
      <c r="CO195" s="452">
        <f t="shared" si="1063"/>
        <v>0</v>
      </c>
      <c r="CP195" s="452">
        <f t="shared" si="1063"/>
        <v>0</v>
      </c>
      <c r="CQ195" s="452">
        <f t="shared" si="1063"/>
        <v>0</v>
      </c>
      <c r="CR195" s="452">
        <f t="shared" si="1063"/>
        <v>0</v>
      </c>
      <c r="CS195" s="452">
        <f t="shared" si="1063"/>
        <v>0</v>
      </c>
      <c r="CT195" s="452">
        <f t="shared" si="1063"/>
        <v>0</v>
      </c>
      <c r="CU195" s="452">
        <f t="shared" si="1063"/>
        <v>0</v>
      </c>
      <c r="CV195" s="452">
        <f t="shared" si="1063"/>
        <v>0</v>
      </c>
      <c r="CW195" s="452">
        <f t="shared" si="1063"/>
        <v>0</v>
      </c>
      <c r="CX195" s="452">
        <f t="shared" si="1063"/>
        <v>0</v>
      </c>
      <c r="CY195" s="452">
        <f t="shared" si="1063"/>
        <v>0</v>
      </c>
      <c r="CZ195" s="452">
        <f t="shared" si="1063"/>
        <v>0</v>
      </c>
      <c r="DA195" s="452">
        <f t="shared" si="1063"/>
        <v>0</v>
      </c>
      <c r="DB195" s="452">
        <f t="shared" si="1063"/>
        <v>0</v>
      </c>
      <c r="DC195" s="452">
        <f t="shared" si="1063"/>
        <v>0</v>
      </c>
      <c r="DD195" s="452">
        <f t="shared" si="1063"/>
        <v>0</v>
      </c>
      <c r="DE195" s="452">
        <f t="shared" si="1063"/>
        <v>0</v>
      </c>
      <c r="DF195" s="452">
        <f t="shared" si="1063"/>
        <v>0</v>
      </c>
      <c r="DG195" s="452">
        <f t="shared" si="1063"/>
        <v>0</v>
      </c>
      <c r="DH195" s="457"/>
      <c r="DI195" s="452">
        <f>SUM(DI196:DI202)-DI197</f>
        <v>54261.444799999997</v>
      </c>
      <c r="DJ195" s="452">
        <f>SUM(DJ196:DJ202)-DJ197</f>
        <v>54261.444799999997</v>
      </c>
      <c r="DK195" s="457"/>
      <c r="DL195" s="452">
        <f>SUM(DL196:DL202)-DL197</f>
        <v>54261.444799999997</v>
      </c>
      <c r="DM195" s="452">
        <f>SUM(DM196:DM202)-DM197</f>
        <v>0</v>
      </c>
      <c r="DN195" s="457"/>
      <c r="DO195" s="452">
        <f>SUM(DO196:DO202)-DO197</f>
        <v>-49401.628799999999</v>
      </c>
      <c r="DP195" s="457">
        <f>DG195-DO195</f>
        <v>49401.628799999999</v>
      </c>
      <c r="DQ195" s="457"/>
      <c r="DR195" s="452">
        <f t="shared" si="733"/>
        <v>54261.444799999997</v>
      </c>
      <c r="DS195" s="452">
        <f t="shared" ref="DS195:DU195" si="1064">SUM(DS196:DS202)-DS197</f>
        <v>0</v>
      </c>
      <c r="DT195" s="452">
        <f t="shared" si="1064"/>
        <v>5007.6399999999994</v>
      </c>
      <c r="DU195" s="452">
        <f t="shared" si="1064"/>
        <v>49253.804799999998</v>
      </c>
      <c r="DV195" s="452">
        <f t="shared" ref="DV195" si="1065">SUM(DV196:DV202)-DV197</f>
        <v>0</v>
      </c>
      <c r="DW195" s="452">
        <f t="shared" si="734"/>
        <v>6329.7845699999998</v>
      </c>
      <c r="DX195" s="452">
        <f t="shared" ref="DX195:DZ195" si="1066">SUM(DX196:DX202)-DX197</f>
        <v>0</v>
      </c>
      <c r="DY195" s="452">
        <f t="shared" si="1066"/>
        <v>929.46134000000006</v>
      </c>
      <c r="DZ195" s="452">
        <f t="shared" si="1066"/>
        <v>5400.32323</v>
      </c>
      <c r="EA195" s="145">
        <f t="shared" ref="EA195" si="1067">SUM(EA196:EA202)-EA197</f>
        <v>0</v>
      </c>
      <c r="EB195" s="57">
        <f t="shared" si="887"/>
        <v>0</v>
      </c>
      <c r="EC195" s="57">
        <f t="shared" si="752"/>
        <v>0</v>
      </c>
      <c r="ED195" s="57">
        <f t="shared" ref="ED195" si="1068">SUM(ED196:ED202)-ED197</f>
        <v>0</v>
      </c>
      <c r="EE195" s="360"/>
      <c r="EF195" s="360"/>
      <c r="EG195" s="57">
        <f t="shared" si="754"/>
        <v>0</v>
      </c>
      <c r="EH195" s="57">
        <f>SUM(EH196:EH202)</f>
        <v>0</v>
      </c>
      <c r="EI195" s="57">
        <f>SUM(EI196:EI202)</f>
        <v>0</v>
      </c>
      <c r="EJ195" s="360"/>
      <c r="EK195" s="360"/>
      <c r="EL195" s="360"/>
      <c r="EM195" s="273">
        <f t="shared" ref="EM195" si="1069">SUM(EM196:EM202)</f>
        <v>0</v>
      </c>
      <c r="EN195" s="57">
        <f t="shared" si="756"/>
        <v>0</v>
      </c>
      <c r="EO195" s="264"/>
      <c r="EP195" s="57">
        <f t="shared" si="736"/>
        <v>5937.1013399999993</v>
      </c>
      <c r="EQ195" s="57">
        <f t="shared" si="796"/>
        <v>5007.6399999999994</v>
      </c>
      <c r="ER195" s="57">
        <f t="shared" ref="ER195" si="1070">SUM(ER196:ER202)-ER197</f>
        <v>929.46134000000006</v>
      </c>
      <c r="ES195" s="360"/>
      <c r="ET195" s="360"/>
      <c r="EU195" s="57">
        <f t="shared" si="737"/>
        <v>5937.1013399999993</v>
      </c>
      <c r="EV195" s="57">
        <f>SUM(EV196:EV202)</f>
        <v>5007.6399999999994</v>
      </c>
      <c r="EW195" s="57">
        <f>SUM(EW196:EW202)</f>
        <v>929.46134000000006</v>
      </c>
      <c r="EX195" s="360"/>
      <c r="EY195" s="360"/>
      <c r="EZ195" s="360"/>
      <c r="FA195" s="57">
        <f t="shared" ref="FA195" si="1071">SUM(FA196:FA202)</f>
        <v>5007.6399999999994</v>
      </c>
      <c r="FB195" s="57">
        <f t="shared" si="738"/>
        <v>0</v>
      </c>
      <c r="FC195" s="57">
        <f t="shared" ref="FC195" si="1072">FD195+FE195+FF195</f>
        <v>54798.343810000006</v>
      </c>
      <c r="FD195" s="57">
        <f t="shared" si="759"/>
        <v>49383.599000000002</v>
      </c>
      <c r="FE195" s="57">
        <f t="shared" ref="FE195" si="1073">SUM(FE196:FE202)-FE197</f>
        <v>5414.7448100000001</v>
      </c>
      <c r="FF195" s="360"/>
      <c r="FG195" s="360"/>
      <c r="FH195" s="57">
        <f t="shared" si="761"/>
        <v>54654.12803</v>
      </c>
      <c r="FI195" s="57">
        <f t="shared" si="820"/>
        <v>49253.804799999998</v>
      </c>
      <c r="FJ195" s="57">
        <f t="shared" si="821"/>
        <v>5400.32323</v>
      </c>
      <c r="FK195" s="360"/>
      <c r="FL195" s="360"/>
      <c r="FM195" s="360"/>
      <c r="FN195" s="273">
        <f t="shared" si="998"/>
        <v>0</v>
      </c>
      <c r="FO195" s="57">
        <f t="shared" si="762"/>
        <v>49253.804799999998</v>
      </c>
    </row>
    <row r="196" spans="2:171" s="40" customFormat="1" ht="15.75" customHeight="1" x14ac:dyDescent="0.25">
      <c r="B196" s="32">
        <v>1</v>
      </c>
      <c r="C196" s="33"/>
      <c r="D196" s="33"/>
      <c r="E196" s="434">
        <v>165</v>
      </c>
      <c r="F196" s="32"/>
      <c r="G196" s="33"/>
      <c r="H196" s="33"/>
      <c r="I196" s="434"/>
      <c r="J196" s="435"/>
      <c r="K196" s="435"/>
      <c r="L196" s="53"/>
      <c r="M196" s="434">
        <v>162</v>
      </c>
      <c r="N196" s="435" t="s">
        <v>237</v>
      </c>
      <c r="O196" s="132"/>
      <c r="P196" s="2">
        <f t="shared" si="735"/>
        <v>0</v>
      </c>
      <c r="Q196" s="132"/>
      <c r="R196" s="132"/>
      <c r="S196" s="132"/>
      <c r="T196" s="132"/>
      <c r="U196" s="132"/>
      <c r="V196" s="132"/>
      <c r="W196" s="459">
        <f t="shared" ref="W196:W202" si="1074">X196+Y196+Z196+AA196</f>
        <v>0</v>
      </c>
      <c r="X196" s="459"/>
      <c r="Y196" s="460">
        <v>0</v>
      </c>
      <c r="Z196" s="459"/>
      <c r="AA196" s="464"/>
      <c r="AB196" s="459">
        <f t="shared" ref="AB196:AB202" si="1075">AC196+AD196+AE196+AF196</f>
        <v>0</v>
      </c>
      <c r="AC196" s="459"/>
      <c r="AD196" s="460"/>
      <c r="AE196" s="459"/>
      <c r="AF196" s="464"/>
      <c r="AG196" s="459">
        <f t="shared" ref="AG196:AG202" si="1076">AH196+AI196+AJ196+AK196</f>
        <v>0</v>
      </c>
      <c r="AH196" s="459"/>
      <c r="AI196" s="460"/>
      <c r="AJ196" s="459"/>
      <c r="AK196" s="464"/>
      <c r="AL196" s="459">
        <f t="shared" ref="AL196:AL202" si="1077">AM196+AN196+AO196+AP196</f>
        <v>0</v>
      </c>
      <c r="AM196" s="459"/>
      <c r="AN196" s="460"/>
      <c r="AO196" s="459"/>
      <c r="AP196" s="459"/>
      <c r="AQ196" s="383"/>
      <c r="AR196" s="459">
        <f t="shared" ref="AR196:AR202" si="1078">AS196+AT196+AU196+AV196</f>
        <v>0</v>
      </c>
      <c r="AS196" s="459"/>
      <c r="AT196" s="459"/>
      <c r="AU196" s="459"/>
      <c r="AV196" s="459"/>
      <c r="AW196" s="459" t="e">
        <f t="shared" ref="AW196:AW202" si="1079">AX196+AY196+AZ196+BA196</f>
        <v>#REF!</v>
      </c>
      <c r="AX196" s="459" t="e">
        <f>#REF!-AS196</f>
        <v>#REF!</v>
      </c>
      <c r="AY196" s="459" t="e">
        <f>#REF!-AT196</f>
        <v>#REF!</v>
      </c>
      <c r="AZ196" s="459" t="e">
        <f>#REF!-AU196</f>
        <v>#REF!</v>
      </c>
      <c r="BA196" s="459" t="e">
        <f>#REF!-AV196</f>
        <v>#REF!</v>
      </c>
      <c r="BB196" s="459">
        <f t="shared" ref="BB196:BB202" si="1080">BC196+BD196+BE196+BF196</f>
        <v>0</v>
      </c>
      <c r="BC196" s="459"/>
      <c r="BD196" s="459"/>
      <c r="BE196" s="459"/>
      <c r="BF196" s="459"/>
      <c r="BG196" s="459">
        <f t="shared" ref="BG196:BG202" si="1081">BH196+BI196+BJ196+BK196</f>
        <v>0</v>
      </c>
      <c r="BH196" s="459"/>
      <c r="BI196" s="459"/>
      <c r="BJ196" s="459"/>
      <c r="BK196" s="459"/>
      <c r="BL196" s="459">
        <f t="shared" ref="BL196:BL202" si="1082">BM196+BN196+BO196+BP196</f>
        <v>0</v>
      </c>
      <c r="BM196" s="459"/>
      <c r="BN196" s="459"/>
      <c r="BO196" s="459"/>
      <c r="BP196" s="459"/>
      <c r="BQ196" s="459">
        <f t="shared" ref="BQ196:BQ202" si="1083">BR196+BS196+BT196+BU196</f>
        <v>0</v>
      </c>
      <c r="BR196" s="459"/>
      <c r="BS196" s="459"/>
      <c r="BT196" s="459"/>
      <c r="BU196" s="459"/>
      <c r="BV196" s="459">
        <f t="shared" ref="BV196:BV202" si="1084">BW196+BX196+BY196+BZ196</f>
        <v>0</v>
      </c>
      <c r="BW196" s="459"/>
      <c r="BX196" s="459"/>
      <c r="BY196" s="459"/>
      <c r="BZ196" s="459"/>
      <c r="CA196" s="464">
        <f t="shared" ref="CA196:CA202" si="1085">CB196</f>
        <v>0</v>
      </c>
      <c r="CB196" s="459">
        <f t="shared" ref="CB196:CB202" si="1086">CC196+CD196+CE196+CF196</f>
        <v>0</v>
      </c>
      <c r="CC196" s="459">
        <f t="shared" ref="CC196:CF202" si="1087">BR196+BW196</f>
        <v>0</v>
      </c>
      <c r="CD196" s="459">
        <f t="shared" si="1087"/>
        <v>0</v>
      </c>
      <c r="CE196" s="459">
        <f t="shared" si="1087"/>
        <v>0</v>
      </c>
      <c r="CF196" s="459">
        <f t="shared" si="1087"/>
        <v>0</v>
      </c>
      <c r="CG196" s="459">
        <f t="shared" ref="CG196:CG202" si="1088">CH196+CI196+CJ196+CK196</f>
        <v>0</v>
      </c>
      <c r="CH196" s="459">
        <f t="shared" ref="CH196:CK202" si="1089">BM196-BR196</f>
        <v>0</v>
      </c>
      <c r="CI196" s="459">
        <f t="shared" si="1089"/>
        <v>0</v>
      </c>
      <c r="CJ196" s="459">
        <f t="shared" si="1089"/>
        <v>0</v>
      </c>
      <c r="CK196" s="459">
        <f t="shared" si="1089"/>
        <v>0</v>
      </c>
      <c r="CL196" s="465"/>
      <c r="CM196" s="466"/>
      <c r="CN196" s="466"/>
      <c r="CO196" s="459">
        <f t="shared" ref="CO196:CO202" si="1090">CP196+CQ196+CR196+CS196</f>
        <v>0</v>
      </c>
      <c r="CP196" s="459"/>
      <c r="CQ196" s="459"/>
      <c r="CR196" s="459"/>
      <c r="CS196" s="459"/>
      <c r="CT196" s="459">
        <f t="shared" ref="CT196:CT202" si="1091">CU196+CV196+CW196+CX196</f>
        <v>0</v>
      </c>
      <c r="CU196" s="459"/>
      <c r="CV196" s="459"/>
      <c r="CW196" s="459"/>
      <c r="CX196" s="459"/>
      <c r="CY196" s="459">
        <f t="shared" ref="CY196:CY202" si="1092">CZ196+DA196+DB196+DC196</f>
        <v>0</v>
      </c>
      <c r="CZ196" s="459">
        <f t="shared" ref="CZ196:DC202" si="1093">CP196-CU196</f>
        <v>0</v>
      </c>
      <c r="DA196" s="459">
        <f t="shared" si="1093"/>
        <v>0</v>
      </c>
      <c r="DB196" s="459">
        <f t="shared" si="1093"/>
        <v>0</v>
      </c>
      <c r="DC196" s="459">
        <f t="shared" si="1093"/>
        <v>0</v>
      </c>
      <c r="DD196" s="459"/>
      <c r="DE196" s="459"/>
      <c r="DF196" s="459"/>
      <c r="DG196" s="459">
        <f t="shared" ref="DG196:DG202" si="1094">CG196+CY196+DF196</f>
        <v>0</v>
      </c>
      <c r="DH196" s="467"/>
      <c r="DI196" s="459">
        <f t="shared" ref="DI196:DI202" si="1095">BL196+CO196+DD196</f>
        <v>0</v>
      </c>
      <c r="DJ196" s="459">
        <f t="shared" ref="DJ196:DJ202" si="1096">BQ196+CT196+DE196</f>
        <v>0</v>
      </c>
      <c r="DK196" s="467"/>
      <c r="DL196" s="459">
        <f t="shared" ref="DL196:DL197" si="1097">DJ196</f>
        <v>0</v>
      </c>
      <c r="DM196" s="459">
        <f t="shared" ref="DM196:DM197" si="1098">DG196</f>
        <v>0</v>
      </c>
      <c r="DN196" s="467"/>
      <c r="DO196" s="459">
        <f>CN196-DL196</f>
        <v>0</v>
      </c>
      <c r="DP196" s="467"/>
      <c r="DQ196" s="467"/>
      <c r="DR196" s="459">
        <f t="shared" si="733"/>
        <v>0</v>
      </c>
      <c r="DS196" s="459"/>
      <c r="DT196" s="459"/>
      <c r="DU196" s="459"/>
      <c r="DV196" s="459"/>
      <c r="DW196" s="459">
        <f t="shared" si="734"/>
        <v>0</v>
      </c>
      <c r="DX196" s="459"/>
      <c r="DY196" s="459"/>
      <c r="DZ196" s="459"/>
      <c r="EA196" s="146"/>
      <c r="EB196" s="279"/>
      <c r="EC196" s="279"/>
      <c r="ED196" s="279"/>
      <c r="EE196" s="366"/>
      <c r="EF196" s="366"/>
      <c r="EG196" s="279"/>
      <c r="EH196" s="279"/>
      <c r="EI196" s="279"/>
      <c r="EJ196" s="366"/>
      <c r="EK196" s="366"/>
      <c r="EL196" s="366">
        <v>2.9700000000000001E-2</v>
      </c>
      <c r="EM196" s="280"/>
      <c r="EN196" s="279"/>
      <c r="EO196" s="265" t="e">
        <f t="shared" ref="EO196:EO202" si="1099">EM196/EJ196</f>
        <v>#DIV/0!</v>
      </c>
      <c r="EP196" s="323"/>
      <c r="EQ196" s="323"/>
      <c r="ER196" s="323"/>
      <c r="ES196" s="358"/>
      <c r="ET196" s="358"/>
      <c r="EU196" s="323"/>
      <c r="EV196" s="323"/>
      <c r="EW196" s="323"/>
      <c r="EX196" s="358"/>
      <c r="EY196" s="358"/>
      <c r="EZ196" s="358">
        <v>0.1</v>
      </c>
      <c r="FA196" s="323"/>
      <c r="FB196" s="323">
        <f t="shared" si="738"/>
        <v>0</v>
      </c>
      <c r="FC196" s="279"/>
      <c r="FD196" s="279"/>
      <c r="FE196" s="279"/>
      <c r="FF196" s="366"/>
      <c r="FG196" s="366"/>
      <c r="FH196" s="279"/>
      <c r="FI196" s="279"/>
      <c r="FJ196" s="279"/>
      <c r="FK196" s="366"/>
      <c r="FL196" s="366"/>
      <c r="FM196" s="366">
        <v>0.1</v>
      </c>
      <c r="FN196" s="280"/>
      <c r="FO196" s="279"/>
    </row>
    <row r="197" spans="2:171" s="40" customFormat="1" ht="15.75" customHeight="1" x14ac:dyDescent="0.25">
      <c r="B197" s="32"/>
      <c r="C197" s="33"/>
      <c r="D197" s="33"/>
      <c r="E197" s="434"/>
      <c r="F197" s="32"/>
      <c r="G197" s="33"/>
      <c r="H197" s="33"/>
      <c r="I197" s="434"/>
      <c r="J197" s="435"/>
      <c r="K197" s="435"/>
      <c r="L197" s="53"/>
      <c r="M197" s="434"/>
      <c r="N197" s="19" t="s">
        <v>251</v>
      </c>
      <c r="O197" s="133"/>
      <c r="P197" s="2">
        <f t="shared" si="735"/>
        <v>0</v>
      </c>
      <c r="Q197" s="133"/>
      <c r="R197" s="133"/>
      <c r="S197" s="133"/>
      <c r="T197" s="133"/>
      <c r="U197" s="133"/>
      <c r="V197" s="133"/>
      <c r="W197" s="459">
        <f t="shared" si="1074"/>
        <v>0</v>
      </c>
      <c r="X197" s="459"/>
      <c r="Y197" s="460"/>
      <c r="Z197" s="459"/>
      <c r="AA197" s="464"/>
      <c r="AB197" s="459">
        <f t="shared" si="1075"/>
        <v>0</v>
      </c>
      <c r="AC197" s="459"/>
      <c r="AD197" s="460"/>
      <c r="AE197" s="459"/>
      <c r="AF197" s="464"/>
      <c r="AG197" s="459">
        <f t="shared" si="1076"/>
        <v>0</v>
      </c>
      <c r="AH197" s="459"/>
      <c r="AI197" s="460"/>
      <c r="AJ197" s="459"/>
      <c r="AK197" s="464"/>
      <c r="AL197" s="459">
        <f t="shared" si="1077"/>
        <v>0</v>
      </c>
      <c r="AM197" s="459"/>
      <c r="AN197" s="460"/>
      <c r="AO197" s="459"/>
      <c r="AP197" s="459"/>
      <c r="AQ197" s="383"/>
      <c r="AR197" s="459">
        <f t="shared" si="1078"/>
        <v>0</v>
      </c>
      <c r="AS197" s="459"/>
      <c r="AT197" s="469"/>
      <c r="AU197" s="459"/>
      <c r="AV197" s="459"/>
      <c r="AW197" s="459" t="e">
        <f t="shared" si="1079"/>
        <v>#REF!</v>
      </c>
      <c r="AX197" s="459" t="e">
        <f>#REF!-AS197</f>
        <v>#REF!</v>
      </c>
      <c r="AY197" s="459" t="e">
        <f>#REF!-AT197</f>
        <v>#REF!</v>
      </c>
      <c r="AZ197" s="459" t="e">
        <f>#REF!-AU197</f>
        <v>#REF!</v>
      </c>
      <c r="BA197" s="459" t="e">
        <f>#REF!-AV197</f>
        <v>#REF!</v>
      </c>
      <c r="BB197" s="459">
        <f t="shared" si="1080"/>
        <v>0</v>
      </c>
      <c r="BC197" s="459"/>
      <c r="BD197" s="459"/>
      <c r="BE197" s="459"/>
      <c r="BF197" s="459"/>
      <c r="BG197" s="459">
        <f t="shared" si="1081"/>
        <v>0</v>
      </c>
      <c r="BH197" s="459"/>
      <c r="BI197" s="459"/>
      <c r="BJ197" s="459"/>
      <c r="BK197" s="459"/>
      <c r="BL197" s="459">
        <f t="shared" si="1082"/>
        <v>0</v>
      </c>
      <c r="BM197" s="459"/>
      <c r="BN197" s="459"/>
      <c r="BO197" s="459"/>
      <c r="BP197" s="459"/>
      <c r="BQ197" s="459">
        <f t="shared" si="1083"/>
        <v>0</v>
      </c>
      <c r="BR197" s="459"/>
      <c r="BS197" s="459"/>
      <c r="BT197" s="459"/>
      <c r="BU197" s="459"/>
      <c r="BV197" s="459">
        <f t="shared" si="1084"/>
        <v>0</v>
      </c>
      <c r="BW197" s="459"/>
      <c r="BX197" s="459"/>
      <c r="BY197" s="459"/>
      <c r="BZ197" s="459"/>
      <c r="CA197" s="464">
        <f t="shared" si="1085"/>
        <v>0</v>
      </c>
      <c r="CB197" s="459">
        <f t="shared" si="1086"/>
        <v>0</v>
      </c>
      <c r="CC197" s="459">
        <f t="shared" si="1087"/>
        <v>0</v>
      </c>
      <c r="CD197" s="459">
        <f t="shared" si="1087"/>
        <v>0</v>
      </c>
      <c r="CE197" s="459">
        <f t="shared" si="1087"/>
        <v>0</v>
      </c>
      <c r="CF197" s="459">
        <f t="shared" si="1087"/>
        <v>0</v>
      </c>
      <c r="CG197" s="459">
        <f t="shared" si="1088"/>
        <v>0</v>
      </c>
      <c r="CH197" s="459">
        <f t="shared" si="1089"/>
        <v>0</v>
      </c>
      <c r="CI197" s="459">
        <f t="shared" si="1089"/>
        <v>0</v>
      </c>
      <c r="CJ197" s="459">
        <f t="shared" si="1089"/>
        <v>0</v>
      </c>
      <c r="CK197" s="459">
        <f t="shared" si="1089"/>
        <v>0</v>
      </c>
      <c r="CL197" s="465"/>
      <c r="CM197" s="466"/>
      <c r="CN197" s="466"/>
      <c r="CO197" s="459">
        <f t="shared" si="1090"/>
        <v>0</v>
      </c>
      <c r="CP197" s="459"/>
      <c r="CQ197" s="459"/>
      <c r="CR197" s="459"/>
      <c r="CS197" s="459"/>
      <c r="CT197" s="459">
        <f t="shared" si="1091"/>
        <v>0</v>
      </c>
      <c r="CU197" s="459"/>
      <c r="CV197" s="459"/>
      <c r="CW197" s="459"/>
      <c r="CX197" s="459"/>
      <c r="CY197" s="459">
        <f t="shared" si="1092"/>
        <v>0</v>
      </c>
      <c r="CZ197" s="459">
        <f t="shared" si="1093"/>
        <v>0</v>
      </c>
      <c r="DA197" s="459">
        <f t="shared" si="1093"/>
        <v>0</v>
      </c>
      <c r="DB197" s="459">
        <f t="shared" si="1093"/>
        <v>0</v>
      </c>
      <c r="DC197" s="459">
        <f t="shared" si="1093"/>
        <v>0</v>
      </c>
      <c r="DD197" s="459"/>
      <c r="DE197" s="459"/>
      <c r="DF197" s="459"/>
      <c r="DG197" s="459">
        <f t="shared" si="1094"/>
        <v>0</v>
      </c>
      <c r="DH197" s="467"/>
      <c r="DI197" s="459">
        <f t="shared" si="1095"/>
        <v>0</v>
      </c>
      <c r="DJ197" s="459">
        <f t="shared" si="1096"/>
        <v>0</v>
      </c>
      <c r="DK197" s="467"/>
      <c r="DL197" s="459">
        <f t="shared" si="1097"/>
        <v>0</v>
      </c>
      <c r="DM197" s="459">
        <f t="shared" si="1098"/>
        <v>0</v>
      </c>
      <c r="DN197" s="467"/>
      <c r="DO197" s="459"/>
      <c r="DP197" s="467"/>
      <c r="DQ197" s="467"/>
      <c r="DR197" s="459">
        <f t="shared" si="733"/>
        <v>0</v>
      </c>
      <c r="DS197" s="459"/>
      <c r="DT197" s="459"/>
      <c r="DU197" s="459"/>
      <c r="DV197" s="459"/>
      <c r="DW197" s="459">
        <f t="shared" si="734"/>
        <v>0</v>
      </c>
      <c r="DX197" s="459"/>
      <c r="DY197" s="459"/>
      <c r="DZ197" s="459"/>
      <c r="EA197" s="146"/>
      <c r="EB197" s="279"/>
      <c r="EC197" s="279"/>
      <c r="ED197" s="279"/>
      <c r="EE197" s="366"/>
      <c r="EF197" s="366"/>
      <c r="EG197" s="279"/>
      <c r="EH197" s="279"/>
      <c r="EI197" s="279"/>
      <c r="EJ197" s="366"/>
      <c r="EK197" s="366"/>
      <c r="EL197" s="366"/>
      <c r="EM197" s="280"/>
      <c r="EN197" s="279"/>
      <c r="EO197" s="265" t="e">
        <f t="shared" si="1099"/>
        <v>#DIV/0!</v>
      </c>
      <c r="EP197" s="323"/>
      <c r="EQ197" s="323"/>
      <c r="ER197" s="323"/>
      <c r="ES197" s="358"/>
      <c r="ET197" s="358"/>
      <c r="EU197" s="323"/>
      <c r="EV197" s="323"/>
      <c r="EW197" s="323"/>
      <c r="EX197" s="358"/>
      <c r="EY197" s="358"/>
      <c r="EZ197" s="358"/>
      <c r="FA197" s="323"/>
      <c r="FB197" s="323">
        <f t="shared" si="738"/>
        <v>0</v>
      </c>
      <c r="FC197" s="279"/>
      <c r="FD197" s="279"/>
      <c r="FE197" s="279"/>
      <c r="FF197" s="366"/>
      <c r="FG197" s="366"/>
      <c r="FH197" s="279"/>
      <c r="FI197" s="279"/>
      <c r="FJ197" s="279"/>
      <c r="FK197" s="366"/>
      <c r="FL197" s="366"/>
      <c r="FM197" s="366"/>
      <c r="FN197" s="280"/>
      <c r="FO197" s="279"/>
    </row>
    <row r="198" spans="2:171" s="40" customFormat="1" ht="15.75" customHeight="1" x14ac:dyDescent="0.25">
      <c r="B198" s="32"/>
      <c r="C198" s="33">
        <v>1</v>
      </c>
      <c r="D198" s="33"/>
      <c r="E198" s="434">
        <v>166</v>
      </c>
      <c r="F198" s="32"/>
      <c r="G198" s="33">
        <v>1</v>
      </c>
      <c r="H198" s="33">
        <v>1</v>
      </c>
      <c r="I198" s="434"/>
      <c r="J198" s="435"/>
      <c r="K198" s="435"/>
      <c r="L198" s="53"/>
      <c r="M198" s="434">
        <v>163</v>
      </c>
      <c r="N198" s="435" t="s">
        <v>238</v>
      </c>
      <c r="O198" s="435"/>
      <c r="P198" s="24">
        <f t="shared" si="735"/>
        <v>0</v>
      </c>
      <c r="Q198" s="435"/>
      <c r="R198" s="435"/>
      <c r="S198" s="435"/>
      <c r="T198" s="435"/>
      <c r="U198" s="161">
        <v>1</v>
      </c>
      <c r="V198" s="434"/>
      <c r="W198" s="459">
        <f t="shared" si="1074"/>
        <v>2525.9</v>
      </c>
      <c r="X198" s="459"/>
      <c r="Y198" s="460">
        <v>654.9</v>
      </c>
      <c r="Z198" s="459">
        <f>1896-25</f>
        <v>1871</v>
      </c>
      <c r="AA198" s="461"/>
      <c r="AB198" s="459">
        <f t="shared" si="1075"/>
        <v>683.1</v>
      </c>
      <c r="AC198" s="459"/>
      <c r="AD198" s="460">
        <v>683.1</v>
      </c>
      <c r="AE198" s="459"/>
      <c r="AF198" s="461"/>
      <c r="AG198" s="459">
        <f t="shared" si="1076"/>
        <v>683.1</v>
      </c>
      <c r="AH198" s="459"/>
      <c r="AI198" s="460">
        <v>683.1</v>
      </c>
      <c r="AJ198" s="459"/>
      <c r="AK198" s="461"/>
      <c r="AL198" s="459">
        <f t="shared" si="1077"/>
        <v>297</v>
      </c>
      <c r="AM198" s="459"/>
      <c r="AN198" s="460">
        <v>297</v>
      </c>
      <c r="AO198" s="459"/>
      <c r="AP198" s="461"/>
      <c r="AQ198" s="383" t="s">
        <v>376</v>
      </c>
      <c r="AR198" s="459">
        <f t="shared" si="1078"/>
        <v>2525.9</v>
      </c>
      <c r="AS198" s="459"/>
      <c r="AT198" s="462">
        <v>654.9</v>
      </c>
      <c r="AU198" s="459">
        <v>1871</v>
      </c>
      <c r="AV198" s="459"/>
      <c r="AW198" s="459" t="e">
        <f t="shared" si="1079"/>
        <v>#REF!</v>
      </c>
      <c r="AX198" s="459" t="e">
        <f>#REF!-AS198</f>
        <v>#REF!</v>
      </c>
      <c r="AY198" s="459" t="e">
        <f>#REF!-AT198</f>
        <v>#REF!</v>
      </c>
      <c r="AZ198" s="459" t="e">
        <f>#REF!-AU198</f>
        <v>#REF!</v>
      </c>
      <c r="BA198" s="459" t="e">
        <f>#REF!-AV198</f>
        <v>#REF!</v>
      </c>
      <c r="BB198" s="459">
        <f t="shared" si="1080"/>
        <v>683.1</v>
      </c>
      <c r="BC198" s="459"/>
      <c r="BD198" s="460">
        <v>683.1</v>
      </c>
      <c r="BE198" s="459"/>
      <c r="BF198" s="459"/>
      <c r="BG198" s="459">
        <f t="shared" si="1081"/>
        <v>0</v>
      </c>
      <c r="BH198" s="459"/>
      <c r="BI198" s="460"/>
      <c r="BJ198" s="459"/>
      <c r="BK198" s="459"/>
      <c r="BL198" s="459">
        <f t="shared" si="1082"/>
        <v>2525.9</v>
      </c>
      <c r="BM198" s="459"/>
      <c r="BN198" s="460">
        <v>654.9</v>
      </c>
      <c r="BO198" s="459">
        <v>1871</v>
      </c>
      <c r="BP198" s="459"/>
      <c r="BQ198" s="459">
        <f t="shared" si="1083"/>
        <v>2525.9</v>
      </c>
      <c r="BR198" s="459"/>
      <c r="BS198" s="460">
        <v>654.9</v>
      </c>
      <c r="BT198" s="459">
        <v>1871</v>
      </c>
      <c r="BU198" s="459"/>
      <c r="BV198" s="459">
        <f t="shared" si="1084"/>
        <v>189.89024000000001</v>
      </c>
      <c r="BW198" s="459"/>
      <c r="BX198" s="459">
        <v>64.936760000000007</v>
      </c>
      <c r="BY198" s="459">
        <v>124.95348</v>
      </c>
      <c r="BZ198" s="459"/>
      <c r="CA198" s="464">
        <f t="shared" si="1085"/>
        <v>2715.7902399999998</v>
      </c>
      <c r="CB198" s="459">
        <f t="shared" si="1086"/>
        <v>2715.7902399999998</v>
      </c>
      <c r="CC198" s="459">
        <f t="shared" si="1087"/>
        <v>0</v>
      </c>
      <c r="CD198" s="459">
        <f t="shared" si="1087"/>
        <v>719.83676000000003</v>
      </c>
      <c r="CE198" s="459">
        <f t="shared" si="1087"/>
        <v>1995.9534799999999</v>
      </c>
      <c r="CF198" s="459">
        <f t="shared" si="1087"/>
        <v>0</v>
      </c>
      <c r="CG198" s="459">
        <f t="shared" si="1088"/>
        <v>0</v>
      </c>
      <c r="CH198" s="459">
        <f t="shared" si="1089"/>
        <v>0</v>
      </c>
      <c r="CI198" s="459">
        <f t="shared" si="1089"/>
        <v>0</v>
      </c>
      <c r="CJ198" s="459">
        <f t="shared" si="1089"/>
        <v>0</v>
      </c>
      <c r="CK198" s="459">
        <f t="shared" si="1089"/>
        <v>0</v>
      </c>
      <c r="CL198" s="465"/>
      <c r="CM198" s="559">
        <f>BB198+BB200+BB201+BB202</f>
        <v>4102.8189999999995</v>
      </c>
      <c r="CN198" s="559">
        <f>CM198-BG198</f>
        <v>4102.8189999999995</v>
      </c>
      <c r="CO198" s="459">
        <f t="shared" si="1090"/>
        <v>0</v>
      </c>
      <c r="CP198" s="459"/>
      <c r="CQ198" s="460"/>
      <c r="CR198" s="459"/>
      <c r="CS198" s="459"/>
      <c r="CT198" s="459">
        <f t="shared" si="1091"/>
        <v>0</v>
      </c>
      <c r="CU198" s="459"/>
      <c r="CV198" s="460"/>
      <c r="CW198" s="459"/>
      <c r="CX198" s="459"/>
      <c r="CY198" s="459">
        <f t="shared" si="1092"/>
        <v>0</v>
      </c>
      <c r="CZ198" s="459">
        <f t="shared" si="1093"/>
        <v>0</v>
      </c>
      <c r="DA198" s="459">
        <f t="shared" si="1093"/>
        <v>0</v>
      </c>
      <c r="DB198" s="459">
        <f t="shared" si="1093"/>
        <v>0</v>
      </c>
      <c r="DC198" s="459">
        <f t="shared" si="1093"/>
        <v>0</v>
      </c>
      <c r="DD198" s="459"/>
      <c r="DE198" s="459"/>
      <c r="DF198" s="459"/>
      <c r="DG198" s="459">
        <f t="shared" si="1094"/>
        <v>0</v>
      </c>
      <c r="DH198" s="467"/>
      <c r="DI198" s="459">
        <f t="shared" si="1095"/>
        <v>2525.9</v>
      </c>
      <c r="DJ198" s="459">
        <f t="shared" si="1096"/>
        <v>2525.9</v>
      </c>
      <c r="DK198" s="467"/>
      <c r="DL198" s="560">
        <f>DJ198+DJ200+DJ201+DJ202</f>
        <v>53703.233799999995</v>
      </c>
      <c r="DM198" s="560">
        <f>DG198+DG200+DG201+DG202</f>
        <v>0</v>
      </c>
      <c r="DN198" s="467"/>
      <c r="DO198" s="459">
        <f>CN198-DL198</f>
        <v>-49600.414799999999</v>
      </c>
      <c r="DP198" s="467"/>
      <c r="DQ198" s="467"/>
      <c r="DR198" s="459">
        <f t="shared" ref="DR198:DR238" si="1100">DS198+DT198+DU198</f>
        <v>2525.9</v>
      </c>
      <c r="DS198" s="459"/>
      <c r="DT198" s="460">
        <v>654.9</v>
      </c>
      <c r="DU198" s="459">
        <v>1871</v>
      </c>
      <c r="DV198" s="459"/>
      <c r="DW198" s="459">
        <f>DX198+DY198+DZ198</f>
        <v>189.89024000000001</v>
      </c>
      <c r="DX198" s="459"/>
      <c r="DY198" s="459">
        <v>64.936760000000007</v>
      </c>
      <c r="DZ198" s="459">
        <v>124.95348</v>
      </c>
      <c r="EA198" s="146"/>
      <c r="EB198" s="279"/>
      <c r="EC198" s="279"/>
      <c r="ED198" s="279"/>
      <c r="EE198" s="366"/>
      <c r="EF198" s="366"/>
      <c r="EG198" s="279"/>
      <c r="EH198" s="279"/>
      <c r="EI198" s="279"/>
      <c r="EJ198" s="366"/>
      <c r="EK198" s="366"/>
      <c r="EL198" s="366">
        <v>1.8800000000000001E-2</v>
      </c>
      <c r="EM198" s="280"/>
      <c r="EN198" s="279"/>
      <c r="EO198" s="265" t="e">
        <f t="shared" si="1099"/>
        <v>#DIV/0!</v>
      </c>
      <c r="EP198" s="323">
        <f t="shared" si="736"/>
        <v>719.83676000000003</v>
      </c>
      <c r="EQ198" s="323">
        <f t="shared" si="796"/>
        <v>654.9</v>
      </c>
      <c r="ER198" s="323">
        <v>64.936760000000007</v>
      </c>
      <c r="ES198" s="358">
        <f t="shared" ref="ES198:ES202" si="1101">EQ198/EP198</f>
        <v>0.90978960285384691</v>
      </c>
      <c r="ET198" s="358">
        <f t="shared" ref="ET198:ET202" si="1102">ER198/EP198</f>
        <v>9.0210397146152976E-2</v>
      </c>
      <c r="EU198" s="323">
        <f t="shared" si="737"/>
        <v>719.83676000000003</v>
      </c>
      <c r="EV198" s="323">
        <f t="shared" ref="EV198:EV202" si="1103">DT198</f>
        <v>654.9</v>
      </c>
      <c r="EW198" s="323">
        <f t="shared" ref="EW198:EW202" si="1104">DY198</f>
        <v>64.936760000000007</v>
      </c>
      <c r="EX198" s="358">
        <f t="shared" ref="EX198:EX202" si="1105">EV198/EU198</f>
        <v>0.90978960285384691</v>
      </c>
      <c r="EY198" s="358">
        <f t="shared" ref="EY198:EY202" si="1106">EW198/EU198</f>
        <v>9.0210397146152976E-2</v>
      </c>
      <c r="EZ198" s="358">
        <v>6.2600000000000003E-2</v>
      </c>
      <c r="FA198" s="323">
        <f t="shared" ref="FA198:FA202" si="1107">EU198*ES198</f>
        <v>654.9</v>
      </c>
      <c r="FB198" s="323">
        <f t="shared" si="738"/>
        <v>0</v>
      </c>
      <c r="FC198" s="279">
        <f t="shared" ref="FC198" si="1108">FD198+FE198</f>
        <v>1995.9534799999999</v>
      </c>
      <c r="FD198" s="279">
        <f t="shared" ref="FD198" si="1109">AU198</f>
        <v>1871</v>
      </c>
      <c r="FE198" s="279">
        <v>124.95348</v>
      </c>
      <c r="FF198" s="366">
        <f t="shared" ref="FF198" si="1110">FD198/FC198</f>
        <v>0.93739659703892497</v>
      </c>
      <c r="FG198" s="366">
        <f t="shared" ref="FG198" si="1111">FE198/FC198</f>
        <v>6.2603402961075028E-2</v>
      </c>
      <c r="FH198" s="279">
        <f t="shared" ref="FH198" si="1112">FI198+FJ198</f>
        <v>1995.9534799999999</v>
      </c>
      <c r="FI198" s="279">
        <f t="shared" ref="FI198" si="1113">DU198</f>
        <v>1871</v>
      </c>
      <c r="FJ198" s="279">
        <f t="shared" ref="FJ198" si="1114">DZ198</f>
        <v>124.95348</v>
      </c>
      <c r="FK198" s="366">
        <f t="shared" ref="FK198" si="1115">FI198/FH198</f>
        <v>0.93739659703892497</v>
      </c>
      <c r="FL198" s="366">
        <f t="shared" ref="FL198" si="1116">FJ198/FH198</f>
        <v>6.2603402961075028E-2</v>
      </c>
      <c r="FM198" s="366">
        <v>6.2600000000000003E-2</v>
      </c>
      <c r="FN198" s="280">
        <f t="shared" ref="FN198" si="1117">FH198*FF198</f>
        <v>1871</v>
      </c>
      <c r="FO198" s="279">
        <f t="shared" ref="FO198" si="1118">FI198-FN198</f>
        <v>0</v>
      </c>
    </row>
    <row r="199" spans="2:171" s="40" customFormat="1" ht="15.6" customHeight="1" x14ac:dyDescent="0.25">
      <c r="B199" s="32"/>
      <c r="C199" s="33"/>
      <c r="D199" s="33">
        <v>1</v>
      </c>
      <c r="E199" s="434">
        <v>167</v>
      </c>
      <c r="F199" s="32"/>
      <c r="G199" s="33"/>
      <c r="H199" s="33">
        <v>1</v>
      </c>
      <c r="I199" s="434"/>
      <c r="J199" s="435"/>
      <c r="K199" s="435"/>
      <c r="L199" s="53"/>
      <c r="M199" s="434">
        <v>164</v>
      </c>
      <c r="N199" s="435" t="s">
        <v>239</v>
      </c>
      <c r="O199" s="435"/>
      <c r="P199" s="24">
        <f t="shared" si="735"/>
        <v>0</v>
      </c>
      <c r="Q199" s="435" t="s">
        <v>491</v>
      </c>
      <c r="R199" s="435" t="s">
        <v>488</v>
      </c>
      <c r="S199" s="435"/>
      <c r="T199" s="435"/>
      <c r="U199" s="161">
        <v>1</v>
      </c>
      <c r="V199" s="434"/>
      <c r="W199" s="459">
        <f t="shared" si="1074"/>
        <v>558.21100000000001</v>
      </c>
      <c r="X199" s="459"/>
      <c r="Y199" s="460">
        <f>978.3-420.089</f>
        <v>558.21100000000001</v>
      </c>
      <c r="Z199" s="459"/>
      <c r="AA199" s="461"/>
      <c r="AB199" s="459">
        <f t="shared" si="1075"/>
        <v>800.4</v>
      </c>
      <c r="AC199" s="459"/>
      <c r="AD199" s="460">
        <v>800.4</v>
      </c>
      <c r="AE199" s="459"/>
      <c r="AF199" s="461"/>
      <c r="AG199" s="459">
        <f t="shared" si="1076"/>
        <v>800.4</v>
      </c>
      <c r="AH199" s="459"/>
      <c r="AI199" s="460">
        <v>800.4</v>
      </c>
      <c r="AJ199" s="459"/>
      <c r="AK199" s="461"/>
      <c r="AL199" s="459">
        <f t="shared" si="1077"/>
        <v>348</v>
      </c>
      <c r="AM199" s="459"/>
      <c r="AN199" s="460">
        <v>348</v>
      </c>
      <c r="AO199" s="459"/>
      <c r="AP199" s="461"/>
      <c r="AQ199" s="383" t="s">
        <v>390</v>
      </c>
      <c r="AR199" s="459">
        <f t="shared" si="1078"/>
        <v>558.21100000000001</v>
      </c>
      <c r="AS199" s="459"/>
      <c r="AT199" s="462">
        <v>558.21100000000001</v>
      </c>
      <c r="AU199" s="459"/>
      <c r="AV199" s="461"/>
      <c r="AW199" s="459" t="e">
        <f t="shared" si="1079"/>
        <v>#REF!</v>
      </c>
      <c r="AX199" s="459" t="e">
        <f>#REF!-AS199</f>
        <v>#REF!</v>
      </c>
      <c r="AY199" s="459" t="e">
        <f>#REF!-AT199</f>
        <v>#REF!</v>
      </c>
      <c r="AZ199" s="459" t="e">
        <f>#REF!-AU199</f>
        <v>#REF!</v>
      </c>
      <c r="BA199" s="459" t="e">
        <f>#REF!-AV199</f>
        <v>#REF!</v>
      </c>
      <c r="BB199" s="459">
        <f t="shared" si="1080"/>
        <v>756.99700000000007</v>
      </c>
      <c r="BC199" s="459"/>
      <c r="BD199" s="460">
        <f>347+409.997</f>
        <v>756.99700000000007</v>
      </c>
      <c r="BE199" s="459"/>
      <c r="BF199" s="461"/>
      <c r="BG199" s="459">
        <f t="shared" si="1081"/>
        <v>0</v>
      </c>
      <c r="BH199" s="459"/>
      <c r="BI199" s="460"/>
      <c r="BJ199" s="459"/>
      <c r="BK199" s="461"/>
      <c r="BL199" s="459">
        <f t="shared" si="1082"/>
        <v>558.21100000000001</v>
      </c>
      <c r="BM199" s="459"/>
      <c r="BN199" s="462">
        <v>558.21100000000001</v>
      </c>
      <c r="BO199" s="459"/>
      <c r="BP199" s="470"/>
      <c r="BQ199" s="459">
        <f t="shared" si="1083"/>
        <v>558.21100000000001</v>
      </c>
      <c r="BR199" s="459"/>
      <c r="BS199" s="462">
        <v>558.21100000000001</v>
      </c>
      <c r="BT199" s="459"/>
      <c r="BU199" s="461"/>
      <c r="BV199" s="459">
        <f t="shared" si="1084"/>
        <v>40.214419999999997</v>
      </c>
      <c r="BW199" s="459"/>
      <c r="BX199" s="459">
        <v>40.214419999999997</v>
      </c>
      <c r="BY199" s="459"/>
      <c r="BZ199" s="459"/>
      <c r="CA199" s="464">
        <f t="shared" si="1085"/>
        <v>598.42542000000003</v>
      </c>
      <c r="CB199" s="459">
        <f t="shared" si="1086"/>
        <v>598.42542000000003</v>
      </c>
      <c r="CC199" s="459">
        <f t="shared" si="1087"/>
        <v>0</v>
      </c>
      <c r="CD199" s="459">
        <f t="shared" si="1087"/>
        <v>598.42542000000003</v>
      </c>
      <c r="CE199" s="459">
        <f t="shared" si="1087"/>
        <v>0</v>
      </c>
      <c r="CF199" s="459">
        <f t="shared" si="1087"/>
        <v>0</v>
      </c>
      <c r="CG199" s="459">
        <f t="shared" si="1088"/>
        <v>0</v>
      </c>
      <c r="CH199" s="459">
        <f t="shared" si="1089"/>
        <v>0</v>
      </c>
      <c r="CI199" s="459">
        <f t="shared" si="1089"/>
        <v>0</v>
      </c>
      <c r="CJ199" s="459">
        <f t="shared" si="1089"/>
        <v>0</v>
      </c>
      <c r="CK199" s="459">
        <f t="shared" si="1089"/>
        <v>0</v>
      </c>
      <c r="CL199" s="465"/>
      <c r="CM199" s="466">
        <f>BB195-CM196-CM198</f>
        <v>756.9970000000003</v>
      </c>
      <c r="CN199" s="466">
        <f>CM199-BG199</f>
        <v>756.9970000000003</v>
      </c>
      <c r="CO199" s="459">
        <f t="shared" si="1090"/>
        <v>0</v>
      </c>
      <c r="CP199" s="459"/>
      <c r="CQ199" s="460"/>
      <c r="CR199" s="459"/>
      <c r="CS199" s="461"/>
      <c r="CT199" s="459">
        <f t="shared" si="1091"/>
        <v>0</v>
      </c>
      <c r="CU199" s="459"/>
      <c r="CV199" s="460"/>
      <c r="CW199" s="459"/>
      <c r="CX199" s="461"/>
      <c r="CY199" s="459">
        <f t="shared" si="1092"/>
        <v>0</v>
      </c>
      <c r="CZ199" s="459">
        <f t="shared" si="1093"/>
        <v>0</v>
      </c>
      <c r="DA199" s="459">
        <f t="shared" si="1093"/>
        <v>0</v>
      </c>
      <c r="DB199" s="459">
        <f t="shared" si="1093"/>
        <v>0</v>
      </c>
      <c r="DC199" s="459">
        <f t="shared" si="1093"/>
        <v>0</v>
      </c>
      <c r="DD199" s="459"/>
      <c r="DE199" s="459"/>
      <c r="DF199" s="459"/>
      <c r="DG199" s="459">
        <f t="shared" si="1094"/>
        <v>0</v>
      </c>
      <c r="DH199" s="467"/>
      <c r="DI199" s="459">
        <f t="shared" si="1095"/>
        <v>558.21100000000001</v>
      </c>
      <c r="DJ199" s="459">
        <f t="shared" si="1096"/>
        <v>558.21100000000001</v>
      </c>
      <c r="DK199" s="467"/>
      <c r="DL199" s="459">
        <f>DJ199</f>
        <v>558.21100000000001</v>
      </c>
      <c r="DM199" s="459">
        <f>DG199</f>
        <v>0</v>
      </c>
      <c r="DN199" s="467"/>
      <c r="DO199" s="459">
        <f>CN199-DL199</f>
        <v>198.78600000000029</v>
      </c>
      <c r="DP199" s="467"/>
      <c r="DQ199" s="467"/>
      <c r="DR199" s="459">
        <f t="shared" si="1100"/>
        <v>558.21100000000001</v>
      </c>
      <c r="DS199" s="459"/>
      <c r="DT199" s="462">
        <v>558.21100000000001</v>
      </c>
      <c r="DU199" s="459"/>
      <c r="DV199" s="461"/>
      <c r="DW199" s="459">
        <f t="shared" ref="DW199:DW260" si="1119">DX199+DY199+DZ199</f>
        <v>40.214419999999997</v>
      </c>
      <c r="DX199" s="459"/>
      <c r="DY199" s="459">
        <v>40.214419999999997</v>
      </c>
      <c r="DZ199" s="459"/>
      <c r="EA199" s="146"/>
      <c r="EB199" s="279"/>
      <c r="EC199" s="279"/>
      <c r="ED199" s="279"/>
      <c r="EE199" s="366"/>
      <c r="EF199" s="366"/>
      <c r="EG199" s="279"/>
      <c r="EH199" s="279"/>
      <c r="EI199" s="279"/>
      <c r="EJ199" s="366"/>
      <c r="EK199" s="366"/>
      <c r="EL199" s="366">
        <v>2.01E-2</v>
      </c>
      <c r="EM199" s="280"/>
      <c r="EN199" s="279"/>
      <c r="EO199" s="265" t="e">
        <f t="shared" si="1099"/>
        <v>#DIV/0!</v>
      </c>
      <c r="EP199" s="323">
        <f t="shared" si="736"/>
        <v>598.42542000000003</v>
      </c>
      <c r="EQ199" s="323">
        <f t="shared" si="796"/>
        <v>558.21100000000001</v>
      </c>
      <c r="ER199" s="323">
        <v>40.214419999999997</v>
      </c>
      <c r="ES199" s="358">
        <f t="shared" si="1101"/>
        <v>0.93279961269024969</v>
      </c>
      <c r="ET199" s="358">
        <f t="shared" si="1102"/>
        <v>6.7200387309750309E-2</v>
      </c>
      <c r="EU199" s="323">
        <f t="shared" si="737"/>
        <v>598.42542000000003</v>
      </c>
      <c r="EV199" s="323">
        <f t="shared" si="1103"/>
        <v>558.21100000000001</v>
      </c>
      <c r="EW199" s="323">
        <f t="shared" si="1104"/>
        <v>40.214419999999997</v>
      </c>
      <c r="EX199" s="358">
        <f t="shared" si="1105"/>
        <v>0.93279961269024969</v>
      </c>
      <c r="EY199" s="358">
        <f t="shared" si="1106"/>
        <v>6.7200387309750309E-2</v>
      </c>
      <c r="EZ199" s="358">
        <v>6.7000000000000004E-2</v>
      </c>
      <c r="FA199" s="323">
        <f t="shared" si="1107"/>
        <v>558.21100000000001</v>
      </c>
      <c r="FB199" s="323">
        <f t="shared" si="738"/>
        <v>0</v>
      </c>
      <c r="FC199" s="279"/>
      <c r="FD199" s="279"/>
      <c r="FE199" s="279"/>
      <c r="FF199" s="366"/>
      <c r="FG199" s="366"/>
      <c r="FH199" s="279"/>
      <c r="FI199" s="279"/>
      <c r="FJ199" s="279"/>
      <c r="FK199" s="366"/>
      <c r="FL199" s="366"/>
      <c r="FM199" s="366">
        <v>6.7000000000000004E-2</v>
      </c>
      <c r="FN199" s="280"/>
      <c r="FO199" s="279"/>
    </row>
    <row r="200" spans="2:171" s="40" customFormat="1" ht="15.75" customHeight="1" x14ac:dyDescent="0.25">
      <c r="B200" s="32"/>
      <c r="C200" s="33">
        <v>1</v>
      </c>
      <c r="D200" s="33"/>
      <c r="E200" s="434">
        <v>168</v>
      </c>
      <c r="F200" s="32"/>
      <c r="G200" s="33">
        <v>1</v>
      </c>
      <c r="H200" s="33">
        <v>1</v>
      </c>
      <c r="I200" s="434"/>
      <c r="J200" s="435"/>
      <c r="K200" s="435"/>
      <c r="L200" s="53"/>
      <c r="M200" s="434">
        <v>165</v>
      </c>
      <c r="N200" s="435" t="s">
        <v>240</v>
      </c>
      <c r="O200" s="435"/>
      <c r="P200" s="24">
        <f t="shared" ref="P200:P263" si="1120">BL200-BQ200</f>
        <v>0</v>
      </c>
      <c r="Q200" s="435" t="s">
        <v>490</v>
      </c>
      <c r="R200" s="435" t="s">
        <v>488</v>
      </c>
      <c r="S200" s="435"/>
      <c r="T200" s="435"/>
      <c r="U200" s="161">
        <v>1</v>
      </c>
      <c r="V200" s="434">
        <v>1</v>
      </c>
      <c r="W200" s="459">
        <f t="shared" si="1074"/>
        <v>4574.5219999999999</v>
      </c>
      <c r="X200" s="459"/>
      <c r="Y200" s="460">
        <v>964</v>
      </c>
      <c r="Z200" s="459">
        <v>3610.5219999999999</v>
      </c>
      <c r="AA200" s="461"/>
      <c r="AB200" s="459">
        <f t="shared" si="1075"/>
        <v>968.3</v>
      </c>
      <c r="AC200" s="459"/>
      <c r="AD200" s="460">
        <v>968.3</v>
      </c>
      <c r="AE200" s="459"/>
      <c r="AF200" s="461"/>
      <c r="AG200" s="459">
        <f t="shared" si="1076"/>
        <v>968.3</v>
      </c>
      <c r="AH200" s="459"/>
      <c r="AI200" s="460">
        <v>968.3</v>
      </c>
      <c r="AJ200" s="459"/>
      <c r="AK200" s="461"/>
      <c r="AL200" s="459">
        <f t="shared" si="1077"/>
        <v>421</v>
      </c>
      <c r="AM200" s="459"/>
      <c r="AN200" s="460">
        <v>421</v>
      </c>
      <c r="AO200" s="459"/>
      <c r="AP200" s="461"/>
      <c r="AQ200" s="383" t="s">
        <v>448</v>
      </c>
      <c r="AR200" s="459">
        <f t="shared" si="1078"/>
        <v>4574.5219999999999</v>
      </c>
      <c r="AS200" s="459"/>
      <c r="AT200" s="462">
        <v>964</v>
      </c>
      <c r="AU200" s="459">
        <v>3610.5219999999999</v>
      </c>
      <c r="AV200" s="461"/>
      <c r="AW200" s="459" t="e">
        <f t="shared" si="1079"/>
        <v>#REF!</v>
      </c>
      <c r="AX200" s="459" t="e">
        <f>#REF!-AS200</f>
        <v>#REF!</v>
      </c>
      <c r="AY200" s="459" t="e">
        <f>#REF!-AT200</f>
        <v>#REF!</v>
      </c>
      <c r="AZ200" s="459" t="e">
        <f>#REF!-AU200</f>
        <v>#REF!</v>
      </c>
      <c r="BA200" s="459" t="e">
        <f>#REF!-AV200</f>
        <v>#REF!</v>
      </c>
      <c r="BB200" s="459">
        <f t="shared" si="1080"/>
        <v>968.3</v>
      </c>
      <c r="BC200" s="459"/>
      <c r="BD200" s="460">
        <v>968.3</v>
      </c>
      <c r="BE200" s="459"/>
      <c r="BF200" s="461"/>
      <c r="BG200" s="459">
        <f t="shared" si="1081"/>
        <v>0</v>
      </c>
      <c r="BH200" s="459"/>
      <c r="BI200" s="459"/>
      <c r="BJ200" s="459"/>
      <c r="BK200" s="461"/>
      <c r="BL200" s="459">
        <f t="shared" si="1082"/>
        <v>4574.5219999999999</v>
      </c>
      <c r="BM200" s="459"/>
      <c r="BN200" s="462">
        <v>964</v>
      </c>
      <c r="BO200" s="459">
        <v>3610.5219999999999</v>
      </c>
      <c r="BP200" s="470"/>
      <c r="BQ200" s="459">
        <f t="shared" si="1083"/>
        <v>4574.5219999999999</v>
      </c>
      <c r="BR200" s="459"/>
      <c r="BS200" s="462">
        <v>964</v>
      </c>
      <c r="BT200" s="459">
        <v>3610.5219999999999</v>
      </c>
      <c r="BU200" s="461"/>
      <c r="BV200" s="459">
        <f t="shared" si="1084"/>
        <v>913.82725000000005</v>
      </c>
      <c r="BW200" s="459"/>
      <c r="BX200" s="459">
        <v>504.04829999999998</v>
      </c>
      <c r="BY200" s="459">
        <v>409.77895000000001</v>
      </c>
      <c r="BZ200" s="459"/>
      <c r="CA200" s="464">
        <f t="shared" si="1085"/>
        <v>5488.3492499999993</v>
      </c>
      <c r="CB200" s="459">
        <f t="shared" si="1086"/>
        <v>5488.3492499999993</v>
      </c>
      <c r="CC200" s="459">
        <f t="shared" si="1087"/>
        <v>0</v>
      </c>
      <c r="CD200" s="459">
        <f t="shared" si="1087"/>
        <v>1468.0482999999999</v>
      </c>
      <c r="CE200" s="459">
        <f t="shared" si="1087"/>
        <v>4020.3009499999998</v>
      </c>
      <c r="CF200" s="459">
        <f t="shared" si="1087"/>
        <v>0</v>
      </c>
      <c r="CG200" s="459">
        <f t="shared" si="1088"/>
        <v>0</v>
      </c>
      <c r="CH200" s="459">
        <f t="shared" si="1089"/>
        <v>0</v>
      </c>
      <c r="CI200" s="459">
        <f t="shared" si="1089"/>
        <v>0</v>
      </c>
      <c r="CJ200" s="459">
        <f t="shared" si="1089"/>
        <v>0</v>
      </c>
      <c r="CK200" s="459">
        <f t="shared" si="1089"/>
        <v>0</v>
      </c>
      <c r="CL200" s="465"/>
      <c r="CM200" s="466"/>
      <c r="CN200" s="466"/>
      <c r="CO200" s="459">
        <f t="shared" si="1090"/>
        <v>0</v>
      </c>
      <c r="CP200" s="459"/>
      <c r="CQ200" s="459"/>
      <c r="CR200" s="459"/>
      <c r="CS200" s="461"/>
      <c r="CT200" s="459">
        <f t="shared" si="1091"/>
        <v>0</v>
      </c>
      <c r="CU200" s="459"/>
      <c r="CV200" s="459"/>
      <c r="CW200" s="459"/>
      <c r="CX200" s="461"/>
      <c r="CY200" s="459">
        <f t="shared" si="1092"/>
        <v>0</v>
      </c>
      <c r="CZ200" s="459">
        <f t="shared" si="1093"/>
        <v>0</v>
      </c>
      <c r="DA200" s="459">
        <f t="shared" si="1093"/>
        <v>0</v>
      </c>
      <c r="DB200" s="459">
        <f t="shared" si="1093"/>
        <v>0</v>
      </c>
      <c r="DC200" s="459">
        <f t="shared" si="1093"/>
        <v>0</v>
      </c>
      <c r="DD200" s="459"/>
      <c r="DE200" s="459"/>
      <c r="DF200" s="459"/>
      <c r="DG200" s="459">
        <f t="shared" si="1094"/>
        <v>0</v>
      </c>
      <c r="DH200" s="467"/>
      <c r="DI200" s="459">
        <f t="shared" si="1095"/>
        <v>4574.5219999999999</v>
      </c>
      <c r="DJ200" s="459">
        <f t="shared" si="1096"/>
        <v>4574.5219999999999</v>
      </c>
      <c r="DK200" s="467"/>
      <c r="DL200" s="459"/>
      <c r="DM200" s="459"/>
      <c r="DN200" s="467"/>
      <c r="DO200" s="459"/>
      <c r="DP200" s="467"/>
      <c r="DQ200" s="467"/>
      <c r="DR200" s="459">
        <f t="shared" si="1100"/>
        <v>4574.5219999999999</v>
      </c>
      <c r="DS200" s="459"/>
      <c r="DT200" s="462">
        <v>964</v>
      </c>
      <c r="DU200" s="459">
        <v>3610.5219999999999</v>
      </c>
      <c r="DV200" s="461"/>
      <c r="DW200" s="459">
        <f t="shared" si="1119"/>
        <v>913.82725000000005</v>
      </c>
      <c r="DX200" s="459"/>
      <c r="DY200" s="459">
        <v>504.04829999999998</v>
      </c>
      <c r="DZ200" s="459">
        <v>409.77895000000001</v>
      </c>
      <c r="EA200" s="146"/>
      <c r="EB200" s="279"/>
      <c r="EC200" s="279"/>
      <c r="ED200" s="279"/>
      <c r="EE200" s="366"/>
      <c r="EF200" s="366"/>
      <c r="EG200" s="279"/>
      <c r="EH200" s="279"/>
      <c r="EI200" s="279"/>
      <c r="EJ200" s="366"/>
      <c r="EK200" s="366"/>
      <c r="EL200" s="366">
        <v>1.7899999999999999E-2</v>
      </c>
      <c r="EM200" s="280"/>
      <c r="EN200" s="279"/>
      <c r="EO200" s="265" t="e">
        <f t="shared" si="1099"/>
        <v>#DIV/0!</v>
      </c>
      <c r="EP200" s="323">
        <f t="shared" ref="EP200:EP258" si="1121">EQ200+ER200</f>
        <v>1468.0482999999999</v>
      </c>
      <c r="EQ200" s="323">
        <f t="shared" si="796"/>
        <v>964</v>
      </c>
      <c r="ER200" s="323">
        <v>504.04829999999998</v>
      </c>
      <c r="ES200" s="358">
        <f t="shared" si="1101"/>
        <v>0.65665414414498491</v>
      </c>
      <c r="ET200" s="358">
        <f t="shared" si="1102"/>
        <v>0.34334585585501515</v>
      </c>
      <c r="EU200" s="323">
        <f t="shared" ref="EU200:EU258" si="1122">EV200+EW200</f>
        <v>1468.0482999999999</v>
      </c>
      <c r="EV200" s="323">
        <f t="shared" si="1103"/>
        <v>964</v>
      </c>
      <c r="EW200" s="323">
        <f t="shared" si="1104"/>
        <v>504.04829999999998</v>
      </c>
      <c r="EX200" s="358">
        <f t="shared" si="1105"/>
        <v>0.65665414414498491</v>
      </c>
      <c r="EY200" s="358">
        <f t="shared" si="1106"/>
        <v>0.34334585585501515</v>
      </c>
      <c r="EZ200" s="358">
        <v>5.96E-2</v>
      </c>
      <c r="FA200" s="323">
        <f t="shared" si="1107"/>
        <v>964</v>
      </c>
      <c r="FB200" s="323">
        <f t="shared" ref="FB200:FB257" si="1123">EV200-FA200</f>
        <v>0</v>
      </c>
      <c r="FC200" s="279">
        <f t="shared" ref="FC200" si="1124">FD200+FE200</f>
        <v>4020.3009499999998</v>
      </c>
      <c r="FD200" s="279">
        <f t="shared" ref="FD200" si="1125">AU200</f>
        <v>3610.5219999999999</v>
      </c>
      <c r="FE200" s="279">
        <v>409.77895000000001</v>
      </c>
      <c r="FF200" s="366">
        <f t="shared" ref="FF200" si="1126">FD200/FC200</f>
        <v>0.89807256842301819</v>
      </c>
      <c r="FG200" s="366">
        <f t="shared" ref="FG200" si="1127">FE200/FC200</f>
        <v>0.10192743157698182</v>
      </c>
      <c r="FH200" s="279">
        <f t="shared" ref="FH200" si="1128">FI200+FJ200</f>
        <v>4020.3009499999998</v>
      </c>
      <c r="FI200" s="279">
        <f t="shared" ref="FI200" si="1129">DU200</f>
        <v>3610.5219999999999</v>
      </c>
      <c r="FJ200" s="279">
        <f t="shared" ref="FJ200" si="1130">DZ200</f>
        <v>409.77895000000001</v>
      </c>
      <c r="FK200" s="366">
        <f t="shared" ref="FK200" si="1131">FI200/FH200</f>
        <v>0.89807256842301819</v>
      </c>
      <c r="FL200" s="366">
        <f t="shared" ref="FL200" si="1132">FJ200/FH200</f>
        <v>0.10192743157698182</v>
      </c>
      <c r="FM200" s="366">
        <v>5.96E-2</v>
      </c>
      <c r="FN200" s="280">
        <f t="shared" ref="FN200" si="1133">FH200*FF200</f>
        <v>3610.5219999999999</v>
      </c>
      <c r="FO200" s="279">
        <f t="shared" ref="FO200" si="1134">FI200-FN200</f>
        <v>0</v>
      </c>
    </row>
    <row r="201" spans="2:171" s="40" customFormat="1" ht="15.75" customHeight="1" x14ac:dyDescent="0.25">
      <c r="B201" s="32"/>
      <c r="C201" s="33">
        <v>1</v>
      </c>
      <c r="D201" s="33"/>
      <c r="E201" s="434">
        <v>169</v>
      </c>
      <c r="F201" s="32"/>
      <c r="G201" s="33">
        <v>1</v>
      </c>
      <c r="H201" s="33">
        <v>1</v>
      </c>
      <c r="I201" s="434"/>
      <c r="J201" s="435"/>
      <c r="K201" s="435"/>
      <c r="L201" s="53"/>
      <c r="M201" s="434">
        <v>166</v>
      </c>
      <c r="N201" s="435" t="s">
        <v>62</v>
      </c>
      <c r="O201" s="435"/>
      <c r="P201" s="24">
        <f t="shared" si="1120"/>
        <v>0</v>
      </c>
      <c r="Q201" s="435"/>
      <c r="R201" s="435"/>
      <c r="S201" s="435"/>
      <c r="T201" s="435"/>
      <c r="U201" s="570">
        <v>1</v>
      </c>
      <c r="V201" s="434">
        <v>2</v>
      </c>
      <c r="W201" s="459">
        <f t="shared" si="1074"/>
        <v>5463.4059999999999</v>
      </c>
      <c r="X201" s="459"/>
      <c r="Y201" s="460">
        <f>180.1+420.089</f>
        <v>600.18899999999996</v>
      </c>
      <c r="Z201" s="459">
        <f>3811.426+1051.791</f>
        <v>4863.2169999999996</v>
      </c>
      <c r="AA201" s="464"/>
      <c r="AB201" s="459">
        <f t="shared" si="1075"/>
        <v>0</v>
      </c>
      <c r="AC201" s="459"/>
      <c r="AD201" s="460">
        <v>0</v>
      </c>
      <c r="AE201" s="459"/>
      <c r="AF201" s="464"/>
      <c r="AG201" s="459">
        <f t="shared" si="1076"/>
        <v>0</v>
      </c>
      <c r="AH201" s="459"/>
      <c r="AI201" s="460">
        <v>0</v>
      </c>
      <c r="AJ201" s="459"/>
      <c r="AK201" s="464"/>
      <c r="AL201" s="459">
        <f t="shared" si="1077"/>
        <v>79</v>
      </c>
      <c r="AM201" s="459"/>
      <c r="AN201" s="460">
        <v>79</v>
      </c>
      <c r="AO201" s="459"/>
      <c r="AP201" s="459"/>
      <c r="AQ201" s="571" t="s">
        <v>481</v>
      </c>
      <c r="AR201" s="464">
        <f t="shared" si="1078"/>
        <v>5463.4059999999999</v>
      </c>
      <c r="AS201" s="459"/>
      <c r="AT201" s="462">
        <f>180.1+420.089</f>
        <v>600.18899999999996</v>
      </c>
      <c r="AU201" s="459">
        <f>3811.426+1051.791</f>
        <v>4863.2169999999996</v>
      </c>
      <c r="AV201" s="459"/>
      <c r="AW201" s="459" t="e">
        <f t="shared" si="1079"/>
        <v>#REF!</v>
      </c>
      <c r="AX201" s="459" t="e">
        <f>#REF!-AS201</f>
        <v>#REF!</v>
      </c>
      <c r="AY201" s="459" t="e">
        <f>#REF!-AT201</f>
        <v>#REF!</v>
      </c>
      <c r="AZ201" s="459" t="e">
        <f>#REF!-AU201</f>
        <v>#REF!</v>
      </c>
      <c r="BA201" s="459" t="e">
        <f>#REF!-AV201</f>
        <v>#REF!</v>
      </c>
      <c r="BB201" s="459">
        <f t="shared" si="1080"/>
        <v>0</v>
      </c>
      <c r="BC201" s="459"/>
      <c r="BD201" s="461"/>
      <c r="BE201" s="459"/>
      <c r="BF201" s="459"/>
      <c r="BG201" s="459">
        <f t="shared" si="1081"/>
        <v>0</v>
      </c>
      <c r="BH201" s="459"/>
      <c r="BI201" s="459"/>
      <c r="BJ201" s="459"/>
      <c r="BK201" s="459"/>
      <c r="BL201" s="459">
        <f t="shared" si="1082"/>
        <v>5463.4059999999999</v>
      </c>
      <c r="BM201" s="459"/>
      <c r="BN201" s="462">
        <f>180.1+420.089</f>
        <v>600.18899999999996</v>
      </c>
      <c r="BO201" s="459">
        <f>4133.013+730.204</f>
        <v>4863.2169999999996</v>
      </c>
      <c r="BP201" s="459"/>
      <c r="BQ201" s="459">
        <f t="shared" si="1083"/>
        <v>5463.4059999999999</v>
      </c>
      <c r="BR201" s="459"/>
      <c r="BS201" s="462">
        <f>180.1+420.089</f>
        <v>600.18899999999996</v>
      </c>
      <c r="BT201" s="459">
        <f>4133.013+730.204</f>
        <v>4863.2169999999996</v>
      </c>
      <c r="BU201" s="459"/>
      <c r="BV201" s="459">
        <f t="shared" si="1084"/>
        <v>614.80344000000002</v>
      </c>
      <c r="BW201" s="459"/>
      <c r="BX201" s="459">
        <f>55.7065+16.73888</f>
        <v>72.44538</v>
      </c>
      <c r="BY201" s="459">
        <f>460.9419+81.41616</f>
        <v>542.35806000000002</v>
      </c>
      <c r="BZ201" s="459"/>
      <c r="CA201" s="464">
        <f t="shared" si="1085"/>
        <v>6078.2094399999987</v>
      </c>
      <c r="CB201" s="459">
        <f t="shared" si="1086"/>
        <v>6078.2094399999987</v>
      </c>
      <c r="CC201" s="459">
        <f t="shared" si="1087"/>
        <v>0</v>
      </c>
      <c r="CD201" s="459">
        <f t="shared" si="1087"/>
        <v>672.63437999999996</v>
      </c>
      <c r="CE201" s="459">
        <f t="shared" si="1087"/>
        <v>5405.5750599999992</v>
      </c>
      <c r="CF201" s="459">
        <f t="shared" si="1087"/>
        <v>0</v>
      </c>
      <c r="CG201" s="459">
        <f t="shared" si="1088"/>
        <v>0</v>
      </c>
      <c r="CH201" s="459">
        <f t="shared" si="1089"/>
        <v>0</v>
      </c>
      <c r="CI201" s="459">
        <f t="shared" si="1089"/>
        <v>0</v>
      </c>
      <c r="CJ201" s="459">
        <f t="shared" si="1089"/>
        <v>0</v>
      </c>
      <c r="CK201" s="459">
        <f t="shared" si="1089"/>
        <v>0</v>
      </c>
      <c r="CL201" s="465"/>
      <c r="CM201" s="466"/>
      <c r="CN201" s="466"/>
      <c r="CO201" s="459">
        <f t="shared" si="1090"/>
        <v>0</v>
      </c>
      <c r="CP201" s="459"/>
      <c r="CQ201" s="459"/>
      <c r="CR201" s="459"/>
      <c r="CS201" s="459"/>
      <c r="CT201" s="459">
        <f t="shared" si="1091"/>
        <v>0</v>
      </c>
      <c r="CU201" s="459"/>
      <c r="CV201" s="459"/>
      <c r="CW201" s="459"/>
      <c r="CX201" s="459"/>
      <c r="CY201" s="459">
        <f t="shared" si="1092"/>
        <v>0</v>
      </c>
      <c r="CZ201" s="459">
        <f t="shared" si="1093"/>
        <v>0</v>
      </c>
      <c r="DA201" s="459">
        <f t="shared" si="1093"/>
        <v>0</v>
      </c>
      <c r="DB201" s="459">
        <f t="shared" si="1093"/>
        <v>0</v>
      </c>
      <c r="DC201" s="459">
        <f t="shared" si="1093"/>
        <v>0</v>
      </c>
      <c r="DD201" s="459"/>
      <c r="DE201" s="459"/>
      <c r="DF201" s="459"/>
      <c r="DG201" s="459">
        <f t="shared" si="1094"/>
        <v>0</v>
      </c>
      <c r="DH201" s="467"/>
      <c r="DI201" s="459">
        <f t="shared" si="1095"/>
        <v>5463.4059999999999</v>
      </c>
      <c r="DJ201" s="459">
        <f t="shared" si="1096"/>
        <v>5463.4059999999999</v>
      </c>
      <c r="DK201" s="467"/>
      <c r="DL201" s="459"/>
      <c r="DM201" s="459"/>
      <c r="DN201" s="467"/>
      <c r="DO201" s="459"/>
      <c r="DP201" s="467"/>
      <c r="DQ201" s="467"/>
      <c r="DR201" s="459">
        <f t="shared" si="1100"/>
        <v>5463.4059999999999</v>
      </c>
      <c r="DS201" s="459"/>
      <c r="DT201" s="462">
        <f>180.1+420.089</f>
        <v>600.18899999999996</v>
      </c>
      <c r="DU201" s="459">
        <f>4133.013+730.204</f>
        <v>4863.2169999999996</v>
      </c>
      <c r="DV201" s="459"/>
      <c r="DW201" s="459">
        <f t="shared" si="1119"/>
        <v>614.80344000000002</v>
      </c>
      <c r="DX201" s="459"/>
      <c r="DY201" s="459">
        <f>55.7065+16.73888</f>
        <v>72.44538</v>
      </c>
      <c r="DZ201" s="459">
        <f>370.55008+90.39182+81.41616</f>
        <v>542.35806000000002</v>
      </c>
      <c r="EA201" s="146"/>
      <c r="EB201" s="279"/>
      <c r="EC201" s="279"/>
      <c r="ED201" s="279"/>
      <c r="EE201" s="366"/>
      <c r="EF201" s="366"/>
      <c r="EG201" s="279"/>
      <c r="EH201" s="279"/>
      <c r="EI201" s="279"/>
      <c r="EJ201" s="366"/>
      <c r="EK201" s="366"/>
      <c r="EL201" s="366">
        <v>1.67E-2</v>
      </c>
      <c r="EM201" s="280"/>
      <c r="EN201" s="279"/>
      <c r="EO201" s="265" t="e">
        <f t="shared" si="1099"/>
        <v>#DIV/0!</v>
      </c>
      <c r="EP201" s="323">
        <f t="shared" si="1121"/>
        <v>672.63437999999996</v>
      </c>
      <c r="EQ201" s="323">
        <f t="shared" si="796"/>
        <v>600.18899999999996</v>
      </c>
      <c r="ER201" s="323">
        <v>72.44538</v>
      </c>
      <c r="ES201" s="358">
        <f t="shared" si="1101"/>
        <v>0.89229604945260155</v>
      </c>
      <c r="ET201" s="358">
        <f t="shared" si="1102"/>
        <v>0.10770395054739842</v>
      </c>
      <c r="EU201" s="323">
        <f t="shared" si="1122"/>
        <v>672.63437999999996</v>
      </c>
      <c r="EV201" s="323">
        <f t="shared" si="1103"/>
        <v>600.18899999999996</v>
      </c>
      <c r="EW201" s="323">
        <f t="shared" si="1104"/>
        <v>72.44538</v>
      </c>
      <c r="EX201" s="358">
        <f t="shared" si="1105"/>
        <v>0.89229604945260155</v>
      </c>
      <c r="EY201" s="358">
        <f t="shared" si="1106"/>
        <v>0.10770395054739842</v>
      </c>
      <c r="EZ201" s="358">
        <v>5.5800000000000002E-2</v>
      </c>
      <c r="FA201" s="323">
        <f t="shared" si="1107"/>
        <v>600.18899999999996</v>
      </c>
      <c r="FB201" s="323">
        <f t="shared" si="1123"/>
        <v>0</v>
      </c>
      <c r="FC201" s="279">
        <f t="shared" ref="FC201" si="1135">FD201+FE201</f>
        <v>5405.5750599999992</v>
      </c>
      <c r="FD201" s="279">
        <f t="shared" ref="FD201" si="1136">AU201</f>
        <v>4863.2169999999996</v>
      </c>
      <c r="FE201" s="279">
        <v>542.35806000000002</v>
      </c>
      <c r="FF201" s="366">
        <f t="shared" ref="FF201" si="1137">FD201/FC201</f>
        <v>0.89966690796446003</v>
      </c>
      <c r="FG201" s="366">
        <f t="shared" ref="FG201" si="1138">FE201/FC201</f>
        <v>0.10033309203554008</v>
      </c>
      <c r="FH201" s="279">
        <f t="shared" ref="FH201" si="1139">FI201+FJ201</f>
        <v>5405.5750599999992</v>
      </c>
      <c r="FI201" s="279">
        <f t="shared" ref="FI201" si="1140">DU201</f>
        <v>4863.2169999999996</v>
      </c>
      <c r="FJ201" s="279">
        <f t="shared" ref="FJ201" si="1141">DZ201</f>
        <v>542.35806000000002</v>
      </c>
      <c r="FK201" s="366">
        <f t="shared" ref="FK201" si="1142">FI201/FH201</f>
        <v>0.89966690796446003</v>
      </c>
      <c r="FL201" s="366">
        <f t="shared" ref="FL201" si="1143">FJ201/FH201</f>
        <v>0.10033309203554008</v>
      </c>
      <c r="FM201" s="366">
        <v>5.5800000000000002E-2</v>
      </c>
      <c r="FN201" s="280">
        <f t="shared" ref="FN201" si="1144">FH201*FF201</f>
        <v>4863.2169999999996</v>
      </c>
      <c r="FO201" s="279">
        <f t="shared" ref="FO201" si="1145">FI201-FN201</f>
        <v>0</v>
      </c>
    </row>
    <row r="202" spans="2:171" s="40" customFormat="1" ht="15.75" customHeight="1" x14ac:dyDescent="0.25">
      <c r="B202" s="32"/>
      <c r="C202" s="33">
        <v>1</v>
      </c>
      <c r="D202" s="33"/>
      <c r="E202" s="434">
        <v>170</v>
      </c>
      <c r="F202" s="32"/>
      <c r="G202" s="33">
        <v>1</v>
      </c>
      <c r="H202" s="33">
        <v>1</v>
      </c>
      <c r="I202" s="434"/>
      <c r="J202" s="435"/>
      <c r="K202" s="435"/>
      <c r="L202" s="53"/>
      <c r="M202" s="434">
        <v>167</v>
      </c>
      <c r="N202" s="435" t="s">
        <v>63</v>
      </c>
      <c r="O202" s="435"/>
      <c r="P202" s="24">
        <f t="shared" si="1120"/>
        <v>0</v>
      </c>
      <c r="Q202" s="435" t="s">
        <v>490</v>
      </c>
      <c r="R202" s="435" t="s">
        <v>488</v>
      </c>
      <c r="S202" s="435" t="s">
        <v>491</v>
      </c>
      <c r="T202" s="435" t="s">
        <v>488</v>
      </c>
      <c r="U202" s="161">
        <v>1</v>
      </c>
      <c r="V202" s="434">
        <v>1</v>
      </c>
      <c r="W202" s="459">
        <f t="shared" si="1074"/>
        <v>41290.160000000003</v>
      </c>
      <c r="X202" s="459"/>
      <c r="Y202" s="460">
        <v>2251.3000000000002</v>
      </c>
      <c r="Z202" s="459">
        <f>33508+12970-7439.14</f>
        <v>39038.86</v>
      </c>
      <c r="AA202" s="461"/>
      <c r="AB202" s="459">
        <f t="shared" si="1075"/>
        <v>2451.8000000000002</v>
      </c>
      <c r="AC202" s="459"/>
      <c r="AD202" s="460">
        <v>2451.8000000000002</v>
      </c>
      <c r="AE202" s="459"/>
      <c r="AF202" s="461"/>
      <c r="AG202" s="459">
        <f t="shared" si="1076"/>
        <v>2451.8000000000002</v>
      </c>
      <c r="AH202" s="459"/>
      <c r="AI202" s="460">
        <v>2451.8000000000002</v>
      </c>
      <c r="AJ202" s="459"/>
      <c r="AK202" s="461"/>
      <c r="AL202" s="459">
        <f t="shared" si="1077"/>
        <v>987</v>
      </c>
      <c r="AM202" s="459"/>
      <c r="AN202" s="460">
        <v>987</v>
      </c>
      <c r="AO202" s="459"/>
      <c r="AP202" s="461"/>
      <c r="AQ202" s="383" t="s">
        <v>444</v>
      </c>
      <c r="AR202" s="459">
        <f t="shared" si="1078"/>
        <v>41269.199999999997</v>
      </c>
      <c r="AS202" s="459"/>
      <c r="AT202" s="462">
        <f>2251.3-20.96</f>
        <v>2230.34</v>
      </c>
      <c r="AU202" s="459">
        <f>33508+5530.86</f>
        <v>39038.86</v>
      </c>
      <c r="AV202" s="461"/>
      <c r="AW202" s="459" t="e">
        <f t="shared" si="1079"/>
        <v>#REF!</v>
      </c>
      <c r="AX202" s="459" t="e">
        <f>#REF!-AS202</f>
        <v>#REF!</v>
      </c>
      <c r="AY202" s="459" t="e">
        <f>#REF!-AT202</f>
        <v>#REF!</v>
      </c>
      <c r="AZ202" s="459" t="e">
        <f>#REF!-AU202</f>
        <v>#REF!</v>
      </c>
      <c r="BA202" s="459" t="e">
        <f>#REF!-AV202</f>
        <v>#REF!</v>
      </c>
      <c r="BB202" s="459">
        <f t="shared" si="1080"/>
        <v>2451.4189999999999</v>
      </c>
      <c r="BC202" s="459"/>
      <c r="BD202" s="460">
        <v>2451.4189999999999</v>
      </c>
      <c r="BE202" s="459"/>
      <c r="BF202" s="461"/>
      <c r="BG202" s="459">
        <f t="shared" si="1081"/>
        <v>0</v>
      </c>
      <c r="BH202" s="459"/>
      <c r="BI202" s="459"/>
      <c r="BJ202" s="459"/>
      <c r="BK202" s="461"/>
      <c r="BL202" s="459">
        <f t="shared" si="1082"/>
        <v>41139.405799999993</v>
      </c>
      <c r="BM202" s="459"/>
      <c r="BN202" s="462">
        <f>2251.3-20.96</f>
        <v>2230.34</v>
      </c>
      <c r="BO202" s="459">
        <f>3901.426+10052.275+12849.6248+12105.74</f>
        <v>38909.065799999997</v>
      </c>
      <c r="BP202" s="470"/>
      <c r="BQ202" s="459">
        <f t="shared" si="1083"/>
        <v>41139.405799999993</v>
      </c>
      <c r="BR202" s="459"/>
      <c r="BS202" s="462">
        <f>2251.3-20.96</f>
        <v>2230.34</v>
      </c>
      <c r="BT202" s="459">
        <f>3901.426+10052.275+12849.6248+12105.74</f>
        <v>38909.065799999997</v>
      </c>
      <c r="BU202" s="461"/>
      <c r="BV202" s="459">
        <f t="shared" si="1084"/>
        <v>4571.0492199999999</v>
      </c>
      <c r="BW202" s="459"/>
      <c r="BX202" s="459">
        <v>247.81648000000001</v>
      </c>
      <c r="BY202" s="459">
        <f>433.49222+1116.92025+1427.73642+1345.08385</f>
        <v>4323.2327399999995</v>
      </c>
      <c r="BZ202" s="459"/>
      <c r="CA202" s="464">
        <f t="shared" si="1085"/>
        <v>45710.455019999994</v>
      </c>
      <c r="CB202" s="459">
        <f t="shared" si="1086"/>
        <v>45710.455019999994</v>
      </c>
      <c r="CC202" s="459">
        <f t="shared" si="1087"/>
        <v>0</v>
      </c>
      <c r="CD202" s="459">
        <f t="shared" si="1087"/>
        <v>2478.1564800000001</v>
      </c>
      <c r="CE202" s="459">
        <f t="shared" si="1087"/>
        <v>43232.298539999996</v>
      </c>
      <c r="CF202" s="459">
        <f t="shared" si="1087"/>
        <v>0</v>
      </c>
      <c r="CG202" s="459">
        <f t="shared" si="1088"/>
        <v>0</v>
      </c>
      <c r="CH202" s="459">
        <f t="shared" si="1089"/>
        <v>0</v>
      </c>
      <c r="CI202" s="459">
        <f t="shared" si="1089"/>
        <v>0</v>
      </c>
      <c r="CJ202" s="459">
        <f t="shared" si="1089"/>
        <v>0</v>
      </c>
      <c r="CK202" s="459">
        <f t="shared" si="1089"/>
        <v>0</v>
      </c>
      <c r="CL202" s="465"/>
      <c r="CM202" s="466"/>
      <c r="CN202" s="466"/>
      <c r="CO202" s="459">
        <f t="shared" si="1090"/>
        <v>0</v>
      </c>
      <c r="CP202" s="459"/>
      <c r="CQ202" s="459"/>
      <c r="CR202" s="459"/>
      <c r="CS202" s="461"/>
      <c r="CT202" s="459">
        <f t="shared" si="1091"/>
        <v>0</v>
      </c>
      <c r="CU202" s="459"/>
      <c r="CV202" s="459"/>
      <c r="CW202" s="459"/>
      <c r="CX202" s="461"/>
      <c r="CY202" s="459">
        <f t="shared" si="1092"/>
        <v>0</v>
      </c>
      <c r="CZ202" s="459">
        <f t="shared" si="1093"/>
        <v>0</v>
      </c>
      <c r="DA202" s="459">
        <f t="shared" si="1093"/>
        <v>0</v>
      </c>
      <c r="DB202" s="459">
        <f t="shared" si="1093"/>
        <v>0</v>
      </c>
      <c r="DC202" s="459">
        <f t="shared" si="1093"/>
        <v>0</v>
      </c>
      <c r="DD202" s="459"/>
      <c r="DE202" s="459"/>
      <c r="DF202" s="459"/>
      <c r="DG202" s="459">
        <f t="shared" si="1094"/>
        <v>0</v>
      </c>
      <c r="DH202" s="467"/>
      <c r="DI202" s="459">
        <f t="shared" si="1095"/>
        <v>41139.405799999993</v>
      </c>
      <c r="DJ202" s="459">
        <f t="shared" si="1096"/>
        <v>41139.405799999993</v>
      </c>
      <c r="DK202" s="467"/>
      <c r="DL202" s="459"/>
      <c r="DM202" s="459"/>
      <c r="DN202" s="467"/>
      <c r="DO202" s="459"/>
      <c r="DP202" s="467"/>
      <c r="DQ202" s="467"/>
      <c r="DR202" s="459">
        <f t="shared" si="1100"/>
        <v>41139.405799999993</v>
      </c>
      <c r="DS202" s="459"/>
      <c r="DT202" s="462">
        <f>2251.3-20.96</f>
        <v>2230.34</v>
      </c>
      <c r="DU202" s="459">
        <f>3901.426+10052.275+12849.6248+12105.74</f>
        <v>38909.065799999997</v>
      </c>
      <c r="DV202" s="461"/>
      <c r="DW202" s="459">
        <f t="shared" si="1119"/>
        <v>4571.0492199999999</v>
      </c>
      <c r="DX202" s="459"/>
      <c r="DY202" s="459">
        <v>247.81648000000001</v>
      </c>
      <c r="DZ202" s="459">
        <f>433.49222+1116.92025+1427.73642+1345.08385</f>
        <v>4323.2327399999995</v>
      </c>
      <c r="EA202" s="146"/>
      <c r="EB202" s="279"/>
      <c r="EC202" s="279"/>
      <c r="ED202" s="279"/>
      <c r="EE202" s="366"/>
      <c r="EF202" s="366"/>
      <c r="EG202" s="279"/>
      <c r="EH202" s="279"/>
      <c r="EI202" s="279"/>
      <c r="EJ202" s="366"/>
      <c r="EK202" s="366"/>
      <c r="EL202" s="366">
        <v>2.1100000000000001E-2</v>
      </c>
      <c r="EM202" s="280"/>
      <c r="EN202" s="279"/>
      <c r="EO202" s="265" t="e">
        <f t="shared" si="1099"/>
        <v>#DIV/0!</v>
      </c>
      <c r="EP202" s="323">
        <f t="shared" si="1121"/>
        <v>2478.1564800000001</v>
      </c>
      <c r="EQ202" s="323">
        <f t="shared" si="796"/>
        <v>2230.34</v>
      </c>
      <c r="ER202" s="323">
        <v>247.81648000000001</v>
      </c>
      <c r="ES202" s="358">
        <f t="shared" si="1101"/>
        <v>0.89999966426655997</v>
      </c>
      <c r="ET202" s="358">
        <f t="shared" si="1102"/>
        <v>0.10000033573344004</v>
      </c>
      <c r="EU202" s="323">
        <f t="shared" si="1122"/>
        <v>2478.1564800000001</v>
      </c>
      <c r="EV202" s="323">
        <f t="shared" si="1103"/>
        <v>2230.34</v>
      </c>
      <c r="EW202" s="323">
        <f t="shared" si="1104"/>
        <v>247.81648000000001</v>
      </c>
      <c r="EX202" s="358">
        <f t="shared" si="1105"/>
        <v>0.89999966426655997</v>
      </c>
      <c r="EY202" s="358">
        <f t="shared" si="1106"/>
        <v>0.10000033573344004</v>
      </c>
      <c r="EZ202" s="358">
        <v>7.0199999999999999E-2</v>
      </c>
      <c r="FA202" s="323">
        <f t="shared" si="1107"/>
        <v>2230.34</v>
      </c>
      <c r="FB202" s="323">
        <f t="shared" si="1123"/>
        <v>0</v>
      </c>
      <c r="FC202" s="279">
        <f t="shared" ref="FC202" si="1146">FD202+FE202</f>
        <v>43376.514320000002</v>
      </c>
      <c r="FD202" s="279">
        <f t="shared" ref="FD202" si="1147">AU202</f>
        <v>39038.86</v>
      </c>
      <c r="FE202" s="279">
        <v>4337.6543199999996</v>
      </c>
      <c r="FF202" s="366">
        <f t="shared" ref="FF202" si="1148">FD202/FC202</f>
        <v>0.89999993342019191</v>
      </c>
      <c r="FG202" s="366">
        <f t="shared" ref="FG202" si="1149">FE202/FC202</f>
        <v>0.1000000665798081</v>
      </c>
      <c r="FH202" s="279">
        <f t="shared" ref="FH202" si="1150">FI202+FJ202</f>
        <v>43232.298539999996</v>
      </c>
      <c r="FI202" s="279">
        <f t="shared" ref="FI202" si="1151">DU202</f>
        <v>38909.065799999997</v>
      </c>
      <c r="FJ202" s="279">
        <f t="shared" ref="FJ202" si="1152">DZ202</f>
        <v>4323.2327399999995</v>
      </c>
      <c r="FK202" s="366">
        <f t="shared" ref="FK202" si="1153">FI202/FH202</f>
        <v>0.89999993324435434</v>
      </c>
      <c r="FL202" s="366">
        <f t="shared" ref="FL202" si="1154">FJ202/FH202</f>
        <v>0.1000000667556456</v>
      </c>
      <c r="FM202" s="366">
        <v>7.0199999999999999E-2</v>
      </c>
      <c r="FN202" s="280">
        <f t="shared" ref="FN202" si="1155">FH202*FF202</f>
        <v>38909.065807601859</v>
      </c>
      <c r="FO202" s="430">
        <f t="shared" ref="FO202" si="1156">FI202-FN202</f>
        <v>-7.6018623076379299E-6</v>
      </c>
    </row>
    <row r="203" spans="2:171" s="119" customFormat="1" ht="15.75" customHeight="1" x14ac:dyDescent="0.2">
      <c r="B203" s="113"/>
      <c r="C203" s="114"/>
      <c r="D203" s="114"/>
      <c r="E203" s="115"/>
      <c r="F203" s="113"/>
      <c r="G203" s="114"/>
      <c r="H203" s="114"/>
      <c r="I203" s="437"/>
      <c r="J203" s="437"/>
      <c r="K203" s="437"/>
      <c r="L203" s="572"/>
      <c r="M203" s="115"/>
      <c r="N203" s="118" t="s">
        <v>13</v>
      </c>
      <c r="O203" s="118"/>
      <c r="P203" s="68">
        <f t="shared" si="1120"/>
        <v>0</v>
      </c>
      <c r="Q203" s="118"/>
      <c r="R203" s="118"/>
      <c r="S203" s="118"/>
      <c r="T203" s="118"/>
      <c r="U203" s="163">
        <f t="shared" ref="U203:AA203" si="1157">SUM(U204:U219)-U205</f>
        <v>14</v>
      </c>
      <c r="V203" s="163">
        <f>V204+V205+V206+V207+V208+V209+V210+V211+V212+V213+V214+V215+V216+V217+V218+V219</f>
        <v>7</v>
      </c>
      <c r="W203" s="452">
        <f t="shared" si="1157"/>
        <v>76486.919000000009</v>
      </c>
      <c r="X203" s="452">
        <f t="shared" si="1157"/>
        <v>0</v>
      </c>
      <c r="Y203" s="452">
        <f t="shared" si="1157"/>
        <v>16520.800000000003</v>
      </c>
      <c r="Z203" s="452">
        <f t="shared" si="1157"/>
        <v>59966.118999999999</v>
      </c>
      <c r="AA203" s="452">
        <f t="shared" si="1157"/>
        <v>0</v>
      </c>
      <c r="AB203" s="452">
        <f t="shared" ref="AB203:AF203" si="1158">SUM(AB204:AB219)-AB205</f>
        <v>17286.8</v>
      </c>
      <c r="AC203" s="452">
        <f t="shared" si="1158"/>
        <v>0</v>
      </c>
      <c r="AD203" s="452">
        <f t="shared" si="1158"/>
        <v>17286.8</v>
      </c>
      <c r="AE203" s="452">
        <f t="shared" si="1158"/>
        <v>0</v>
      </c>
      <c r="AF203" s="452">
        <f t="shared" si="1158"/>
        <v>0</v>
      </c>
      <c r="AG203" s="452">
        <f t="shared" ref="AG203:AK203" si="1159">SUM(AG204:AG219)-AG205</f>
        <v>17286.8</v>
      </c>
      <c r="AH203" s="452">
        <f t="shared" si="1159"/>
        <v>0</v>
      </c>
      <c r="AI203" s="452">
        <f t="shared" si="1159"/>
        <v>17286.8</v>
      </c>
      <c r="AJ203" s="452">
        <f t="shared" si="1159"/>
        <v>0</v>
      </c>
      <c r="AK203" s="452">
        <f t="shared" si="1159"/>
        <v>0</v>
      </c>
      <c r="AL203" s="454">
        <f t="shared" ref="AL203:AP203" si="1160">SUM(AL204:AL219)-AL205</f>
        <v>7516</v>
      </c>
      <c r="AM203" s="452">
        <f t="shared" si="1160"/>
        <v>0</v>
      </c>
      <c r="AN203" s="452">
        <f t="shared" si="1160"/>
        <v>7516</v>
      </c>
      <c r="AO203" s="452">
        <f t="shared" si="1160"/>
        <v>0</v>
      </c>
      <c r="AP203" s="452">
        <f t="shared" si="1160"/>
        <v>0</v>
      </c>
      <c r="AQ203" s="453"/>
      <c r="AR203" s="452">
        <f t="shared" ref="AR203:AU203" si="1161">SUM(AR204:AR219)-AR205</f>
        <v>76263.802979999993</v>
      </c>
      <c r="AS203" s="452">
        <f t="shared" si="1161"/>
        <v>0</v>
      </c>
      <c r="AT203" s="452">
        <f t="shared" si="1161"/>
        <v>16297.683980000003</v>
      </c>
      <c r="AU203" s="452">
        <f t="shared" si="1161"/>
        <v>59966.118999999999</v>
      </c>
      <c r="AV203" s="452">
        <f>SUM(AV204:AV219)-AV205</f>
        <v>0</v>
      </c>
      <c r="AW203" s="452" t="e">
        <f t="shared" ref="AW203:BF203" si="1162">SUM(AW204:AW219)-AW205</f>
        <v>#REF!</v>
      </c>
      <c r="AX203" s="452" t="e">
        <f t="shared" si="1162"/>
        <v>#REF!</v>
      </c>
      <c r="AY203" s="452" t="e">
        <f t="shared" si="1162"/>
        <v>#REF!</v>
      </c>
      <c r="AZ203" s="452" t="e">
        <f t="shared" si="1162"/>
        <v>#REF!</v>
      </c>
      <c r="BA203" s="452" t="e">
        <f t="shared" si="1162"/>
        <v>#REF!</v>
      </c>
      <c r="BB203" s="452">
        <f t="shared" si="1162"/>
        <v>17286.744999999999</v>
      </c>
      <c r="BC203" s="452">
        <f t="shared" si="1162"/>
        <v>0</v>
      </c>
      <c r="BD203" s="452">
        <f t="shared" si="1162"/>
        <v>17286.744999999999</v>
      </c>
      <c r="BE203" s="452">
        <f t="shared" si="1162"/>
        <v>0</v>
      </c>
      <c r="BF203" s="452">
        <f t="shared" si="1162"/>
        <v>0</v>
      </c>
      <c r="BG203" s="452">
        <f t="shared" ref="BG203:CK203" si="1163">SUM(BG204:BG219)-BG205</f>
        <v>0</v>
      </c>
      <c r="BH203" s="452">
        <f t="shared" si="1163"/>
        <v>0</v>
      </c>
      <c r="BI203" s="452">
        <f t="shared" si="1163"/>
        <v>0</v>
      </c>
      <c r="BJ203" s="452">
        <f t="shared" si="1163"/>
        <v>0</v>
      </c>
      <c r="BK203" s="452">
        <f t="shared" si="1163"/>
        <v>0</v>
      </c>
      <c r="BL203" s="452">
        <f t="shared" si="1163"/>
        <v>76263.802979999993</v>
      </c>
      <c r="BM203" s="452">
        <f t="shared" si="1163"/>
        <v>0</v>
      </c>
      <c r="BN203" s="452">
        <f t="shared" si="1163"/>
        <v>16297.683980000003</v>
      </c>
      <c r="BO203" s="452">
        <f t="shared" si="1163"/>
        <v>59966.118999999999</v>
      </c>
      <c r="BP203" s="452">
        <f t="shared" si="1163"/>
        <v>0</v>
      </c>
      <c r="BQ203" s="452">
        <f t="shared" si="1163"/>
        <v>76263.802979999993</v>
      </c>
      <c r="BR203" s="452">
        <f t="shared" si="1163"/>
        <v>0</v>
      </c>
      <c r="BS203" s="452">
        <f t="shared" si="1163"/>
        <v>16297.683980000003</v>
      </c>
      <c r="BT203" s="452">
        <f t="shared" si="1163"/>
        <v>59966.118999999999</v>
      </c>
      <c r="BU203" s="452">
        <f t="shared" si="1163"/>
        <v>0</v>
      </c>
      <c r="BV203" s="454">
        <f t="shared" si="1163"/>
        <v>8871.7226999999984</v>
      </c>
      <c r="BW203" s="452">
        <f t="shared" si="1163"/>
        <v>0</v>
      </c>
      <c r="BX203" s="452">
        <f t="shared" si="1163"/>
        <v>4634.35808</v>
      </c>
      <c r="BY203" s="452">
        <f t="shared" si="1163"/>
        <v>4237.3646200000003</v>
      </c>
      <c r="BZ203" s="452">
        <f t="shared" si="1163"/>
        <v>0</v>
      </c>
      <c r="CA203" s="452">
        <f t="shared" si="1163"/>
        <v>85135.525679999992</v>
      </c>
      <c r="CB203" s="452">
        <f t="shared" si="1163"/>
        <v>85135.525679999992</v>
      </c>
      <c r="CC203" s="452">
        <f t="shared" si="1163"/>
        <v>0</v>
      </c>
      <c r="CD203" s="452">
        <f t="shared" si="1163"/>
        <v>20932.04206</v>
      </c>
      <c r="CE203" s="452">
        <f t="shared" si="1163"/>
        <v>64203.483619999999</v>
      </c>
      <c r="CF203" s="452">
        <f t="shared" si="1163"/>
        <v>0</v>
      </c>
      <c r="CG203" s="452">
        <f t="shared" si="1163"/>
        <v>0</v>
      </c>
      <c r="CH203" s="452">
        <f t="shared" si="1163"/>
        <v>0</v>
      </c>
      <c r="CI203" s="452">
        <f t="shared" si="1163"/>
        <v>0</v>
      </c>
      <c r="CJ203" s="452">
        <f t="shared" si="1163"/>
        <v>0</v>
      </c>
      <c r="CK203" s="452">
        <f t="shared" si="1163"/>
        <v>0</v>
      </c>
      <c r="CL203" s="455">
        <f>CM203+CO203-BG203</f>
        <v>17286.744999999999</v>
      </c>
      <c r="CM203" s="456">
        <f t="shared" ref="CM203:DG203" si="1164">SUM(CM204:CM219)-CM205</f>
        <v>17286.744999999999</v>
      </c>
      <c r="CN203" s="456">
        <f t="shared" si="1164"/>
        <v>17286.744999999999</v>
      </c>
      <c r="CO203" s="452">
        <f t="shared" si="1164"/>
        <v>0</v>
      </c>
      <c r="CP203" s="452">
        <f t="shared" si="1164"/>
        <v>0</v>
      </c>
      <c r="CQ203" s="452">
        <f t="shared" si="1164"/>
        <v>0</v>
      </c>
      <c r="CR203" s="452">
        <f t="shared" si="1164"/>
        <v>0</v>
      </c>
      <c r="CS203" s="452">
        <f t="shared" si="1164"/>
        <v>0</v>
      </c>
      <c r="CT203" s="452">
        <f t="shared" si="1164"/>
        <v>0</v>
      </c>
      <c r="CU203" s="452">
        <f t="shared" si="1164"/>
        <v>0</v>
      </c>
      <c r="CV203" s="452">
        <f t="shared" si="1164"/>
        <v>0</v>
      </c>
      <c r="CW203" s="452">
        <f t="shared" si="1164"/>
        <v>0</v>
      </c>
      <c r="CX203" s="452">
        <f t="shared" si="1164"/>
        <v>0</v>
      </c>
      <c r="CY203" s="452">
        <f t="shared" si="1164"/>
        <v>0</v>
      </c>
      <c r="CZ203" s="452">
        <f t="shared" si="1164"/>
        <v>0</v>
      </c>
      <c r="DA203" s="452">
        <f t="shared" si="1164"/>
        <v>0</v>
      </c>
      <c r="DB203" s="452">
        <f t="shared" si="1164"/>
        <v>0</v>
      </c>
      <c r="DC203" s="452">
        <f t="shared" si="1164"/>
        <v>0</v>
      </c>
      <c r="DD203" s="452">
        <f t="shared" si="1164"/>
        <v>0</v>
      </c>
      <c r="DE203" s="452">
        <f t="shared" si="1164"/>
        <v>0</v>
      </c>
      <c r="DF203" s="452">
        <f t="shared" si="1164"/>
        <v>0</v>
      </c>
      <c r="DG203" s="452">
        <f t="shared" si="1164"/>
        <v>0</v>
      </c>
      <c r="DH203" s="457"/>
      <c r="DI203" s="452">
        <f>SUM(DI204:DI219)-DI205</f>
        <v>76263.802979999993</v>
      </c>
      <c r="DJ203" s="452">
        <f>SUM(DJ204:DJ219)-DJ205</f>
        <v>76263.802979999993</v>
      </c>
      <c r="DK203" s="457"/>
      <c r="DL203" s="452">
        <f>SUM(DL204:DL219)-DL205</f>
        <v>76263.802979999993</v>
      </c>
      <c r="DM203" s="452">
        <f>SUM(DM204:DM219)-DM205</f>
        <v>0</v>
      </c>
      <c r="DN203" s="457"/>
      <c r="DO203" s="452">
        <f>SUM(DO204:DO219)-DO205</f>
        <v>-58977.05797999999</v>
      </c>
      <c r="DP203" s="457">
        <f>DG203-DO203</f>
        <v>58977.05797999999</v>
      </c>
      <c r="DQ203" s="457"/>
      <c r="DR203" s="452">
        <f t="shared" si="1100"/>
        <v>76263.802980000008</v>
      </c>
      <c r="DS203" s="452">
        <f t="shared" ref="DS203:DU203" si="1165">SUM(DS204:DS219)-DS205</f>
        <v>0</v>
      </c>
      <c r="DT203" s="452">
        <f t="shared" si="1165"/>
        <v>16297.683980000003</v>
      </c>
      <c r="DU203" s="452">
        <f t="shared" si="1165"/>
        <v>59966.118999999999</v>
      </c>
      <c r="DV203" s="452">
        <f t="shared" ref="DV203" si="1166">SUM(DV204:DV219)-DV205</f>
        <v>0</v>
      </c>
      <c r="DW203" s="452">
        <f t="shared" si="1119"/>
        <v>8871.7227000000003</v>
      </c>
      <c r="DX203" s="452">
        <f t="shared" ref="DX203:DZ203" si="1167">SUM(DX204:DX219)-DX205</f>
        <v>0</v>
      </c>
      <c r="DY203" s="452">
        <f t="shared" si="1167"/>
        <v>4634.35808</v>
      </c>
      <c r="DZ203" s="452">
        <f t="shared" si="1167"/>
        <v>4237.3646200000003</v>
      </c>
      <c r="EA203" s="145">
        <f t="shared" ref="EA203" si="1168">SUM(EA204:EA219)-EA205</f>
        <v>0</v>
      </c>
      <c r="EB203" s="57">
        <f t="shared" ref="EB203:EB258" si="1169">EC203+ED203+EE203</f>
        <v>0</v>
      </c>
      <c r="EC203" s="57">
        <f t="shared" ref="EC203:EC242" si="1170">AS203</f>
        <v>0</v>
      </c>
      <c r="ED203" s="57">
        <f t="shared" ref="ED203" si="1171">SUM(ED204:ED219)-ED205</f>
        <v>0</v>
      </c>
      <c r="EE203" s="360"/>
      <c r="EF203" s="360"/>
      <c r="EG203" s="57">
        <f t="shared" ref="EG203:EG258" si="1172">EH203+EI203</f>
        <v>0</v>
      </c>
      <c r="EH203" s="57">
        <f>SUM(EH204:EH219)</f>
        <v>0</v>
      </c>
      <c r="EI203" s="57">
        <f>SUM(EI204:EI219)</f>
        <v>0</v>
      </c>
      <c r="EJ203" s="360"/>
      <c r="EK203" s="360"/>
      <c r="EL203" s="360"/>
      <c r="EM203" s="273">
        <f t="shared" ref="EM203" si="1173">SUM(EM204:EM219)</f>
        <v>0</v>
      </c>
      <c r="EN203" s="57">
        <f t="shared" ref="EN203:EN242" si="1174">EM203-EJ203</f>
        <v>0</v>
      </c>
      <c r="EO203" s="264"/>
      <c r="EP203" s="57">
        <f t="shared" si="1121"/>
        <v>20932.042060000003</v>
      </c>
      <c r="EQ203" s="57">
        <f t="shared" ref="EQ203:EQ258" si="1175">AT203</f>
        <v>16297.683980000003</v>
      </c>
      <c r="ER203" s="57">
        <f t="shared" ref="ER203" si="1176">SUM(ER204:ER219)-ER205</f>
        <v>4634.35808</v>
      </c>
      <c r="ES203" s="360"/>
      <c r="ET203" s="360"/>
      <c r="EU203" s="57">
        <f t="shared" si="1122"/>
        <v>20932.042060000003</v>
      </c>
      <c r="EV203" s="57">
        <f>SUM(EV204:EV219)</f>
        <v>16297.683980000003</v>
      </c>
      <c r="EW203" s="57">
        <f>SUM(EW204:EW219)</f>
        <v>4634.35808</v>
      </c>
      <c r="EX203" s="360"/>
      <c r="EY203" s="360"/>
      <c r="EZ203" s="360"/>
      <c r="FA203" s="57">
        <f t="shared" ref="FA203" si="1177">SUM(FA204:FA219)</f>
        <v>16297.683980000003</v>
      </c>
      <c r="FB203" s="57">
        <f t="shared" si="1123"/>
        <v>0</v>
      </c>
      <c r="FC203" s="57">
        <f t="shared" ref="FC203" si="1178">FD203+FE203+FF203</f>
        <v>64203.483619999999</v>
      </c>
      <c r="FD203" s="57">
        <f t="shared" ref="FD203:FD258" si="1179">AU203</f>
        <v>59966.118999999999</v>
      </c>
      <c r="FE203" s="57">
        <f t="shared" ref="FE203" si="1180">SUM(FE204:FE219)-FE205</f>
        <v>4237.3646200000003</v>
      </c>
      <c r="FF203" s="360"/>
      <c r="FG203" s="360"/>
      <c r="FH203" s="57">
        <f t="shared" ref="FH203:FH258" si="1181">FI203+FJ203</f>
        <v>64203.483619999999</v>
      </c>
      <c r="FI203" s="57">
        <f t="shared" si="820"/>
        <v>59966.118999999999</v>
      </c>
      <c r="FJ203" s="57">
        <f t="shared" si="821"/>
        <v>4237.3646200000003</v>
      </c>
      <c r="FK203" s="360"/>
      <c r="FL203" s="360"/>
      <c r="FM203" s="360"/>
      <c r="FN203" s="273">
        <f t="shared" si="998"/>
        <v>0</v>
      </c>
      <c r="FO203" s="57">
        <f t="shared" ref="FO203:FO255" si="1182">FI203-FN203</f>
        <v>59966.118999999999</v>
      </c>
    </row>
    <row r="204" spans="2:171" s="40" customFormat="1" ht="15.75" customHeight="1" x14ac:dyDescent="0.25">
      <c r="B204" s="32">
        <v>1</v>
      </c>
      <c r="C204" s="33"/>
      <c r="D204" s="33"/>
      <c r="E204" s="434">
        <v>171</v>
      </c>
      <c r="F204" s="32"/>
      <c r="G204" s="33"/>
      <c r="H204" s="33"/>
      <c r="M204" s="434">
        <v>168</v>
      </c>
      <c r="N204" s="448" t="s">
        <v>241</v>
      </c>
      <c r="O204" s="135"/>
      <c r="P204" s="2">
        <f t="shared" si="1120"/>
        <v>0</v>
      </c>
      <c r="Q204" s="135"/>
      <c r="R204" s="135"/>
      <c r="S204" s="135"/>
      <c r="T204" s="135"/>
      <c r="U204" s="135"/>
      <c r="V204" s="135"/>
      <c r="W204" s="459">
        <f t="shared" ref="W204:W219" si="1183">X204+Y204+Z204+AA204</f>
        <v>0</v>
      </c>
      <c r="X204" s="459"/>
      <c r="Y204" s="460">
        <v>0</v>
      </c>
      <c r="Z204" s="459"/>
      <c r="AA204" s="464"/>
      <c r="AB204" s="459">
        <f t="shared" ref="AB204:AB219" si="1184">AC204+AD204+AE204+AF204</f>
        <v>0</v>
      </c>
      <c r="AC204" s="459"/>
      <c r="AD204" s="460">
        <v>0</v>
      </c>
      <c r="AE204" s="459"/>
      <c r="AF204" s="464"/>
      <c r="AG204" s="459">
        <f t="shared" ref="AG204:AG219" si="1185">AH204+AI204+AJ204+AK204</f>
        <v>0</v>
      </c>
      <c r="AH204" s="459"/>
      <c r="AI204" s="460">
        <v>0</v>
      </c>
      <c r="AJ204" s="459"/>
      <c r="AK204" s="464"/>
      <c r="AL204" s="459">
        <f t="shared" ref="AL204:AL219" si="1186">AM204+AN204+AO204+AP204</f>
        <v>1029</v>
      </c>
      <c r="AM204" s="459"/>
      <c r="AN204" s="460">
        <v>1029</v>
      </c>
      <c r="AO204" s="459"/>
      <c r="AP204" s="459"/>
      <c r="AQ204" s="383"/>
      <c r="AR204" s="459">
        <f t="shared" ref="AR204:AR219" si="1187">AS204+AT204+AU204+AV204</f>
        <v>0</v>
      </c>
      <c r="AS204" s="459"/>
      <c r="AT204" s="459"/>
      <c r="AU204" s="459"/>
      <c r="AV204" s="459"/>
      <c r="AW204" s="459" t="e">
        <f t="shared" ref="AW204:AW219" si="1188">AX204+AY204+AZ204+BA204</f>
        <v>#REF!</v>
      </c>
      <c r="AX204" s="459" t="e">
        <f>#REF!-AS204</f>
        <v>#REF!</v>
      </c>
      <c r="AY204" s="459" t="e">
        <f>#REF!-AT204</f>
        <v>#REF!</v>
      </c>
      <c r="AZ204" s="459" t="e">
        <f>#REF!-AU204</f>
        <v>#REF!</v>
      </c>
      <c r="BA204" s="459" t="e">
        <f>#REF!-AV204</f>
        <v>#REF!</v>
      </c>
      <c r="BB204" s="459">
        <f t="shared" ref="BB204:BB219" si="1189">BC204+BD204+BE204+BF204</f>
        <v>0</v>
      </c>
      <c r="BC204" s="459"/>
      <c r="BD204" s="459"/>
      <c r="BE204" s="459"/>
      <c r="BF204" s="459"/>
      <c r="BG204" s="459">
        <f t="shared" ref="BG204:BG219" si="1190">BH204+BI204+BJ204+BK204</f>
        <v>0</v>
      </c>
      <c r="BH204" s="459"/>
      <c r="BI204" s="459"/>
      <c r="BJ204" s="459"/>
      <c r="BK204" s="459"/>
      <c r="BL204" s="459">
        <f t="shared" ref="BL204:BL219" si="1191">BM204+BN204+BO204+BP204</f>
        <v>0</v>
      </c>
      <c r="BM204" s="459"/>
      <c r="BN204" s="459"/>
      <c r="BO204" s="459"/>
      <c r="BP204" s="459"/>
      <c r="BQ204" s="459">
        <f t="shared" ref="BQ204:BQ219" si="1192">BR204+BS204+BT204+BU204</f>
        <v>0</v>
      </c>
      <c r="BR204" s="459"/>
      <c r="BS204" s="459"/>
      <c r="BT204" s="459"/>
      <c r="BU204" s="459"/>
      <c r="BV204" s="459">
        <f t="shared" ref="BV204:BV219" si="1193">BW204+BX204+BY204+BZ204</f>
        <v>0</v>
      </c>
      <c r="BW204" s="459"/>
      <c r="BX204" s="459"/>
      <c r="BY204" s="459"/>
      <c r="BZ204" s="459"/>
      <c r="CA204" s="464">
        <f t="shared" ref="CA204:CA219" si="1194">CB204</f>
        <v>0</v>
      </c>
      <c r="CB204" s="459">
        <f t="shared" ref="CB204:CB219" si="1195">CC204+CD204+CE204+CF204</f>
        <v>0</v>
      </c>
      <c r="CC204" s="459">
        <f t="shared" ref="CC204:CF219" si="1196">BR204+BW204</f>
        <v>0</v>
      </c>
      <c r="CD204" s="459">
        <f t="shared" si="1196"/>
        <v>0</v>
      </c>
      <c r="CE204" s="459">
        <f t="shared" si="1196"/>
        <v>0</v>
      </c>
      <c r="CF204" s="459">
        <f t="shared" si="1196"/>
        <v>0</v>
      </c>
      <c r="CG204" s="459">
        <f t="shared" ref="CG204:CG219" si="1197">CH204+CI204+CJ204+CK204</f>
        <v>0</v>
      </c>
      <c r="CH204" s="459">
        <f t="shared" ref="CH204:CK219" si="1198">BM204-BR204</f>
        <v>0</v>
      </c>
      <c r="CI204" s="459">
        <f t="shared" si="1198"/>
        <v>0</v>
      </c>
      <c r="CJ204" s="459">
        <f t="shared" si="1198"/>
        <v>0</v>
      </c>
      <c r="CK204" s="459">
        <f t="shared" si="1198"/>
        <v>0</v>
      </c>
      <c r="CL204" s="465"/>
      <c r="CM204" s="466">
        <f>BB204</f>
        <v>0</v>
      </c>
      <c r="CN204" s="466">
        <f>CM204</f>
        <v>0</v>
      </c>
      <c r="CO204" s="459">
        <f t="shared" ref="CO204:CO219" si="1199">CP204+CQ204+CR204+CS204</f>
        <v>0</v>
      </c>
      <c r="CP204" s="459"/>
      <c r="CQ204" s="459"/>
      <c r="CR204" s="459"/>
      <c r="CS204" s="459"/>
      <c r="CT204" s="459">
        <f t="shared" ref="CT204:CT219" si="1200">CU204+CV204+CW204+CX204</f>
        <v>0</v>
      </c>
      <c r="CU204" s="459"/>
      <c r="CV204" s="459"/>
      <c r="CW204" s="459"/>
      <c r="CX204" s="459"/>
      <c r="CY204" s="459">
        <f t="shared" ref="CY204:CY219" si="1201">CZ204+DA204+DB204+DC204</f>
        <v>0</v>
      </c>
      <c r="CZ204" s="459">
        <f t="shared" ref="CZ204:DC219" si="1202">CP204-CU204</f>
        <v>0</v>
      </c>
      <c r="DA204" s="459">
        <f t="shared" si="1202"/>
        <v>0</v>
      </c>
      <c r="DB204" s="459">
        <f t="shared" si="1202"/>
        <v>0</v>
      </c>
      <c r="DC204" s="459">
        <f t="shared" si="1202"/>
        <v>0</v>
      </c>
      <c r="DD204" s="459"/>
      <c r="DE204" s="459"/>
      <c r="DF204" s="459"/>
      <c r="DG204" s="459">
        <f t="shared" ref="DG204:DG219" si="1203">CG204+CY204+DF204</f>
        <v>0</v>
      </c>
      <c r="DH204" s="467"/>
      <c r="DI204" s="459">
        <f t="shared" ref="DI204:DI219" si="1204">BL204+CO204+DD204</f>
        <v>0</v>
      </c>
      <c r="DJ204" s="459">
        <f t="shared" ref="DJ204:DJ219" si="1205">BQ204+CT204+DE204</f>
        <v>0</v>
      </c>
      <c r="DK204" s="467"/>
      <c r="DL204" s="459">
        <f t="shared" ref="DL204:DL205" si="1206">DJ204</f>
        <v>0</v>
      </c>
      <c r="DM204" s="459">
        <f t="shared" ref="DM204:DM205" si="1207">DG204</f>
        <v>0</v>
      </c>
      <c r="DN204" s="467"/>
      <c r="DO204" s="459">
        <f>CN204-DL204</f>
        <v>0</v>
      </c>
      <c r="DP204" s="467"/>
      <c r="DQ204" s="467"/>
      <c r="DR204" s="459">
        <f t="shared" si="1100"/>
        <v>0</v>
      </c>
      <c r="DS204" s="459"/>
      <c r="DT204" s="459"/>
      <c r="DU204" s="459"/>
      <c r="DV204" s="459"/>
      <c r="DW204" s="459">
        <f t="shared" si="1119"/>
        <v>0</v>
      </c>
      <c r="DX204" s="459"/>
      <c r="DY204" s="459"/>
      <c r="DZ204" s="459"/>
      <c r="EA204" s="146"/>
      <c r="EB204" s="279"/>
      <c r="EC204" s="279"/>
      <c r="ED204" s="279"/>
      <c r="EE204" s="366"/>
      <c r="EF204" s="366"/>
      <c r="EG204" s="279"/>
      <c r="EH204" s="279"/>
      <c r="EI204" s="279"/>
      <c r="EJ204" s="366"/>
      <c r="EK204" s="366"/>
      <c r="EL204" s="366">
        <v>2.9700000000000001E-2</v>
      </c>
      <c r="EM204" s="280"/>
      <c r="EN204" s="279"/>
      <c r="EO204" s="265" t="e">
        <f t="shared" ref="EO204:EO219" si="1208">EM204/EJ204</f>
        <v>#DIV/0!</v>
      </c>
      <c r="EP204" s="323"/>
      <c r="EQ204" s="323"/>
      <c r="ER204" s="323"/>
      <c r="ES204" s="358"/>
      <c r="ET204" s="358"/>
      <c r="EU204" s="323"/>
      <c r="EV204" s="323"/>
      <c r="EW204" s="323"/>
      <c r="EX204" s="358"/>
      <c r="EY204" s="358"/>
      <c r="EZ204" s="358">
        <v>0.1</v>
      </c>
      <c r="FA204" s="323"/>
      <c r="FB204" s="323">
        <f t="shared" si="1123"/>
        <v>0</v>
      </c>
      <c r="FC204" s="279"/>
      <c r="FD204" s="279"/>
      <c r="FE204" s="279"/>
      <c r="FF204" s="366"/>
      <c r="FG204" s="366"/>
      <c r="FH204" s="279"/>
      <c r="FI204" s="279"/>
      <c r="FJ204" s="279"/>
      <c r="FK204" s="366"/>
      <c r="FL204" s="366"/>
      <c r="FM204" s="366">
        <v>0.1</v>
      </c>
      <c r="FN204" s="280"/>
      <c r="FO204" s="279"/>
    </row>
    <row r="205" spans="2:171" s="40" customFormat="1" ht="15.75" customHeight="1" x14ac:dyDescent="0.25">
      <c r="B205" s="32"/>
      <c r="C205" s="33"/>
      <c r="D205" s="33"/>
      <c r="E205" s="434"/>
      <c r="F205" s="32"/>
      <c r="G205" s="33"/>
      <c r="H205" s="33"/>
      <c r="I205" s="436"/>
      <c r="J205" s="436"/>
      <c r="K205" s="436"/>
      <c r="L205" s="568"/>
      <c r="M205" s="434"/>
      <c r="N205" s="19" t="s">
        <v>251</v>
      </c>
      <c r="O205" s="133"/>
      <c r="P205" s="2">
        <f t="shared" si="1120"/>
        <v>0</v>
      </c>
      <c r="Q205" s="133"/>
      <c r="R205" s="133"/>
      <c r="S205" s="133"/>
      <c r="T205" s="133"/>
      <c r="U205" s="133"/>
      <c r="V205" s="133"/>
      <c r="W205" s="459">
        <f t="shared" si="1183"/>
        <v>0</v>
      </c>
      <c r="X205" s="459"/>
      <c r="Y205" s="460"/>
      <c r="Z205" s="459"/>
      <c r="AA205" s="464"/>
      <c r="AB205" s="459">
        <f t="shared" si="1184"/>
        <v>0</v>
      </c>
      <c r="AC205" s="459"/>
      <c r="AD205" s="460"/>
      <c r="AE205" s="459"/>
      <c r="AF205" s="464"/>
      <c r="AG205" s="459">
        <f t="shared" si="1185"/>
        <v>0</v>
      </c>
      <c r="AH205" s="459"/>
      <c r="AI205" s="460"/>
      <c r="AJ205" s="459"/>
      <c r="AK205" s="464"/>
      <c r="AL205" s="459">
        <f t="shared" si="1186"/>
        <v>0</v>
      </c>
      <c r="AM205" s="459"/>
      <c r="AN205" s="460"/>
      <c r="AO205" s="459"/>
      <c r="AP205" s="459"/>
      <c r="AQ205" s="383"/>
      <c r="AR205" s="459">
        <f t="shared" si="1187"/>
        <v>0</v>
      </c>
      <c r="AS205" s="459"/>
      <c r="AT205" s="459"/>
      <c r="AU205" s="459"/>
      <c r="AV205" s="459"/>
      <c r="AW205" s="459" t="e">
        <f t="shared" si="1188"/>
        <v>#REF!</v>
      </c>
      <c r="AX205" s="459" t="e">
        <f>#REF!-AS205</f>
        <v>#REF!</v>
      </c>
      <c r="AY205" s="459" t="e">
        <f>#REF!-AT205</f>
        <v>#REF!</v>
      </c>
      <c r="AZ205" s="459" t="e">
        <f>#REF!-AU205</f>
        <v>#REF!</v>
      </c>
      <c r="BA205" s="459" t="e">
        <f>#REF!-AV205</f>
        <v>#REF!</v>
      </c>
      <c r="BB205" s="459">
        <f t="shared" si="1189"/>
        <v>0</v>
      </c>
      <c r="BC205" s="459"/>
      <c r="BD205" s="459"/>
      <c r="BE205" s="459"/>
      <c r="BF205" s="459"/>
      <c r="BG205" s="459">
        <f t="shared" si="1190"/>
        <v>0</v>
      </c>
      <c r="BH205" s="459"/>
      <c r="BI205" s="459"/>
      <c r="BJ205" s="459"/>
      <c r="BK205" s="459"/>
      <c r="BL205" s="459">
        <f t="shared" si="1191"/>
        <v>0</v>
      </c>
      <c r="BM205" s="459"/>
      <c r="BN205" s="459"/>
      <c r="BO205" s="459"/>
      <c r="BP205" s="459"/>
      <c r="BQ205" s="459">
        <f t="shared" si="1192"/>
        <v>0</v>
      </c>
      <c r="BR205" s="459"/>
      <c r="BS205" s="459"/>
      <c r="BT205" s="459"/>
      <c r="BU205" s="459"/>
      <c r="BV205" s="459">
        <f t="shared" si="1193"/>
        <v>0</v>
      </c>
      <c r="BW205" s="459"/>
      <c r="BX205" s="459"/>
      <c r="BY205" s="459"/>
      <c r="BZ205" s="459"/>
      <c r="CA205" s="464">
        <f t="shared" si="1194"/>
        <v>0</v>
      </c>
      <c r="CB205" s="459">
        <f t="shared" si="1195"/>
        <v>0</v>
      </c>
      <c r="CC205" s="459">
        <f t="shared" si="1196"/>
        <v>0</v>
      </c>
      <c r="CD205" s="459">
        <f t="shared" si="1196"/>
        <v>0</v>
      </c>
      <c r="CE205" s="459">
        <f t="shared" si="1196"/>
        <v>0</v>
      </c>
      <c r="CF205" s="459">
        <f t="shared" si="1196"/>
        <v>0</v>
      </c>
      <c r="CG205" s="459">
        <f t="shared" si="1197"/>
        <v>0</v>
      </c>
      <c r="CH205" s="459">
        <f t="shared" si="1198"/>
        <v>0</v>
      </c>
      <c r="CI205" s="459">
        <f t="shared" si="1198"/>
        <v>0</v>
      </c>
      <c r="CJ205" s="459">
        <f t="shared" si="1198"/>
        <v>0</v>
      </c>
      <c r="CK205" s="459">
        <f t="shared" si="1198"/>
        <v>0</v>
      </c>
      <c r="CL205" s="465"/>
      <c r="CM205" s="466"/>
      <c r="CN205" s="466"/>
      <c r="CO205" s="459">
        <f t="shared" si="1199"/>
        <v>0</v>
      </c>
      <c r="CP205" s="459"/>
      <c r="CQ205" s="459"/>
      <c r="CR205" s="459"/>
      <c r="CS205" s="459"/>
      <c r="CT205" s="459">
        <f t="shared" si="1200"/>
        <v>0</v>
      </c>
      <c r="CU205" s="459"/>
      <c r="CV205" s="459"/>
      <c r="CW205" s="459"/>
      <c r="CX205" s="459"/>
      <c r="CY205" s="459">
        <f t="shared" si="1201"/>
        <v>0</v>
      </c>
      <c r="CZ205" s="459">
        <f t="shared" si="1202"/>
        <v>0</v>
      </c>
      <c r="DA205" s="459">
        <f t="shared" si="1202"/>
        <v>0</v>
      </c>
      <c r="DB205" s="459">
        <f t="shared" si="1202"/>
        <v>0</v>
      </c>
      <c r="DC205" s="459">
        <f t="shared" si="1202"/>
        <v>0</v>
      </c>
      <c r="DD205" s="459"/>
      <c r="DE205" s="459"/>
      <c r="DF205" s="459"/>
      <c r="DG205" s="459">
        <f t="shared" si="1203"/>
        <v>0</v>
      </c>
      <c r="DH205" s="467"/>
      <c r="DI205" s="459">
        <f t="shared" si="1204"/>
        <v>0</v>
      </c>
      <c r="DJ205" s="459">
        <f t="shared" si="1205"/>
        <v>0</v>
      </c>
      <c r="DK205" s="467"/>
      <c r="DL205" s="459">
        <f t="shared" si="1206"/>
        <v>0</v>
      </c>
      <c r="DM205" s="459">
        <f t="shared" si="1207"/>
        <v>0</v>
      </c>
      <c r="DN205" s="467"/>
      <c r="DO205" s="459"/>
      <c r="DP205" s="467"/>
      <c r="DQ205" s="467"/>
      <c r="DR205" s="459">
        <f t="shared" si="1100"/>
        <v>0</v>
      </c>
      <c r="DS205" s="459"/>
      <c r="DT205" s="459"/>
      <c r="DU205" s="459"/>
      <c r="DV205" s="459"/>
      <c r="DW205" s="459">
        <f t="shared" si="1119"/>
        <v>0</v>
      </c>
      <c r="DX205" s="459"/>
      <c r="DY205" s="459"/>
      <c r="DZ205" s="459"/>
      <c r="EA205" s="146"/>
      <c r="EB205" s="279"/>
      <c r="EC205" s="279"/>
      <c r="ED205" s="279"/>
      <c r="EE205" s="366"/>
      <c r="EF205" s="366"/>
      <c r="EG205" s="279"/>
      <c r="EH205" s="279"/>
      <c r="EI205" s="279"/>
      <c r="EJ205" s="366"/>
      <c r="EK205" s="366"/>
      <c r="EL205" s="366"/>
      <c r="EM205" s="280"/>
      <c r="EN205" s="279"/>
      <c r="EO205" s="265" t="e">
        <f t="shared" si="1208"/>
        <v>#DIV/0!</v>
      </c>
      <c r="EP205" s="323"/>
      <c r="EQ205" s="323"/>
      <c r="ER205" s="323"/>
      <c r="ES205" s="358"/>
      <c r="ET205" s="358"/>
      <c r="EU205" s="323"/>
      <c r="EV205" s="323"/>
      <c r="EW205" s="323"/>
      <c r="EX205" s="358"/>
      <c r="EY205" s="358"/>
      <c r="EZ205" s="358"/>
      <c r="FA205" s="323"/>
      <c r="FB205" s="323">
        <f t="shared" si="1123"/>
        <v>0</v>
      </c>
      <c r="FC205" s="279"/>
      <c r="FD205" s="279"/>
      <c r="FE205" s="279"/>
      <c r="FF205" s="366"/>
      <c r="FG205" s="366"/>
      <c r="FH205" s="279"/>
      <c r="FI205" s="279"/>
      <c r="FJ205" s="279"/>
      <c r="FK205" s="366"/>
      <c r="FL205" s="366"/>
      <c r="FM205" s="366"/>
      <c r="FN205" s="280"/>
      <c r="FO205" s="279"/>
    </row>
    <row r="206" spans="2:171" s="40" customFormat="1" ht="15.6" customHeight="1" x14ac:dyDescent="0.25">
      <c r="B206" s="32"/>
      <c r="C206" s="33"/>
      <c r="D206" s="33">
        <v>1</v>
      </c>
      <c r="E206" s="434">
        <v>172</v>
      </c>
      <c r="F206" s="32"/>
      <c r="G206" s="33"/>
      <c r="H206" s="33">
        <v>1</v>
      </c>
      <c r="I206" s="434"/>
      <c r="J206" s="435"/>
      <c r="K206" s="435"/>
      <c r="L206" s="53"/>
      <c r="M206" s="434">
        <v>169</v>
      </c>
      <c r="N206" s="435" t="s">
        <v>140</v>
      </c>
      <c r="O206" s="435"/>
      <c r="P206" s="24">
        <f t="shared" si="1120"/>
        <v>0</v>
      </c>
      <c r="Q206" s="435" t="s">
        <v>491</v>
      </c>
      <c r="R206" s="435" t="s">
        <v>488</v>
      </c>
      <c r="S206" s="435"/>
      <c r="T206" s="435"/>
      <c r="U206" s="161">
        <v>1</v>
      </c>
      <c r="V206" s="434"/>
      <c r="W206" s="459">
        <f t="shared" si="1183"/>
        <v>863.7</v>
      </c>
      <c r="X206" s="459"/>
      <c r="Y206" s="460">
        <v>863.7</v>
      </c>
      <c r="Z206" s="459"/>
      <c r="AA206" s="460"/>
      <c r="AB206" s="459">
        <f t="shared" si="1184"/>
        <v>871.7</v>
      </c>
      <c r="AC206" s="459"/>
      <c r="AD206" s="460">
        <v>871.7</v>
      </c>
      <c r="AE206" s="459"/>
      <c r="AF206" s="460"/>
      <c r="AG206" s="459">
        <f t="shared" si="1185"/>
        <v>871.7</v>
      </c>
      <c r="AH206" s="459"/>
      <c r="AI206" s="460">
        <v>871.7</v>
      </c>
      <c r="AJ206" s="459"/>
      <c r="AK206" s="460"/>
      <c r="AL206" s="459">
        <f t="shared" si="1186"/>
        <v>379</v>
      </c>
      <c r="AM206" s="459"/>
      <c r="AN206" s="460">
        <v>379</v>
      </c>
      <c r="AO206" s="459"/>
      <c r="AP206" s="460"/>
      <c r="AQ206" s="383" t="s">
        <v>385</v>
      </c>
      <c r="AR206" s="459">
        <f t="shared" si="1187"/>
        <v>863.7</v>
      </c>
      <c r="AS206" s="459"/>
      <c r="AT206" s="462">
        <v>863.7</v>
      </c>
      <c r="AU206" s="459"/>
      <c r="AV206" s="460"/>
      <c r="AW206" s="459" t="e">
        <f t="shared" si="1188"/>
        <v>#REF!</v>
      </c>
      <c r="AX206" s="459" t="e">
        <f>#REF!-AS206</f>
        <v>#REF!</v>
      </c>
      <c r="AY206" s="459" t="e">
        <f>#REF!-AT206</f>
        <v>#REF!</v>
      </c>
      <c r="AZ206" s="459" t="e">
        <f>#REF!-AU206</f>
        <v>#REF!</v>
      </c>
      <c r="BA206" s="459" t="e">
        <f>#REF!-AV206</f>
        <v>#REF!</v>
      </c>
      <c r="BB206" s="459">
        <f t="shared" si="1189"/>
        <v>871.7</v>
      </c>
      <c r="BC206" s="459"/>
      <c r="BD206" s="460">
        <v>871.7</v>
      </c>
      <c r="BE206" s="459"/>
      <c r="BF206" s="460"/>
      <c r="BG206" s="459">
        <f t="shared" si="1190"/>
        <v>0</v>
      </c>
      <c r="BH206" s="459"/>
      <c r="BI206" s="460"/>
      <c r="BJ206" s="459"/>
      <c r="BK206" s="460"/>
      <c r="BL206" s="459">
        <f t="shared" si="1191"/>
        <v>863.7</v>
      </c>
      <c r="BM206" s="459"/>
      <c r="BN206" s="462">
        <v>863.7</v>
      </c>
      <c r="BO206" s="459"/>
      <c r="BP206" s="470"/>
      <c r="BQ206" s="459">
        <f t="shared" si="1192"/>
        <v>863.7</v>
      </c>
      <c r="BR206" s="459"/>
      <c r="BS206" s="462">
        <v>863.7</v>
      </c>
      <c r="BT206" s="459"/>
      <c r="BU206" s="470"/>
      <c r="BV206" s="459">
        <f t="shared" si="1193"/>
        <v>131.376</v>
      </c>
      <c r="BW206" s="459"/>
      <c r="BX206" s="459">
        <v>131.376</v>
      </c>
      <c r="BY206" s="459"/>
      <c r="BZ206" s="459"/>
      <c r="CA206" s="464">
        <f t="shared" si="1194"/>
        <v>995.07600000000002</v>
      </c>
      <c r="CB206" s="459">
        <f t="shared" si="1195"/>
        <v>995.07600000000002</v>
      </c>
      <c r="CC206" s="459">
        <f t="shared" si="1196"/>
        <v>0</v>
      </c>
      <c r="CD206" s="459">
        <f t="shared" si="1196"/>
        <v>995.07600000000002</v>
      </c>
      <c r="CE206" s="459">
        <f t="shared" si="1196"/>
        <v>0</v>
      </c>
      <c r="CF206" s="459">
        <f t="shared" si="1196"/>
        <v>0</v>
      </c>
      <c r="CG206" s="459">
        <f t="shared" si="1197"/>
        <v>0</v>
      </c>
      <c r="CH206" s="459">
        <f t="shared" si="1198"/>
        <v>0</v>
      </c>
      <c r="CI206" s="459">
        <f t="shared" si="1198"/>
        <v>0</v>
      </c>
      <c r="CJ206" s="459">
        <f t="shared" si="1198"/>
        <v>0</v>
      </c>
      <c r="CK206" s="459">
        <f t="shared" si="1198"/>
        <v>0</v>
      </c>
      <c r="CL206" s="465"/>
      <c r="CM206" s="466"/>
      <c r="CN206" s="466"/>
      <c r="CO206" s="459">
        <f t="shared" si="1199"/>
        <v>0</v>
      </c>
      <c r="CP206" s="459"/>
      <c r="CQ206" s="460"/>
      <c r="CR206" s="459"/>
      <c r="CS206" s="460"/>
      <c r="CT206" s="459">
        <f t="shared" si="1200"/>
        <v>0</v>
      </c>
      <c r="CU206" s="459"/>
      <c r="CV206" s="460"/>
      <c r="CW206" s="459"/>
      <c r="CX206" s="460"/>
      <c r="CY206" s="459">
        <f t="shared" si="1201"/>
        <v>0</v>
      </c>
      <c r="CZ206" s="459">
        <f t="shared" si="1202"/>
        <v>0</v>
      </c>
      <c r="DA206" s="459">
        <f t="shared" si="1202"/>
        <v>0</v>
      </c>
      <c r="DB206" s="459">
        <f t="shared" si="1202"/>
        <v>0</v>
      </c>
      <c r="DC206" s="459">
        <f t="shared" si="1202"/>
        <v>0</v>
      </c>
      <c r="DD206" s="459"/>
      <c r="DE206" s="459"/>
      <c r="DF206" s="459"/>
      <c r="DG206" s="459">
        <f t="shared" si="1203"/>
        <v>0</v>
      </c>
      <c r="DH206" s="467"/>
      <c r="DI206" s="459">
        <f t="shared" si="1204"/>
        <v>863.7</v>
      </c>
      <c r="DJ206" s="459">
        <f t="shared" si="1205"/>
        <v>863.7</v>
      </c>
      <c r="DK206" s="467"/>
      <c r="DL206" s="459"/>
      <c r="DM206" s="459"/>
      <c r="DN206" s="467"/>
      <c r="DO206" s="459"/>
      <c r="DP206" s="467"/>
      <c r="DQ206" s="467"/>
      <c r="DR206" s="459">
        <f t="shared" si="1100"/>
        <v>863.7</v>
      </c>
      <c r="DS206" s="459"/>
      <c r="DT206" s="462">
        <v>863.7</v>
      </c>
      <c r="DU206" s="459"/>
      <c r="DV206" s="470"/>
      <c r="DW206" s="459">
        <f t="shared" si="1119"/>
        <v>131.376</v>
      </c>
      <c r="DX206" s="459"/>
      <c r="DY206" s="459">
        <v>131.376</v>
      </c>
      <c r="DZ206" s="459"/>
      <c r="EA206" s="146"/>
      <c r="EB206" s="279"/>
      <c r="EC206" s="279"/>
      <c r="ED206" s="279"/>
      <c r="EE206" s="366"/>
      <c r="EF206" s="366"/>
      <c r="EG206" s="279"/>
      <c r="EH206" s="279"/>
      <c r="EI206" s="279"/>
      <c r="EJ206" s="366"/>
      <c r="EK206" s="366"/>
      <c r="EL206" s="366">
        <v>2.76E-2</v>
      </c>
      <c r="EM206" s="280"/>
      <c r="EN206" s="279"/>
      <c r="EO206" s="265" t="e">
        <f t="shared" si="1208"/>
        <v>#DIV/0!</v>
      </c>
      <c r="EP206" s="323">
        <f t="shared" si="1121"/>
        <v>995.07600000000002</v>
      </c>
      <c r="EQ206" s="323">
        <f t="shared" si="1175"/>
        <v>863.7</v>
      </c>
      <c r="ER206" s="323">
        <v>131.376</v>
      </c>
      <c r="ES206" s="358">
        <f t="shared" ref="ES206:ES219" si="1209">EQ206/EP206</f>
        <v>0.86797390350083814</v>
      </c>
      <c r="ET206" s="358">
        <f t="shared" ref="ET206:ET219" si="1210">ER206/EP206</f>
        <v>0.13202609649916189</v>
      </c>
      <c r="EU206" s="323">
        <f t="shared" si="1122"/>
        <v>995.07600000000002</v>
      </c>
      <c r="EV206" s="323">
        <f t="shared" ref="EV206:EV219" si="1211">DT206</f>
        <v>863.7</v>
      </c>
      <c r="EW206" s="323">
        <f t="shared" ref="EW206:EW219" si="1212">DY206</f>
        <v>131.376</v>
      </c>
      <c r="EX206" s="358">
        <f t="shared" ref="EX206:EX219" si="1213">EV206/EU206</f>
        <v>0.86797390350083814</v>
      </c>
      <c r="EY206" s="358">
        <f t="shared" ref="EY206:EY219" si="1214">EW206/EU206</f>
        <v>0.13202609649916189</v>
      </c>
      <c r="EZ206" s="358">
        <v>9.1999999999999998E-2</v>
      </c>
      <c r="FA206" s="323">
        <f t="shared" ref="FA206:FA219" si="1215">EU206*ES206</f>
        <v>863.7</v>
      </c>
      <c r="FB206" s="323">
        <f t="shared" si="1123"/>
        <v>0</v>
      </c>
      <c r="FC206" s="279"/>
      <c r="FD206" s="279"/>
      <c r="FE206" s="279"/>
      <c r="FF206" s="366"/>
      <c r="FG206" s="366"/>
      <c r="FH206" s="279"/>
      <c r="FI206" s="279"/>
      <c r="FJ206" s="279"/>
      <c r="FK206" s="366"/>
      <c r="FL206" s="366"/>
      <c r="FM206" s="366">
        <v>9.1999999999999998E-2</v>
      </c>
      <c r="FN206" s="280"/>
      <c r="FO206" s="279"/>
    </row>
    <row r="207" spans="2:171" s="40" customFormat="1" ht="15.6" customHeight="1" x14ac:dyDescent="0.25">
      <c r="B207" s="32"/>
      <c r="C207" s="33"/>
      <c r="D207" s="33">
        <v>1</v>
      </c>
      <c r="E207" s="434">
        <v>173</v>
      </c>
      <c r="F207" s="32"/>
      <c r="G207" s="33"/>
      <c r="H207" s="33">
        <v>1</v>
      </c>
      <c r="I207" s="434"/>
      <c r="J207" s="435"/>
      <c r="K207" s="435"/>
      <c r="L207" s="53"/>
      <c r="M207" s="434">
        <v>170</v>
      </c>
      <c r="N207" s="435" t="s">
        <v>242</v>
      </c>
      <c r="O207" s="435"/>
      <c r="P207" s="24">
        <f t="shared" si="1120"/>
        <v>0</v>
      </c>
      <c r="Q207" s="435" t="s">
        <v>490</v>
      </c>
      <c r="R207" s="435" t="s">
        <v>488</v>
      </c>
      <c r="S207" s="435" t="s">
        <v>491</v>
      </c>
      <c r="T207" s="435" t="s">
        <v>488</v>
      </c>
      <c r="U207" s="161">
        <v>1</v>
      </c>
      <c r="V207" s="434">
        <v>1</v>
      </c>
      <c r="W207" s="459">
        <f t="shared" si="1183"/>
        <v>39634.800000000003</v>
      </c>
      <c r="X207" s="459"/>
      <c r="Y207" s="460">
        <v>1348.8</v>
      </c>
      <c r="Z207" s="459">
        <v>38286</v>
      </c>
      <c r="AA207" s="460"/>
      <c r="AB207" s="459">
        <f t="shared" si="1184"/>
        <v>1639.9</v>
      </c>
      <c r="AC207" s="459"/>
      <c r="AD207" s="460">
        <v>1639.9</v>
      </c>
      <c r="AE207" s="459"/>
      <c r="AF207" s="460"/>
      <c r="AG207" s="459">
        <f t="shared" si="1185"/>
        <v>1639.9</v>
      </c>
      <c r="AH207" s="459"/>
      <c r="AI207" s="460">
        <v>1639.9</v>
      </c>
      <c r="AJ207" s="459"/>
      <c r="AK207" s="460"/>
      <c r="AL207" s="459">
        <f t="shared" si="1186"/>
        <v>713</v>
      </c>
      <c r="AM207" s="459"/>
      <c r="AN207" s="460">
        <v>713</v>
      </c>
      <c r="AO207" s="459"/>
      <c r="AP207" s="460"/>
      <c r="AQ207" s="383" t="s">
        <v>420</v>
      </c>
      <c r="AR207" s="459">
        <f t="shared" si="1187"/>
        <v>39634.800000000003</v>
      </c>
      <c r="AS207" s="459"/>
      <c r="AT207" s="462">
        <v>1348.8</v>
      </c>
      <c r="AU207" s="459">
        <v>38286</v>
      </c>
      <c r="AV207" s="459"/>
      <c r="AW207" s="459" t="e">
        <f t="shared" si="1188"/>
        <v>#REF!</v>
      </c>
      <c r="AX207" s="459" t="e">
        <f>#REF!-AS207</f>
        <v>#REF!</v>
      </c>
      <c r="AY207" s="459" t="e">
        <f>#REF!-AT207</f>
        <v>#REF!</v>
      </c>
      <c r="AZ207" s="459" t="e">
        <f>#REF!-AU207</f>
        <v>#REF!</v>
      </c>
      <c r="BA207" s="459" t="e">
        <f>#REF!-AV207</f>
        <v>#REF!</v>
      </c>
      <c r="BB207" s="459">
        <f t="shared" si="1189"/>
        <v>1639.9</v>
      </c>
      <c r="BC207" s="459"/>
      <c r="BD207" s="460">
        <v>1639.9</v>
      </c>
      <c r="BE207" s="459"/>
      <c r="BF207" s="459"/>
      <c r="BG207" s="459">
        <f t="shared" si="1190"/>
        <v>0</v>
      </c>
      <c r="BH207" s="459"/>
      <c r="BI207" s="460"/>
      <c r="BJ207" s="459"/>
      <c r="BK207" s="459"/>
      <c r="BL207" s="459">
        <f t="shared" si="1191"/>
        <v>39634.800000000003</v>
      </c>
      <c r="BM207" s="459"/>
      <c r="BN207" s="460">
        <f>819.248+529.552</f>
        <v>1348.8000000000002</v>
      </c>
      <c r="BO207" s="459">
        <f>2402.948+16338.583+19544.469</f>
        <v>38286</v>
      </c>
      <c r="BP207" s="459"/>
      <c r="BQ207" s="459">
        <f t="shared" si="1192"/>
        <v>39634.800000000003</v>
      </c>
      <c r="BR207" s="459"/>
      <c r="BS207" s="460">
        <f>819.248+529.552</f>
        <v>1348.8000000000002</v>
      </c>
      <c r="BT207" s="459">
        <f>2402.948+16338.583+19544.469</f>
        <v>38286</v>
      </c>
      <c r="BU207" s="459"/>
      <c r="BV207" s="459">
        <f t="shared" si="1193"/>
        <v>2441.1424000000002</v>
      </c>
      <c r="BW207" s="459"/>
      <c r="BX207" s="459">
        <f>357.072+230.83</f>
        <v>587.90200000000004</v>
      </c>
      <c r="BY207" s="459">
        <f>116.31511+0.00009+790.8662+946.059</f>
        <v>1853.2404000000001</v>
      </c>
      <c r="BZ207" s="459"/>
      <c r="CA207" s="464">
        <f t="shared" si="1194"/>
        <v>42075.9424</v>
      </c>
      <c r="CB207" s="459">
        <f t="shared" si="1195"/>
        <v>42075.9424</v>
      </c>
      <c r="CC207" s="459">
        <f t="shared" si="1196"/>
        <v>0</v>
      </c>
      <c r="CD207" s="459">
        <f t="shared" si="1196"/>
        <v>1936.7020000000002</v>
      </c>
      <c r="CE207" s="459">
        <f t="shared" si="1196"/>
        <v>40139.240400000002</v>
      </c>
      <c r="CF207" s="459">
        <f t="shared" si="1196"/>
        <v>0</v>
      </c>
      <c r="CG207" s="459">
        <f t="shared" si="1197"/>
        <v>0</v>
      </c>
      <c r="CH207" s="459">
        <f t="shared" si="1198"/>
        <v>0</v>
      </c>
      <c r="CI207" s="459">
        <f t="shared" si="1198"/>
        <v>0</v>
      </c>
      <c r="CJ207" s="459">
        <f t="shared" si="1198"/>
        <v>0</v>
      </c>
      <c r="CK207" s="459">
        <f t="shared" si="1198"/>
        <v>0</v>
      </c>
      <c r="CL207" s="465"/>
      <c r="CM207" s="466"/>
      <c r="CN207" s="466"/>
      <c r="CO207" s="459">
        <f t="shared" si="1199"/>
        <v>0</v>
      </c>
      <c r="CP207" s="459"/>
      <c r="CQ207" s="460"/>
      <c r="CR207" s="459"/>
      <c r="CS207" s="459"/>
      <c r="CT207" s="459">
        <f t="shared" si="1200"/>
        <v>0</v>
      </c>
      <c r="CU207" s="459"/>
      <c r="CV207" s="460"/>
      <c r="CW207" s="459"/>
      <c r="CX207" s="459"/>
      <c r="CY207" s="459">
        <f t="shared" si="1201"/>
        <v>0</v>
      </c>
      <c r="CZ207" s="459">
        <f t="shared" si="1202"/>
        <v>0</v>
      </c>
      <c r="DA207" s="459">
        <f t="shared" si="1202"/>
        <v>0</v>
      </c>
      <c r="DB207" s="459">
        <f t="shared" si="1202"/>
        <v>0</v>
      </c>
      <c r="DC207" s="459">
        <f t="shared" si="1202"/>
        <v>0</v>
      </c>
      <c r="DD207" s="459"/>
      <c r="DE207" s="459"/>
      <c r="DF207" s="459"/>
      <c r="DG207" s="459">
        <f t="shared" si="1203"/>
        <v>0</v>
      </c>
      <c r="DH207" s="467"/>
      <c r="DI207" s="459">
        <f t="shared" si="1204"/>
        <v>39634.800000000003</v>
      </c>
      <c r="DJ207" s="459">
        <f t="shared" si="1205"/>
        <v>39634.800000000003</v>
      </c>
      <c r="DK207" s="467"/>
      <c r="DL207" s="459"/>
      <c r="DM207" s="459"/>
      <c r="DN207" s="467"/>
      <c r="DO207" s="459"/>
      <c r="DP207" s="467"/>
      <c r="DQ207" s="467"/>
      <c r="DR207" s="459">
        <f t="shared" si="1100"/>
        <v>39634.800000000003</v>
      </c>
      <c r="DS207" s="459"/>
      <c r="DT207" s="460">
        <f>819.248+529.552</f>
        <v>1348.8000000000002</v>
      </c>
      <c r="DU207" s="459">
        <v>38286</v>
      </c>
      <c r="DV207" s="459"/>
      <c r="DW207" s="459">
        <f t="shared" si="1119"/>
        <v>2441.1423999999997</v>
      </c>
      <c r="DX207" s="459"/>
      <c r="DY207" s="459">
        <f>357.072+230.83</f>
        <v>587.90200000000004</v>
      </c>
      <c r="DZ207" s="459">
        <v>1853.2403999999999</v>
      </c>
      <c r="EA207" s="146"/>
      <c r="EB207" s="279"/>
      <c r="EC207" s="279"/>
      <c r="ED207" s="279"/>
      <c r="EE207" s="366"/>
      <c r="EF207" s="366"/>
      <c r="EG207" s="279"/>
      <c r="EH207" s="279"/>
      <c r="EI207" s="279"/>
      <c r="EJ207" s="366"/>
      <c r="EK207" s="366"/>
      <c r="EL207" s="366">
        <v>2.9399999999999999E-2</v>
      </c>
      <c r="EM207" s="280"/>
      <c r="EN207" s="279"/>
      <c r="EO207" s="265" t="e">
        <f t="shared" si="1208"/>
        <v>#DIV/0!</v>
      </c>
      <c r="EP207" s="323">
        <f t="shared" si="1121"/>
        <v>1936.702</v>
      </c>
      <c r="EQ207" s="323">
        <f t="shared" si="1175"/>
        <v>1348.8</v>
      </c>
      <c r="ER207" s="323">
        <v>587.90200000000004</v>
      </c>
      <c r="ES207" s="358">
        <f t="shared" si="1209"/>
        <v>0.6964416828195561</v>
      </c>
      <c r="ET207" s="358">
        <f t="shared" si="1210"/>
        <v>0.3035583171804439</v>
      </c>
      <c r="EU207" s="323">
        <f t="shared" si="1122"/>
        <v>1936.7020000000002</v>
      </c>
      <c r="EV207" s="323">
        <f t="shared" si="1211"/>
        <v>1348.8000000000002</v>
      </c>
      <c r="EW207" s="323">
        <f t="shared" si="1212"/>
        <v>587.90200000000004</v>
      </c>
      <c r="EX207" s="358">
        <f t="shared" si="1213"/>
        <v>0.6964416828195561</v>
      </c>
      <c r="EY207" s="358">
        <f t="shared" si="1214"/>
        <v>0.30355831718044385</v>
      </c>
      <c r="EZ207" s="358">
        <v>9.7900000000000001E-2</v>
      </c>
      <c r="FA207" s="323">
        <f t="shared" si="1215"/>
        <v>1348.8000000000002</v>
      </c>
      <c r="FB207" s="323">
        <f t="shared" si="1123"/>
        <v>0</v>
      </c>
      <c r="FC207" s="279">
        <f t="shared" ref="FC207" si="1216">FD207+FE207</f>
        <v>40139.240400000002</v>
      </c>
      <c r="FD207" s="279">
        <f t="shared" ref="FD207" si="1217">AU207</f>
        <v>38286</v>
      </c>
      <c r="FE207" s="279">
        <v>1853.2403999999999</v>
      </c>
      <c r="FF207" s="366">
        <f t="shared" ref="FF207" si="1218">FD207/FC207</f>
        <v>0.95382970924382504</v>
      </c>
      <c r="FG207" s="366">
        <f t="shared" ref="FG207" si="1219">FE207/FC207</f>
        <v>4.6170290756174841E-2</v>
      </c>
      <c r="FH207" s="279">
        <f t="shared" ref="FH207" si="1220">FI207+FJ207</f>
        <v>40139.240400000002</v>
      </c>
      <c r="FI207" s="279">
        <f t="shared" ref="FI207" si="1221">DU207</f>
        <v>38286</v>
      </c>
      <c r="FJ207" s="279">
        <f t="shared" ref="FJ207" si="1222">DZ207</f>
        <v>1853.2403999999999</v>
      </c>
      <c r="FK207" s="366">
        <f t="shared" ref="FK207" si="1223">FI207/FH207</f>
        <v>0.95382970924382504</v>
      </c>
      <c r="FL207" s="366">
        <f t="shared" ref="FL207" si="1224">FJ207/FH207</f>
        <v>4.6170290756174841E-2</v>
      </c>
      <c r="FM207" s="366">
        <v>9.7900000000000001E-2</v>
      </c>
      <c r="FN207" s="280">
        <f t="shared" ref="FN207" si="1225">FH207*FF207</f>
        <v>38286</v>
      </c>
      <c r="FO207" s="279">
        <f t="shared" ref="FO207" si="1226">FI207-FN207</f>
        <v>0</v>
      </c>
    </row>
    <row r="208" spans="2:171" s="40" customFormat="1" ht="15.75" customHeight="1" x14ac:dyDescent="0.25">
      <c r="B208" s="32"/>
      <c r="C208" s="33"/>
      <c r="D208" s="33">
        <v>1</v>
      </c>
      <c r="E208" s="434">
        <v>174</v>
      </c>
      <c r="F208" s="32"/>
      <c r="G208" s="33"/>
      <c r="H208" s="33">
        <v>1</v>
      </c>
      <c r="I208" s="434"/>
      <c r="J208" s="435"/>
      <c r="K208" s="435"/>
      <c r="L208" s="53"/>
      <c r="M208" s="434">
        <v>171</v>
      </c>
      <c r="N208" s="448" t="s">
        <v>308</v>
      </c>
      <c r="O208" s="448"/>
      <c r="P208" s="24">
        <f t="shared" si="1120"/>
        <v>0</v>
      </c>
      <c r="Q208" s="448" t="s">
        <v>490</v>
      </c>
      <c r="R208" s="448" t="s">
        <v>488</v>
      </c>
      <c r="S208" s="448" t="s">
        <v>491</v>
      </c>
      <c r="T208" s="448" t="s">
        <v>488</v>
      </c>
      <c r="U208" s="161">
        <v>1</v>
      </c>
      <c r="V208" s="434"/>
      <c r="W208" s="459">
        <f t="shared" si="1183"/>
        <v>595.6</v>
      </c>
      <c r="X208" s="459"/>
      <c r="Y208" s="460">
        <v>595.6</v>
      </c>
      <c r="Z208" s="459"/>
      <c r="AA208" s="460"/>
      <c r="AB208" s="459">
        <f t="shared" si="1184"/>
        <v>455.4</v>
      </c>
      <c r="AC208" s="459"/>
      <c r="AD208" s="460">
        <v>455.4</v>
      </c>
      <c r="AE208" s="459"/>
      <c r="AF208" s="460"/>
      <c r="AG208" s="459">
        <f t="shared" si="1185"/>
        <v>455.4</v>
      </c>
      <c r="AH208" s="459"/>
      <c r="AI208" s="460">
        <v>455.4</v>
      </c>
      <c r="AJ208" s="459"/>
      <c r="AK208" s="460"/>
      <c r="AL208" s="459">
        <f t="shared" si="1186"/>
        <v>198</v>
      </c>
      <c r="AM208" s="459"/>
      <c r="AN208" s="460">
        <v>198</v>
      </c>
      <c r="AO208" s="459"/>
      <c r="AP208" s="460"/>
      <c r="AQ208" s="383" t="s">
        <v>388</v>
      </c>
      <c r="AR208" s="459">
        <f t="shared" si="1187"/>
        <v>595.6</v>
      </c>
      <c r="AS208" s="459"/>
      <c r="AT208" s="462">
        <v>595.6</v>
      </c>
      <c r="AU208" s="459"/>
      <c r="AV208" s="459"/>
      <c r="AW208" s="459" t="e">
        <f t="shared" si="1188"/>
        <v>#REF!</v>
      </c>
      <c r="AX208" s="459" t="e">
        <f>#REF!-AS208</f>
        <v>#REF!</v>
      </c>
      <c r="AY208" s="459" t="e">
        <f>#REF!-AT208</f>
        <v>#REF!</v>
      </c>
      <c r="AZ208" s="459" t="e">
        <f>#REF!-AU208</f>
        <v>#REF!</v>
      </c>
      <c r="BA208" s="459" t="e">
        <f>#REF!-AV208</f>
        <v>#REF!</v>
      </c>
      <c r="BB208" s="459">
        <f t="shared" si="1189"/>
        <v>455.4</v>
      </c>
      <c r="BC208" s="459"/>
      <c r="BD208" s="460">
        <v>455.4</v>
      </c>
      <c r="BE208" s="459"/>
      <c r="BF208" s="459"/>
      <c r="BG208" s="459">
        <f t="shared" si="1190"/>
        <v>0</v>
      </c>
      <c r="BH208" s="459"/>
      <c r="BI208" s="461"/>
      <c r="BJ208" s="459"/>
      <c r="BK208" s="459"/>
      <c r="BL208" s="459">
        <f t="shared" si="1191"/>
        <v>595.6</v>
      </c>
      <c r="BM208" s="459"/>
      <c r="BN208" s="462">
        <v>595.6</v>
      </c>
      <c r="BO208" s="459"/>
      <c r="BP208" s="459"/>
      <c r="BQ208" s="459">
        <f t="shared" si="1192"/>
        <v>595.6</v>
      </c>
      <c r="BR208" s="459"/>
      <c r="BS208" s="462">
        <v>595.6</v>
      </c>
      <c r="BT208" s="459"/>
      <c r="BU208" s="459"/>
      <c r="BV208" s="459">
        <f t="shared" si="1193"/>
        <v>148.9</v>
      </c>
      <c r="BW208" s="459"/>
      <c r="BX208" s="459">
        <v>148.9</v>
      </c>
      <c r="BY208" s="459"/>
      <c r="BZ208" s="459"/>
      <c r="CA208" s="464">
        <f t="shared" si="1194"/>
        <v>744.5</v>
      </c>
      <c r="CB208" s="459">
        <f t="shared" si="1195"/>
        <v>744.5</v>
      </c>
      <c r="CC208" s="459">
        <f t="shared" si="1196"/>
        <v>0</v>
      </c>
      <c r="CD208" s="459">
        <f t="shared" si="1196"/>
        <v>744.5</v>
      </c>
      <c r="CE208" s="459">
        <f t="shared" si="1196"/>
        <v>0</v>
      </c>
      <c r="CF208" s="459">
        <f t="shared" si="1196"/>
        <v>0</v>
      </c>
      <c r="CG208" s="459">
        <f t="shared" si="1197"/>
        <v>0</v>
      </c>
      <c r="CH208" s="459">
        <f t="shared" si="1198"/>
        <v>0</v>
      </c>
      <c r="CI208" s="459">
        <f t="shared" si="1198"/>
        <v>0</v>
      </c>
      <c r="CJ208" s="459">
        <f t="shared" si="1198"/>
        <v>0</v>
      </c>
      <c r="CK208" s="459">
        <f t="shared" si="1198"/>
        <v>0</v>
      </c>
      <c r="CL208" s="465"/>
      <c r="CM208" s="466"/>
      <c r="CN208" s="466"/>
      <c r="CO208" s="459">
        <f t="shared" si="1199"/>
        <v>0</v>
      </c>
      <c r="CP208" s="459"/>
      <c r="CQ208" s="461"/>
      <c r="CR208" s="459"/>
      <c r="CS208" s="459"/>
      <c r="CT208" s="459">
        <f t="shared" si="1200"/>
        <v>0</v>
      </c>
      <c r="CU208" s="459"/>
      <c r="CV208" s="461"/>
      <c r="CW208" s="459"/>
      <c r="CX208" s="459"/>
      <c r="CY208" s="459">
        <f t="shared" si="1201"/>
        <v>0</v>
      </c>
      <c r="CZ208" s="459">
        <f t="shared" si="1202"/>
        <v>0</v>
      </c>
      <c r="DA208" s="459">
        <f t="shared" si="1202"/>
        <v>0</v>
      </c>
      <c r="DB208" s="459">
        <f t="shared" si="1202"/>
        <v>0</v>
      </c>
      <c r="DC208" s="459">
        <f t="shared" si="1202"/>
        <v>0</v>
      </c>
      <c r="DD208" s="459"/>
      <c r="DE208" s="459"/>
      <c r="DF208" s="459"/>
      <c r="DG208" s="459">
        <f t="shared" si="1203"/>
        <v>0</v>
      </c>
      <c r="DH208" s="467"/>
      <c r="DI208" s="459">
        <f t="shared" si="1204"/>
        <v>595.6</v>
      </c>
      <c r="DJ208" s="459">
        <f t="shared" si="1205"/>
        <v>595.6</v>
      </c>
      <c r="DK208" s="467"/>
      <c r="DL208" s="459"/>
      <c r="DM208" s="459"/>
      <c r="DN208" s="467"/>
      <c r="DO208" s="459"/>
      <c r="DP208" s="467"/>
      <c r="DQ208" s="467"/>
      <c r="DR208" s="459">
        <f t="shared" si="1100"/>
        <v>595.6</v>
      </c>
      <c r="DS208" s="459"/>
      <c r="DT208" s="462">
        <v>595.6</v>
      </c>
      <c r="DU208" s="459"/>
      <c r="DV208" s="459"/>
      <c r="DW208" s="459">
        <f t="shared" si="1119"/>
        <v>148.9</v>
      </c>
      <c r="DX208" s="459"/>
      <c r="DY208" s="459">
        <v>148.9</v>
      </c>
      <c r="DZ208" s="459"/>
      <c r="EA208" s="146"/>
      <c r="EB208" s="279"/>
      <c r="EC208" s="279"/>
      <c r="ED208" s="279"/>
      <c r="EE208" s="366"/>
      <c r="EF208" s="366"/>
      <c r="EG208" s="279"/>
      <c r="EH208" s="279"/>
      <c r="EI208" s="279"/>
      <c r="EJ208" s="366"/>
      <c r="EK208" s="366"/>
      <c r="EL208" s="366">
        <v>3.6900000000000002E-2</v>
      </c>
      <c r="EM208" s="280"/>
      <c r="EN208" s="279"/>
      <c r="EO208" s="265" t="e">
        <f t="shared" si="1208"/>
        <v>#DIV/0!</v>
      </c>
      <c r="EP208" s="323">
        <f t="shared" si="1121"/>
        <v>744.5</v>
      </c>
      <c r="EQ208" s="323">
        <f t="shared" si="1175"/>
        <v>595.6</v>
      </c>
      <c r="ER208" s="323">
        <v>148.9</v>
      </c>
      <c r="ES208" s="358">
        <f t="shared" si="1209"/>
        <v>0.8</v>
      </c>
      <c r="ET208" s="358">
        <f t="shared" si="1210"/>
        <v>0.2</v>
      </c>
      <c r="EU208" s="323">
        <f t="shared" si="1122"/>
        <v>744.5</v>
      </c>
      <c r="EV208" s="323">
        <f t="shared" si="1211"/>
        <v>595.6</v>
      </c>
      <c r="EW208" s="323">
        <f t="shared" si="1212"/>
        <v>148.9</v>
      </c>
      <c r="EX208" s="358">
        <f t="shared" si="1213"/>
        <v>0.8</v>
      </c>
      <c r="EY208" s="358">
        <f t="shared" si="1214"/>
        <v>0.2</v>
      </c>
      <c r="EZ208" s="358">
        <v>0.1231</v>
      </c>
      <c r="FA208" s="323">
        <f t="shared" si="1215"/>
        <v>595.6</v>
      </c>
      <c r="FB208" s="323">
        <f t="shared" si="1123"/>
        <v>0</v>
      </c>
      <c r="FC208" s="279"/>
      <c r="FD208" s="279"/>
      <c r="FE208" s="279"/>
      <c r="FF208" s="366"/>
      <c r="FG208" s="366"/>
      <c r="FH208" s="279"/>
      <c r="FI208" s="279"/>
      <c r="FJ208" s="279"/>
      <c r="FK208" s="366"/>
      <c r="FL208" s="366"/>
      <c r="FM208" s="366">
        <v>0.1231</v>
      </c>
      <c r="FN208" s="280"/>
      <c r="FO208" s="279"/>
    </row>
    <row r="209" spans="2:171" s="40" customFormat="1" ht="15.75" customHeight="1" x14ac:dyDescent="0.25">
      <c r="B209" s="32"/>
      <c r="C209" s="33">
        <v>1</v>
      </c>
      <c r="D209" s="33"/>
      <c r="E209" s="434">
        <v>175</v>
      </c>
      <c r="F209" s="32"/>
      <c r="G209" s="33">
        <v>1</v>
      </c>
      <c r="H209" s="33">
        <v>1</v>
      </c>
      <c r="I209" s="434"/>
      <c r="J209" s="435"/>
      <c r="K209" s="435"/>
      <c r="L209" s="53"/>
      <c r="M209" s="434">
        <v>172</v>
      </c>
      <c r="N209" s="435" t="s">
        <v>243</v>
      </c>
      <c r="O209" s="435"/>
      <c r="P209" s="24">
        <f t="shared" si="1120"/>
        <v>0</v>
      </c>
      <c r="Q209" s="435"/>
      <c r="R209" s="435"/>
      <c r="S209" s="435" t="s">
        <v>491</v>
      </c>
      <c r="T209" s="435" t="s">
        <v>488</v>
      </c>
      <c r="U209" s="161">
        <v>1</v>
      </c>
      <c r="V209" s="434">
        <v>1</v>
      </c>
      <c r="W209" s="459">
        <f t="shared" si="1183"/>
        <v>489.2</v>
      </c>
      <c r="X209" s="459"/>
      <c r="Y209" s="460">
        <v>489.2</v>
      </c>
      <c r="Z209" s="459"/>
      <c r="AA209" s="460"/>
      <c r="AB209" s="459">
        <f t="shared" si="1184"/>
        <v>494.5</v>
      </c>
      <c r="AC209" s="459"/>
      <c r="AD209" s="460">
        <v>494.5</v>
      </c>
      <c r="AE209" s="459"/>
      <c r="AF209" s="460"/>
      <c r="AG209" s="459">
        <f t="shared" si="1185"/>
        <v>494.5</v>
      </c>
      <c r="AH209" s="459"/>
      <c r="AI209" s="460">
        <v>494.5</v>
      </c>
      <c r="AJ209" s="459"/>
      <c r="AK209" s="460"/>
      <c r="AL209" s="459">
        <f t="shared" si="1186"/>
        <v>215</v>
      </c>
      <c r="AM209" s="459"/>
      <c r="AN209" s="460">
        <v>215</v>
      </c>
      <c r="AO209" s="459"/>
      <c r="AP209" s="460"/>
      <c r="AQ209" s="383" t="s">
        <v>464</v>
      </c>
      <c r="AR209" s="459">
        <f t="shared" si="1187"/>
        <v>489.2</v>
      </c>
      <c r="AS209" s="459"/>
      <c r="AT209" s="462">
        <v>489.2</v>
      </c>
      <c r="AU209" s="459"/>
      <c r="AV209" s="459"/>
      <c r="AW209" s="459" t="e">
        <f t="shared" si="1188"/>
        <v>#REF!</v>
      </c>
      <c r="AX209" s="459" t="e">
        <f>#REF!-AS209</f>
        <v>#REF!</v>
      </c>
      <c r="AY209" s="459" t="e">
        <f>#REF!-AT209</f>
        <v>#REF!</v>
      </c>
      <c r="AZ209" s="459" t="e">
        <f>#REF!-AU209</f>
        <v>#REF!</v>
      </c>
      <c r="BA209" s="459" t="e">
        <f>#REF!-AV209</f>
        <v>#REF!</v>
      </c>
      <c r="BB209" s="459">
        <f t="shared" si="1189"/>
        <v>494.5</v>
      </c>
      <c r="BC209" s="459"/>
      <c r="BD209" s="460">
        <f>215+279.5</f>
        <v>494.5</v>
      </c>
      <c r="BE209" s="459"/>
      <c r="BF209" s="459"/>
      <c r="BG209" s="459">
        <f t="shared" si="1190"/>
        <v>0</v>
      </c>
      <c r="BH209" s="459"/>
      <c r="BI209" s="460"/>
      <c r="BJ209" s="459"/>
      <c r="BK209" s="459"/>
      <c r="BL209" s="459">
        <f t="shared" si="1191"/>
        <v>489.2</v>
      </c>
      <c r="BM209" s="459"/>
      <c r="BN209" s="460">
        <v>489.2</v>
      </c>
      <c r="BO209" s="459"/>
      <c r="BP209" s="459"/>
      <c r="BQ209" s="459">
        <f t="shared" si="1192"/>
        <v>489.2</v>
      </c>
      <c r="BR209" s="459"/>
      <c r="BS209" s="460">
        <v>489.2</v>
      </c>
      <c r="BT209" s="459"/>
      <c r="BU209" s="459"/>
      <c r="BV209" s="459">
        <f t="shared" si="1193"/>
        <v>408.57337999999999</v>
      </c>
      <c r="BW209" s="459"/>
      <c r="BX209" s="470">
        <v>408.57337999999999</v>
      </c>
      <c r="BY209" s="459"/>
      <c r="BZ209" s="459"/>
      <c r="CA209" s="464">
        <f t="shared" si="1194"/>
        <v>897.77337999999997</v>
      </c>
      <c r="CB209" s="459">
        <f t="shared" si="1195"/>
        <v>897.77337999999997</v>
      </c>
      <c r="CC209" s="459">
        <f t="shared" si="1196"/>
        <v>0</v>
      </c>
      <c r="CD209" s="459">
        <f t="shared" si="1196"/>
        <v>897.77337999999997</v>
      </c>
      <c r="CE209" s="459">
        <f t="shared" si="1196"/>
        <v>0</v>
      </c>
      <c r="CF209" s="459">
        <f t="shared" si="1196"/>
        <v>0</v>
      </c>
      <c r="CG209" s="459">
        <f t="shared" si="1197"/>
        <v>0</v>
      </c>
      <c r="CH209" s="459">
        <f t="shared" si="1198"/>
        <v>0</v>
      </c>
      <c r="CI209" s="459">
        <f t="shared" si="1198"/>
        <v>0</v>
      </c>
      <c r="CJ209" s="459">
        <f t="shared" si="1198"/>
        <v>0</v>
      </c>
      <c r="CK209" s="459">
        <f t="shared" si="1198"/>
        <v>0</v>
      </c>
      <c r="CL209" s="465"/>
      <c r="CM209" s="559">
        <f>BB209+BB215</f>
        <v>4934.3999999999996</v>
      </c>
      <c r="CN209" s="559">
        <f>CM209</f>
        <v>4934.3999999999996</v>
      </c>
      <c r="CO209" s="459">
        <f t="shared" si="1199"/>
        <v>0</v>
      </c>
      <c r="CP209" s="459"/>
      <c r="CQ209" s="460"/>
      <c r="CR209" s="459"/>
      <c r="CS209" s="459"/>
      <c r="CT209" s="459">
        <f t="shared" si="1200"/>
        <v>0</v>
      </c>
      <c r="CU209" s="459"/>
      <c r="CV209" s="460"/>
      <c r="CW209" s="459"/>
      <c r="CX209" s="459"/>
      <c r="CY209" s="459">
        <f t="shared" si="1201"/>
        <v>0</v>
      </c>
      <c r="CZ209" s="459">
        <f t="shared" si="1202"/>
        <v>0</v>
      </c>
      <c r="DA209" s="459">
        <f t="shared" si="1202"/>
        <v>0</v>
      </c>
      <c r="DB209" s="459">
        <f t="shared" si="1202"/>
        <v>0</v>
      </c>
      <c r="DC209" s="459">
        <f t="shared" si="1202"/>
        <v>0</v>
      </c>
      <c r="DD209" s="459"/>
      <c r="DE209" s="459"/>
      <c r="DF209" s="459"/>
      <c r="DG209" s="459">
        <f t="shared" si="1203"/>
        <v>0</v>
      </c>
      <c r="DH209" s="467"/>
      <c r="DI209" s="459">
        <f t="shared" si="1204"/>
        <v>489.2</v>
      </c>
      <c r="DJ209" s="459">
        <f t="shared" si="1205"/>
        <v>489.2</v>
      </c>
      <c r="DK209" s="467"/>
      <c r="DL209" s="560">
        <f>DJ209+DJ215</f>
        <v>20102.5</v>
      </c>
      <c r="DM209" s="560">
        <f>DG209+DG215</f>
        <v>0</v>
      </c>
      <c r="DN209" s="467"/>
      <c r="DO209" s="459">
        <f>CN209-DL209</f>
        <v>-15168.1</v>
      </c>
      <c r="DP209" s="467"/>
      <c r="DQ209" s="467"/>
      <c r="DR209" s="459">
        <f t="shared" si="1100"/>
        <v>489.2</v>
      </c>
      <c r="DS209" s="459"/>
      <c r="DT209" s="460">
        <v>489.2</v>
      </c>
      <c r="DU209" s="459"/>
      <c r="DV209" s="459"/>
      <c r="DW209" s="459">
        <f t="shared" si="1119"/>
        <v>408.57337999999999</v>
      </c>
      <c r="DX209" s="459"/>
      <c r="DY209" s="470">
        <v>408.57337999999999</v>
      </c>
      <c r="DZ209" s="459"/>
      <c r="EA209" s="146"/>
      <c r="EB209" s="279"/>
      <c r="EC209" s="279"/>
      <c r="ED209" s="281"/>
      <c r="EE209" s="366"/>
      <c r="EF209" s="366"/>
      <c r="EG209" s="279"/>
      <c r="EH209" s="279"/>
      <c r="EI209" s="281"/>
      <c r="EJ209" s="366"/>
      <c r="EK209" s="366"/>
      <c r="EL209" s="366">
        <v>2.3699999999999999E-2</v>
      </c>
      <c r="EM209" s="280"/>
      <c r="EN209" s="279"/>
      <c r="EO209" s="265" t="e">
        <f t="shared" si="1208"/>
        <v>#DIV/0!</v>
      </c>
      <c r="EP209" s="323">
        <f t="shared" si="1121"/>
        <v>897.77337999999997</v>
      </c>
      <c r="EQ209" s="323">
        <f t="shared" si="1175"/>
        <v>489.2</v>
      </c>
      <c r="ER209" s="324">
        <v>408.57337999999999</v>
      </c>
      <c r="ES209" s="358">
        <f t="shared" si="1209"/>
        <v>0.5449036593176777</v>
      </c>
      <c r="ET209" s="358">
        <f t="shared" si="1210"/>
        <v>0.4550963406823223</v>
      </c>
      <c r="EU209" s="323">
        <f t="shared" si="1122"/>
        <v>897.77337999999997</v>
      </c>
      <c r="EV209" s="323">
        <f t="shared" si="1211"/>
        <v>489.2</v>
      </c>
      <c r="EW209" s="324">
        <f t="shared" si="1212"/>
        <v>408.57337999999999</v>
      </c>
      <c r="EX209" s="358">
        <f t="shared" si="1213"/>
        <v>0.5449036593176777</v>
      </c>
      <c r="EY209" s="358">
        <f t="shared" si="1214"/>
        <v>0.4550963406823223</v>
      </c>
      <c r="EZ209" s="358">
        <v>7.8899999999999998E-2</v>
      </c>
      <c r="FA209" s="323">
        <f t="shared" si="1215"/>
        <v>489.2</v>
      </c>
      <c r="FB209" s="323">
        <f t="shared" si="1123"/>
        <v>0</v>
      </c>
      <c r="FC209" s="279"/>
      <c r="FD209" s="279"/>
      <c r="FE209" s="281"/>
      <c r="FF209" s="366"/>
      <c r="FG209" s="366"/>
      <c r="FH209" s="279"/>
      <c r="FI209" s="279"/>
      <c r="FJ209" s="281"/>
      <c r="FK209" s="366"/>
      <c r="FL209" s="366"/>
      <c r="FM209" s="366">
        <v>7.8899999999999998E-2</v>
      </c>
      <c r="FN209" s="280"/>
      <c r="FO209" s="279"/>
    </row>
    <row r="210" spans="2:171" s="40" customFormat="1" ht="15.6" customHeight="1" x14ac:dyDescent="0.25">
      <c r="B210" s="32"/>
      <c r="C210" s="33"/>
      <c r="D210" s="33">
        <v>1</v>
      </c>
      <c r="E210" s="434">
        <v>176</v>
      </c>
      <c r="F210" s="32"/>
      <c r="G210" s="33"/>
      <c r="H210" s="33">
        <v>1</v>
      </c>
      <c r="I210" s="434"/>
      <c r="J210" s="435"/>
      <c r="K210" s="435"/>
      <c r="L210" s="53"/>
      <c r="M210" s="434">
        <v>173</v>
      </c>
      <c r="N210" s="435" t="s">
        <v>141</v>
      </c>
      <c r="O210" s="132" t="s">
        <v>343</v>
      </c>
      <c r="P210" s="2">
        <f t="shared" si="1120"/>
        <v>0</v>
      </c>
      <c r="Q210" s="132"/>
      <c r="R210" s="132"/>
      <c r="S210" s="132"/>
      <c r="T210" s="132"/>
      <c r="U210" s="161">
        <v>1</v>
      </c>
      <c r="V210" s="434"/>
      <c r="W210" s="459">
        <f t="shared" si="1183"/>
        <v>1928</v>
      </c>
      <c r="X210" s="459"/>
      <c r="Y210" s="460">
        <v>1928</v>
      </c>
      <c r="Z210" s="459"/>
      <c r="AA210" s="460"/>
      <c r="AB210" s="459">
        <f t="shared" si="1184"/>
        <v>1945.8</v>
      </c>
      <c r="AC210" s="459"/>
      <c r="AD210" s="460">
        <v>1945.8</v>
      </c>
      <c r="AE210" s="459"/>
      <c r="AF210" s="460"/>
      <c r="AG210" s="459">
        <f t="shared" si="1185"/>
        <v>1945.8</v>
      </c>
      <c r="AH210" s="459"/>
      <c r="AI210" s="460">
        <v>1945.8</v>
      </c>
      <c r="AJ210" s="459"/>
      <c r="AK210" s="460"/>
      <c r="AL210" s="459">
        <f t="shared" si="1186"/>
        <v>846</v>
      </c>
      <c r="AM210" s="459"/>
      <c r="AN210" s="460">
        <v>846</v>
      </c>
      <c r="AO210" s="459"/>
      <c r="AP210" s="460"/>
      <c r="AQ210" s="383" t="s">
        <v>389</v>
      </c>
      <c r="AR210" s="459">
        <f t="shared" si="1187"/>
        <v>1928</v>
      </c>
      <c r="AS210" s="459"/>
      <c r="AT210" s="462">
        <v>1928</v>
      </c>
      <c r="AU210" s="459"/>
      <c r="AV210" s="459"/>
      <c r="AW210" s="459" t="e">
        <f t="shared" si="1188"/>
        <v>#REF!</v>
      </c>
      <c r="AX210" s="459" t="e">
        <f>#REF!-AS210</f>
        <v>#REF!</v>
      </c>
      <c r="AY210" s="459" t="e">
        <f>#REF!-AT210</f>
        <v>#REF!</v>
      </c>
      <c r="AZ210" s="459" t="e">
        <f>#REF!-AU210</f>
        <v>#REF!</v>
      </c>
      <c r="BA210" s="459" t="e">
        <f>#REF!-AV210</f>
        <v>#REF!</v>
      </c>
      <c r="BB210" s="459">
        <f t="shared" si="1189"/>
        <v>1945.8</v>
      </c>
      <c r="BC210" s="459"/>
      <c r="BD210" s="460">
        <f>846+1099.8</f>
        <v>1945.8</v>
      </c>
      <c r="BE210" s="459"/>
      <c r="BF210" s="459"/>
      <c r="BG210" s="459">
        <f t="shared" si="1190"/>
        <v>0</v>
      </c>
      <c r="BH210" s="459"/>
      <c r="BI210" s="460"/>
      <c r="BJ210" s="459"/>
      <c r="BK210" s="459"/>
      <c r="BL210" s="459">
        <f t="shared" si="1191"/>
        <v>1928</v>
      </c>
      <c r="BM210" s="459"/>
      <c r="BN210" s="460">
        <v>1928</v>
      </c>
      <c r="BO210" s="459"/>
      <c r="BP210" s="459"/>
      <c r="BQ210" s="459">
        <f t="shared" si="1192"/>
        <v>1928</v>
      </c>
      <c r="BR210" s="459"/>
      <c r="BS210" s="460">
        <v>1928</v>
      </c>
      <c r="BT210" s="459"/>
      <c r="BU210" s="459"/>
      <c r="BV210" s="459">
        <f t="shared" si="1193"/>
        <v>1128.3232</v>
      </c>
      <c r="BW210" s="459"/>
      <c r="BX210" s="459">
        <v>1128.3232</v>
      </c>
      <c r="BY210" s="459"/>
      <c r="BZ210" s="459"/>
      <c r="CA210" s="464">
        <f t="shared" si="1194"/>
        <v>3056.3231999999998</v>
      </c>
      <c r="CB210" s="459">
        <f t="shared" si="1195"/>
        <v>3056.3231999999998</v>
      </c>
      <c r="CC210" s="459">
        <f t="shared" si="1196"/>
        <v>0</v>
      </c>
      <c r="CD210" s="459">
        <f t="shared" si="1196"/>
        <v>3056.3231999999998</v>
      </c>
      <c r="CE210" s="459">
        <f t="shared" si="1196"/>
        <v>0</v>
      </c>
      <c r="CF210" s="459">
        <f t="shared" si="1196"/>
        <v>0</v>
      </c>
      <c r="CG210" s="459">
        <f t="shared" si="1197"/>
        <v>0</v>
      </c>
      <c r="CH210" s="459">
        <f t="shared" si="1198"/>
        <v>0</v>
      </c>
      <c r="CI210" s="459">
        <f t="shared" si="1198"/>
        <v>0</v>
      </c>
      <c r="CJ210" s="459">
        <f t="shared" si="1198"/>
        <v>0</v>
      </c>
      <c r="CK210" s="459">
        <f t="shared" si="1198"/>
        <v>0</v>
      </c>
      <c r="CL210" s="465"/>
      <c r="CM210" s="466">
        <f>BB203-CM204-CM209</f>
        <v>12352.344999999999</v>
      </c>
      <c r="CN210" s="466">
        <f>CM210</f>
        <v>12352.344999999999</v>
      </c>
      <c r="CO210" s="459">
        <f t="shared" si="1199"/>
        <v>0</v>
      </c>
      <c r="CP210" s="459"/>
      <c r="CQ210" s="460"/>
      <c r="CR210" s="459"/>
      <c r="CS210" s="459"/>
      <c r="CT210" s="459">
        <f t="shared" si="1200"/>
        <v>0</v>
      </c>
      <c r="CU210" s="459"/>
      <c r="CV210" s="460"/>
      <c r="CW210" s="459"/>
      <c r="CX210" s="459"/>
      <c r="CY210" s="459">
        <f t="shared" si="1201"/>
        <v>0</v>
      </c>
      <c r="CZ210" s="459">
        <f t="shared" si="1202"/>
        <v>0</v>
      </c>
      <c r="DA210" s="459">
        <f t="shared" si="1202"/>
        <v>0</v>
      </c>
      <c r="DB210" s="459">
        <f t="shared" si="1202"/>
        <v>0</v>
      </c>
      <c r="DC210" s="459">
        <f t="shared" si="1202"/>
        <v>0</v>
      </c>
      <c r="DD210" s="459"/>
      <c r="DE210" s="459"/>
      <c r="DF210" s="459"/>
      <c r="DG210" s="459">
        <f t="shared" si="1203"/>
        <v>0</v>
      </c>
      <c r="DH210" s="467"/>
      <c r="DI210" s="459">
        <f t="shared" si="1204"/>
        <v>1928</v>
      </c>
      <c r="DJ210" s="459">
        <f t="shared" si="1205"/>
        <v>1928</v>
      </c>
      <c r="DK210" s="467"/>
      <c r="DL210" s="459">
        <f>DJ206+DJ207+DJ208+DJ210+DJ211+DJ212+DJ213+DJ214+DJ216+DJ217+DJ218+DJ219</f>
        <v>56161.302979999993</v>
      </c>
      <c r="DM210" s="459">
        <f>DG206+DG207+DG208+DG210+DG211+DG212+DG213+DG214+DG216+DG217+DG218+DG219</f>
        <v>0</v>
      </c>
      <c r="DN210" s="467"/>
      <c r="DO210" s="459">
        <f>CN210-DL210</f>
        <v>-43808.957979999992</v>
      </c>
      <c r="DP210" s="467"/>
      <c r="DQ210" s="467"/>
      <c r="DR210" s="459">
        <f t="shared" si="1100"/>
        <v>1928</v>
      </c>
      <c r="DS210" s="459"/>
      <c r="DT210" s="460">
        <v>1928</v>
      </c>
      <c r="DU210" s="459"/>
      <c r="DV210" s="459"/>
      <c r="DW210" s="459">
        <f t="shared" si="1119"/>
        <v>1128.3232</v>
      </c>
      <c r="DX210" s="459"/>
      <c r="DY210" s="459">
        <v>1128.3232</v>
      </c>
      <c r="DZ210" s="459"/>
      <c r="EA210" s="146"/>
      <c r="EB210" s="279"/>
      <c r="EC210" s="279"/>
      <c r="ED210" s="279"/>
      <c r="EE210" s="366"/>
      <c r="EF210" s="366"/>
      <c r="EG210" s="279"/>
      <c r="EH210" s="279"/>
      <c r="EI210" s="279"/>
      <c r="EJ210" s="366"/>
      <c r="EK210" s="366"/>
      <c r="EL210" s="366">
        <v>2.6700000000000002E-2</v>
      </c>
      <c r="EM210" s="280"/>
      <c r="EN210" s="279"/>
      <c r="EO210" s="265" t="e">
        <f t="shared" si="1208"/>
        <v>#DIV/0!</v>
      </c>
      <c r="EP210" s="323">
        <f t="shared" si="1121"/>
        <v>3056.3231999999998</v>
      </c>
      <c r="EQ210" s="323">
        <f t="shared" si="1175"/>
        <v>1928</v>
      </c>
      <c r="ER210" s="323">
        <v>1128.3232</v>
      </c>
      <c r="ES210" s="358">
        <f t="shared" si="1209"/>
        <v>0.63082333700833737</v>
      </c>
      <c r="ET210" s="358">
        <f t="shared" si="1210"/>
        <v>0.36917666299166269</v>
      </c>
      <c r="EU210" s="323">
        <f t="shared" si="1122"/>
        <v>3056.3231999999998</v>
      </c>
      <c r="EV210" s="323">
        <f t="shared" si="1211"/>
        <v>1928</v>
      </c>
      <c r="EW210" s="323">
        <f t="shared" si="1212"/>
        <v>1128.3232</v>
      </c>
      <c r="EX210" s="358">
        <f t="shared" si="1213"/>
        <v>0.63082333700833737</v>
      </c>
      <c r="EY210" s="358">
        <f t="shared" si="1214"/>
        <v>0.36917666299166269</v>
      </c>
      <c r="EZ210" s="358">
        <v>8.8900000000000007E-2</v>
      </c>
      <c r="FA210" s="323">
        <f t="shared" si="1215"/>
        <v>1928</v>
      </c>
      <c r="FB210" s="323">
        <f t="shared" si="1123"/>
        <v>0</v>
      </c>
      <c r="FC210" s="279"/>
      <c r="FD210" s="279"/>
      <c r="FE210" s="279"/>
      <c r="FF210" s="366"/>
      <c r="FG210" s="366"/>
      <c r="FH210" s="279"/>
      <c r="FI210" s="279"/>
      <c r="FJ210" s="279"/>
      <c r="FK210" s="366"/>
      <c r="FL210" s="366"/>
      <c r="FM210" s="366">
        <v>8.8900000000000007E-2</v>
      </c>
      <c r="FN210" s="280"/>
      <c r="FO210" s="279"/>
    </row>
    <row r="211" spans="2:171" s="40" customFormat="1" ht="15.75" customHeight="1" x14ac:dyDescent="0.25">
      <c r="B211" s="32"/>
      <c r="C211" s="33"/>
      <c r="D211" s="33">
        <v>1</v>
      </c>
      <c r="E211" s="434">
        <v>177</v>
      </c>
      <c r="F211" s="32"/>
      <c r="G211" s="33"/>
      <c r="H211" s="33">
        <v>1</v>
      </c>
      <c r="I211" s="434"/>
      <c r="J211" s="435"/>
      <c r="K211" s="435"/>
      <c r="L211" s="53"/>
      <c r="M211" s="434">
        <v>174</v>
      </c>
      <c r="N211" s="435" t="s">
        <v>142</v>
      </c>
      <c r="O211" s="435"/>
      <c r="P211" s="24">
        <f t="shared" si="1120"/>
        <v>0</v>
      </c>
      <c r="Q211" s="435" t="s">
        <v>544</v>
      </c>
      <c r="R211" s="435" t="s">
        <v>488</v>
      </c>
      <c r="S211" s="435" t="s">
        <v>491</v>
      </c>
      <c r="T211" s="435" t="s">
        <v>488</v>
      </c>
      <c r="U211" s="161">
        <v>1</v>
      </c>
      <c r="V211" s="434"/>
      <c r="W211" s="459">
        <f t="shared" si="1183"/>
        <v>2067.1</v>
      </c>
      <c r="X211" s="459"/>
      <c r="Y211" s="460">
        <v>2067.1</v>
      </c>
      <c r="Z211" s="459"/>
      <c r="AA211" s="460"/>
      <c r="AB211" s="459">
        <f t="shared" si="1184"/>
        <v>2086.1</v>
      </c>
      <c r="AC211" s="459"/>
      <c r="AD211" s="460">
        <v>2086.1</v>
      </c>
      <c r="AE211" s="459"/>
      <c r="AF211" s="460"/>
      <c r="AG211" s="459">
        <f t="shared" si="1185"/>
        <v>2086.1</v>
      </c>
      <c r="AH211" s="459"/>
      <c r="AI211" s="460">
        <v>2086.1</v>
      </c>
      <c r="AJ211" s="459"/>
      <c r="AK211" s="460"/>
      <c r="AL211" s="459">
        <f t="shared" si="1186"/>
        <v>907</v>
      </c>
      <c r="AM211" s="459"/>
      <c r="AN211" s="460">
        <v>907</v>
      </c>
      <c r="AO211" s="459"/>
      <c r="AP211" s="460"/>
      <c r="AQ211" s="383" t="s">
        <v>422</v>
      </c>
      <c r="AR211" s="459">
        <f t="shared" si="1187"/>
        <v>2067.1</v>
      </c>
      <c r="AS211" s="459"/>
      <c r="AT211" s="462">
        <v>2067.1</v>
      </c>
      <c r="AU211" s="459"/>
      <c r="AV211" s="459"/>
      <c r="AW211" s="459" t="e">
        <f t="shared" si="1188"/>
        <v>#REF!</v>
      </c>
      <c r="AX211" s="459" t="e">
        <f>#REF!-AS211</f>
        <v>#REF!</v>
      </c>
      <c r="AY211" s="459" t="e">
        <f>#REF!-AT211</f>
        <v>#REF!</v>
      </c>
      <c r="AZ211" s="459" t="e">
        <f>#REF!-AU211</f>
        <v>#REF!</v>
      </c>
      <c r="BA211" s="459" t="e">
        <f>#REF!-AV211</f>
        <v>#REF!</v>
      </c>
      <c r="BB211" s="459">
        <f t="shared" si="1189"/>
        <v>2086.1</v>
      </c>
      <c r="BC211" s="459"/>
      <c r="BD211" s="460">
        <f>907+1179.1</f>
        <v>2086.1</v>
      </c>
      <c r="BE211" s="459"/>
      <c r="BF211" s="459"/>
      <c r="BG211" s="459">
        <f t="shared" si="1190"/>
        <v>0</v>
      </c>
      <c r="BH211" s="459"/>
      <c r="BI211" s="460"/>
      <c r="BJ211" s="459"/>
      <c r="BK211" s="459"/>
      <c r="BL211" s="459">
        <f t="shared" si="1191"/>
        <v>2067.1</v>
      </c>
      <c r="BM211" s="459"/>
      <c r="BN211" s="462">
        <v>2067.1</v>
      </c>
      <c r="BO211" s="459"/>
      <c r="BP211" s="459"/>
      <c r="BQ211" s="459">
        <f t="shared" si="1192"/>
        <v>2067.1</v>
      </c>
      <c r="BR211" s="459"/>
      <c r="BS211" s="462">
        <v>2067.1</v>
      </c>
      <c r="BT211" s="459"/>
      <c r="BU211" s="459"/>
      <c r="BV211" s="459">
        <f t="shared" si="1193"/>
        <v>374.54480000000001</v>
      </c>
      <c r="BW211" s="459"/>
      <c r="BX211" s="459">
        <v>374.54480000000001</v>
      </c>
      <c r="BY211" s="459"/>
      <c r="BZ211" s="459"/>
      <c r="CA211" s="464">
        <f t="shared" si="1194"/>
        <v>2441.6448</v>
      </c>
      <c r="CB211" s="459">
        <f t="shared" si="1195"/>
        <v>2441.6448</v>
      </c>
      <c r="CC211" s="459">
        <f t="shared" si="1196"/>
        <v>0</v>
      </c>
      <c r="CD211" s="459">
        <f t="shared" si="1196"/>
        <v>2441.6448</v>
      </c>
      <c r="CE211" s="459">
        <f t="shared" si="1196"/>
        <v>0</v>
      </c>
      <c r="CF211" s="459">
        <f t="shared" si="1196"/>
        <v>0</v>
      </c>
      <c r="CG211" s="459">
        <f t="shared" si="1197"/>
        <v>0</v>
      </c>
      <c r="CH211" s="459">
        <f t="shared" si="1198"/>
        <v>0</v>
      </c>
      <c r="CI211" s="459">
        <f t="shared" si="1198"/>
        <v>0</v>
      </c>
      <c r="CJ211" s="459">
        <f t="shared" si="1198"/>
        <v>0</v>
      </c>
      <c r="CK211" s="459">
        <f t="shared" si="1198"/>
        <v>0</v>
      </c>
      <c r="CL211" s="465"/>
      <c r="CM211" s="466"/>
      <c r="CN211" s="466"/>
      <c r="CO211" s="459">
        <f t="shared" si="1199"/>
        <v>0</v>
      </c>
      <c r="CP211" s="459"/>
      <c r="CQ211" s="460"/>
      <c r="CR211" s="459"/>
      <c r="CS211" s="459"/>
      <c r="CT211" s="459">
        <f t="shared" si="1200"/>
        <v>0</v>
      </c>
      <c r="CU211" s="459"/>
      <c r="CV211" s="460"/>
      <c r="CW211" s="459"/>
      <c r="CX211" s="459"/>
      <c r="CY211" s="459">
        <f t="shared" si="1201"/>
        <v>0</v>
      </c>
      <c r="CZ211" s="459">
        <f t="shared" si="1202"/>
        <v>0</v>
      </c>
      <c r="DA211" s="459">
        <f t="shared" si="1202"/>
        <v>0</v>
      </c>
      <c r="DB211" s="459">
        <f t="shared" si="1202"/>
        <v>0</v>
      </c>
      <c r="DC211" s="459">
        <f t="shared" si="1202"/>
        <v>0</v>
      </c>
      <c r="DD211" s="459"/>
      <c r="DE211" s="459"/>
      <c r="DF211" s="459"/>
      <c r="DG211" s="459">
        <f t="shared" si="1203"/>
        <v>0</v>
      </c>
      <c r="DH211" s="467"/>
      <c r="DI211" s="459">
        <f t="shared" si="1204"/>
        <v>2067.1</v>
      </c>
      <c r="DJ211" s="459">
        <f t="shared" si="1205"/>
        <v>2067.1</v>
      </c>
      <c r="DK211" s="467"/>
      <c r="DL211" s="459"/>
      <c r="DM211" s="459"/>
      <c r="DN211" s="467"/>
      <c r="DO211" s="459"/>
      <c r="DP211" s="467"/>
      <c r="DQ211" s="467"/>
      <c r="DR211" s="459">
        <f t="shared" si="1100"/>
        <v>2067.1</v>
      </c>
      <c r="DS211" s="459"/>
      <c r="DT211" s="460">
        <v>2067.1</v>
      </c>
      <c r="DU211" s="459"/>
      <c r="DV211" s="459"/>
      <c r="DW211" s="459">
        <f t="shared" si="1119"/>
        <v>374.54480000000001</v>
      </c>
      <c r="DX211" s="459"/>
      <c r="DY211" s="459">
        <v>374.54480000000001</v>
      </c>
      <c r="DZ211" s="459"/>
      <c r="EA211" s="146"/>
      <c r="EB211" s="279"/>
      <c r="EC211" s="279"/>
      <c r="ED211" s="279"/>
      <c r="EE211" s="366"/>
      <c r="EF211" s="366"/>
      <c r="EG211" s="279"/>
      <c r="EH211" s="279"/>
      <c r="EI211" s="279"/>
      <c r="EJ211" s="366"/>
      <c r="EK211" s="366"/>
      <c r="EL211" s="366">
        <v>2.4199999999999999E-2</v>
      </c>
      <c r="EM211" s="280"/>
      <c r="EN211" s="279"/>
      <c r="EO211" s="265" t="e">
        <f t="shared" si="1208"/>
        <v>#DIV/0!</v>
      </c>
      <c r="EP211" s="323">
        <f t="shared" si="1121"/>
        <v>2441.6448</v>
      </c>
      <c r="EQ211" s="323">
        <f t="shared" si="1175"/>
        <v>2067.1</v>
      </c>
      <c r="ER211" s="323">
        <v>374.54480000000001</v>
      </c>
      <c r="ES211" s="358">
        <f t="shared" si="1209"/>
        <v>0.84660143850571545</v>
      </c>
      <c r="ET211" s="358">
        <f t="shared" si="1210"/>
        <v>0.15339856149428452</v>
      </c>
      <c r="EU211" s="323">
        <f t="shared" si="1122"/>
        <v>2441.6448</v>
      </c>
      <c r="EV211" s="323">
        <f t="shared" si="1211"/>
        <v>2067.1</v>
      </c>
      <c r="EW211" s="323">
        <f t="shared" si="1212"/>
        <v>374.54480000000001</v>
      </c>
      <c r="EX211" s="358">
        <f t="shared" si="1213"/>
        <v>0.84660143850571545</v>
      </c>
      <c r="EY211" s="358">
        <f t="shared" si="1214"/>
        <v>0.15339856149428452</v>
      </c>
      <c r="EZ211" s="358">
        <v>8.0699999999999994E-2</v>
      </c>
      <c r="FA211" s="323">
        <f t="shared" si="1215"/>
        <v>2067.1</v>
      </c>
      <c r="FB211" s="323">
        <f t="shared" si="1123"/>
        <v>0</v>
      </c>
      <c r="FC211" s="279"/>
      <c r="FD211" s="279"/>
      <c r="FE211" s="279"/>
      <c r="FF211" s="366"/>
      <c r="FG211" s="366"/>
      <c r="FH211" s="279"/>
      <c r="FI211" s="279"/>
      <c r="FJ211" s="279"/>
      <c r="FK211" s="366"/>
      <c r="FL211" s="366"/>
      <c r="FM211" s="366">
        <v>8.0699999999999994E-2</v>
      </c>
      <c r="FN211" s="280"/>
      <c r="FO211" s="279"/>
    </row>
    <row r="212" spans="2:171" s="40" customFormat="1" ht="15.75" customHeight="1" x14ac:dyDescent="0.25">
      <c r="B212" s="32"/>
      <c r="C212" s="33"/>
      <c r="D212" s="33">
        <v>1</v>
      </c>
      <c r="E212" s="434">
        <v>178</v>
      </c>
      <c r="F212" s="32"/>
      <c r="G212" s="33"/>
      <c r="H212" s="33">
        <v>1</v>
      </c>
      <c r="I212" s="434"/>
      <c r="J212" s="435"/>
      <c r="K212" s="435"/>
      <c r="L212" s="53"/>
      <c r="M212" s="434">
        <v>175</v>
      </c>
      <c r="N212" s="435" t="s">
        <v>170</v>
      </c>
      <c r="O212" s="435"/>
      <c r="P212" s="24">
        <f t="shared" si="1120"/>
        <v>0</v>
      </c>
      <c r="Q212" s="435"/>
      <c r="R212" s="435"/>
      <c r="S212" s="435"/>
      <c r="T212" s="435" t="s">
        <v>500</v>
      </c>
      <c r="U212" s="161">
        <v>1</v>
      </c>
      <c r="V212" s="434">
        <v>1</v>
      </c>
      <c r="W212" s="459">
        <f t="shared" si="1183"/>
        <v>603.79999999999995</v>
      </c>
      <c r="X212" s="459"/>
      <c r="Y212" s="460">
        <v>603.79999999999995</v>
      </c>
      <c r="Z212" s="459"/>
      <c r="AA212" s="460"/>
      <c r="AB212" s="459">
        <f t="shared" si="1184"/>
        <v>618.70000000000005</v>
      </c>
      <c r="AC212" s="459"/>
      <c r="AD212" s="460">
        <v>618.70000000000005</v>
      </c>
      <c r="AE212" s="459"/>
      <c r="AF212" s="460"/>
      <c r="AG212" s="459">
        <f t="shared" si="1185"/>
        <v>618.70000000000005</v>
      </c>
      <c r="AH212" s="459"/>
      <c r="AI212" s="460">
        <v>618.70000000000005</v>
      </c>
      <c r="AJ212" s="459"/>
      <c r="AK212" s="460"/>
      <c r="AL212" s="459">
        <f t="shared" si="1186"/>
        <v>269</v>
      </c>
      <c r="AM212" s="459"/>
      <c r="AN212" s="460">
        <v>269</v>
      </c>
      <c r="AO212" s="459"/>
      <c r="AP212" s="460"/>
      <c r="AQ212" s="383" t="s">
        <v>469</v>
      </c>
      <c r="AR212" s="459">
        <f t="shared" si="1187"/>
        <v>603.79999999999995</v>
      </c>
      <c r="AS212" s="459"/>
      <c r="AT212" s="462">
        <v>603.79999999999995</v>
      </c>
      <c r="AU212" s="459"/>
      <c r="AV212" s="459"/>
      <c r="AW212" s="459" t="e">
        <f t="shared" si="1188"/>
        <v>#REF!</v>
      </c>
      <c r="AX212" s="459" t="e">
        <f>#REF!-AS212</f>
        <v>#REF!</v>
      </c>
      <c r="AY212" s="459" t="e">
        <f>#REF!-AT212</f>
        <v>#REF!</v>
      </c>
      <c r="AZ212" s="459" t="e">
        <f>#REF!-AU212</f>
        <v>#REF!</v>
      </c>
      <c r="BA212" s="459" t="e">
        <f>#REF!-AV212</f>
        <v>#REF!</v>
      </c>
      <c r="BB212" s="459">
        <f t="shared" si="1189"/>
        <v>265.84500000000003</v>
      </c>
      <c r="BC212" s="459"/>
      <c r="BD212" s="460">
        <v>265.84500000000003</v>
      </c>
      <c r="BE212" s="459"/>
      <c r="BF212" s="459"/>
      <c r="BG212" s="459">
        <f t="shared" si="1190"/>
        <v>0</v>
      </c>
      <c r="BH212" s="459"/>
      <c r="BI212" s="461"/>
      <c r="BJ212" s="459"/>
      <c r="BK212" s="459"/>
      <c r="BL212" s="459">
        <f t="shared" si="1191"/>
        <v>603.79999999999995</v>
      </c>
      <c r="BM212" s="459"/>
      <c r="BN212" s="460">
        <v>603.79999999999995</v>
      </c>
      <c r="BO212" s="459"/>
      <c r="BP212" s="459"/>
      <c r="BQ212" s="459">
        <f t="shared" si="1192"/>
        <v>603.79999999999995</v>
      </c>
      <c r="BR212" s="459"/>
      <c r="BS212" s="460">
        <v>603.79999999999995</v>
      </c>
      <c r="BT212" s="459"/>
      <c r="BU212" s="459"/>
      <c r="BV212" s="459">
        <f t="shared" si="1193"/>
        <v>90.732079999999996</v>
      </c>
      <c r="BW212" s="459"/>
      <c r="BX212" s="459">
        <v>90.732079999999996</v>
      </c>
      <c r="BY212" s="459"/>
      <c r="BZ212" s="459"/>
      <c r="CA212" s="464">
        <f t="shared" si="1194"/>
        <v>694.53207999999995</v>
      </c>
      <c r="CB212" s="459">
        <f t="shared" si="1195"/>
        <v>694.53207999999995</v>
      </c>
      <c r="CC212" s="459">
        <f t="shared" si="1196"/>
        <v>0</v>
      </c>
      <c r="CD212" s="459">
        <f t="shared" si="1196"/>
        <v>694.53207999999995</v>
      </c>
      <c r="CE212" s="459">
        <f t="shared" si="1196"/>
        <v>0</v>
      </c>
      <c r="CF212" s="459">
        <f t="shared" si="1196"/>
        <v>0</v>
      </c>
      <c r="CG212" s="459">
        <f t="shared" si="1197"/>
        <v>0</v>
      </c>
      <c r="CH212" s="459">
        <f t="shared" si="1198"/>
        <v>0</v>
      </c>
      <c r="CI212" s="459">
        <f t="shared" si="1198"/>
        <v>0</v>
      </c>
      <c r="CJ212" s="459">
        <f t="shared" si="1198"/>
        <v>0</v>
      </c>
      <c r="CK212" s="459">
        <f t="shared" si="1198"/>
        <v>0</v>
      </c>
      <c r="CL212" s="465"/>
      <c r="CM212" s="466"/>
      <c r="CN212" s="466"/>
      <c r="CO212" s="459">
        <f t="shared" si="1199"/>
        <v>0</v>
      </c>
      <c r="CP212" s="459"/>
      <c r="CQ212" s="461"/>
      <c r="CR212" s="459"/>
      <c r="CS212" s="459"/>
      <c r="CT212" s="459">
        <f t="shared" si="1200"/>
        <v>0</v>
      </c>
      <c r="CU212" s="459"/>
      <c r="CV212" s="461"/>
      <c r="CW212" s="459"/>
      <c r="CX212" s="459"/>
      <c r="CY212" s="459">
        <f t="shared" si="1201"/>
        <v>0</v>
      </c>
      <c r="CZ212" s="459">
        <f t="shared" si="1202"/>
        <v>0</v>
      </c>
      <c r="DA212" s="459">
        <f t="shared" si="1202"/>
        <v>0</v>
      </c>
      <c r="DB212" s="459">
        <f t="shared" si="1202"/>
        <v>0</v>
      </c>
      <c r="DC212" s="459">
        <f t="shared" si="1202"/>
        <v>0</v>
      </c>
      <c r="DD212" s="459"/>
      <c r="DE212" s="459"/>
      <c r="DF212" s="459"/>
      <c r="DG212" s="459">
        <f t="shared" si="1203"/>
        <v>0</v>
      </c>
      <c r="DH212" s="467"/>
      <c r="DI212" s="459">
        <f t="shared" si="1204"/>
        <v>603.79999999999995</v>
      </c>
      <c r="DJ212" s="459">
        <f t="shared" si="1205"/>
        <v>603.79999999999995</v>
      </c>
      <c r="DK212" s="467"/>
      <c r="DL212" s="459"/>
      <c r="DM212" s="459"/>
      <c r="DN212" s="467"/>
      <c r="DO212" s="459"/>
      <c r="DP212" s="467"/>
      <c r="DQ212" s="467"/>
      <c r="DR212" s="459">
        <f t="shared" si="1100"/>
        <v>603.79999999999995</v>
      </c>
      <c r="DS212" s="459"/>
      <c r="DT212" s="460">
        <v>603.79999999999995</v>
      </c>
      <c r="DU212" s="459"/>
      <c r="DV212" s="459"/>
      <c r="DW212" s="459">
        <f t="shared" si="1119"/>
        <v>90.732079999999996</v>
      </c>
      <c r="DX212" s="459"/>
      <c r="DY212" s="459">
        <v>90.732079999999996</v>
      </c>
      <c r="DZ212" s="459"/>
      <c r="EA212" s="146"/>
      <c r="EB212" s="279"/>
      <c r="EC212" s="279"/>
      <c r="ED212" s="279"/>
      <c r="EE212" s="366"/>
      <c r="EF212" s="366"/>
      <c r="EG212" s="279"/>
      <c r="EH212" s="279"/>
      <c r="EI212" s="279"/>
      <c r="EJ212" s="366"/>
      <c r="EK212" s="366"/>
      <c r="EL212" s="366">
        <v>2.5100000000000001E-2</v>
      </c>
      <c r="EM212" s="280"/>
      <c r="EN212" s="279"/>
      <c r="EO212" s="265" t="e">
        <f t="shared" si="1208"/>
        <v>#DIV/0!</v>
      </c>
      <c r="EP212" s="323">
        <f t="shared" si="1121"/>
        <v>694.53207999999995</v>
      </c>
      <c r="EQ212" s="323">
        <f t="shared" si="1175"/>
        <v>603.79999999999995</v>
      </c>
      <c r="ER212" s="323">
        <v>90.732079999999996</v>
      </c>
      <c r="ES212" s="358">
        <f t="shared" si="1209"/>
        <v>0.86936229065185877</v>
      </c>
      <c r="ET212" s="358">
        <f t="shared" si="1210"/>
        <v>0.13063770934814128</v>
      </c>
      <c r="EU212" s="323">
        <f t="shared" si="1122"/>
        <v>694.53207999999995</v>
      </c>
      <c r="EV212" s="323">
        <f t="shared" si="1211"/>
        <v>603.79999999999995</v>
      </c>
      <c r="EW212" s="323">
        <f t="shared" si="1212"/>
        <v>90.732079999999996</v>
      </c>
      <c r="EX212" s="358">
        <f t="shared" si="1213"/>
        <v>0.86936229065185877</v>
      </c>
      <c r="EY212" s="358">
        <f t="shared" si="1214"/>
        <v>0.13063770934814128</v>
      </c>
      <c r="EZ212" s="358">
        <v>8.3699999999999997E-2</v>
      </c>
      <c r="FA212" s="323">
        <f t="shared" si="1215"/>
        <v>603.79999999999995</v>
      </c>
      <c r="FB212" s="323">
        <f t="shared" si="1123"/>
        <v>0</v>
      </c>
      <c r="FC212" s="279"/>
      <c r="FD212" s="279"/>
      <c r="FE212" s="279"/>
      <c r="FF212" s="366"/>
      <c r="FG212" s="366"/>
      <c r="FH212" s="279"/>
      <c r="FI212" s="279"/>
      <c r="FJ212" s="279"/>
      <c r="FK212" s="366"/>
      <c r="FL212" s="366"/>
      <c r="FM212" s="366">
        <v>8.3699999999999997E-2</v>
      </c>
      <c r="FN212" s="280"/>
      <c r="FO212" s="279"/>
    </row>
    <row r="213" spans="2:171" s="40" customFormat="1" ht="15.6" customHeight="1" x14ac:dyDescent="0.25">
      <c r="B213" s="32"/>
      <c r="C213" s="33"/>
      <c r="D213" s="33">
        <v>1</v>
      </c>
      <c r="E213" s="434">
        <v>179</v>
      </c>
      <c r="F213" s="32"/>
      <c r="G213" s="33"/>
      <c r="H213" s="33">
        <v>1</v>
      </c>
      <c r="I213" s="436"/>
      <c r="J213" s="436"/>
      <c r="K213" s="436"/>
      <c r="L213" s="568"/>
      <c r="M213" s="434">
        <v>176</v>
      </c>
      <c r="N213" s="435" t="s">
        <v>171</v>
      </c>
      <c r="O213" s="435"/>
      <c r="P213" s="24">
        <f t="shared" si="1120"/>
        <v>0</v>
      </c>
      <c r="Q213" s="435" t="s">
        <v>491</v>
      </c>
      <c r="R213" s="435" t="s">
        <v>488</v>
      </c>
      <c r="S213" s="435" t="s">
        <v>491</v>
      </c>
      <c r="T213" s="435" t="s">
        <v>488</v>
      </c>
      <c r="U213" s="161">
        <v>1</v>
      </c>
      <c r="V213" s="434">
        <v>1</v>
      </c>
      <c r="W213" s="459">
        <f t="shared" si="1183"/>
        <v>767.5</v>
      </c>
      <c r="X213" s="480"/>
      <c r="Y213" s="460">
        <v>767.5</v>
      </c>
      <c r="Z213" s="480"/>
      <c r="AA213" s="460"/>
      <c r="AB213" s="459">
        <f t="shared" si="1184"/>
        <v>775.1</v>
      </c>
      <c r="AC213" s="480"/>
      <c r="AD213" s="460">
        <v>775.1</v>
      </c>
      <c r="AE213" s="480"/>
      <c r="AF213" s="460"/>
      <c r="AG213" s="459">
        <f t="shared" si="1185"/>
        <v>775.1</v>
      </c>
      <c r="AH213" s="480"/>
      <c r="AI213" s="460">
        <v>775.1</v>
      </c>
      <c r="AJ213" s="480"/>
      <c r="AK213" s="460"/>
      <c r="AL213" s="459">
        <f t="shared" si="1186"/>
        <v>337</v>
      </c>
      <c r="AM213" s="480"/>
      <c r="AN213" s="460">
        <v>337</v>
      </c>
      <c r="AO213" s="480"/>
      <c r="AP213" s="460"/>
      <c r="AQ213" s="383" t="s">
        <v>525</v>
      </c>
      <c r="AR213" s="459">
        <f t="shared" si="1187"/>
        <v>752.45097999999996</v>
      </c>
      <c r="AS213" s="473"/>
      <c r="AT213" s="462">
        <f>767.5-15.04902</f>
        <v>752.45097999999996</v>
      </c>
      <c r="AU213" s="473"/>
      <c r="AV213" s="473"/>
      <c r="AW213" s="459" t="e">
        <f t="shared" si="1188"/>
        <v>#REF!</v>
      </c>
      <c r="AX213" s="459" t="e">
        <f>#REF!-AS213</f>
        <v>#REF!</v>
      </c>
      <c r="AY213" s="459" t="e">
        <f>#REF!-AT213</f>
        <v>#REF!</v>
      </c>
      <c r="AZ213" s="459" t="e">
        <f>#REF!-AU213</f>
        <v>#REF!</v>
      </c>
      <c r="BA213" s="459" t="e">
        <f>#REF!-AV213</f>
        <v>#REF!</v>
      </c>
      <c r="BB213" s="459">
        <f t="shared" si="1189"/>
        <v>775.1</v>
      </c>
      <c r="BC213" s="473"/>
      <c r="BD213" s="460">
        <f>337+438.1</f>
        <v>775.1</v>
      </c>
      <c r="BE213" s="473"/>
      <c r="BF213" s="473"/>
      <c r="BG213" s="459">
        <f t="shared" si="1190"/>
        <v>0</v>
      </c>
      <c r="BH213" s="473"/>
      <c r="BI213" s="473"/>
      <c r="BJ213" s="473"/>
      <c r="BK213" s="473"/>
      <c r="BL213" s="459">
        <f t="shared" si="1191"/>
        <v>752.45097999999996</v>
      </c>
      <c r="BM213" s="473"/>
      <c r="BN213" s="460">
        <v>752.45097999999996</v>
      </c>
      <c r="BO213" s="480"/>
      <c r="BP213" s="480"/>
      <c r="BQ213" s="459">
        <f t="shared" si="1192"/>
        <v>752.45097999999996</v>
      </c>
      <c r="BR213" s="480"/>
      <c r="BS213" s="460">
        <v>752.45097999999996</v>
      </c>
      <c r="BT213" s="480"/>
      <c r="BU213" s="480"/>
      <c r="BV213" s="459">
        <f t="shared" si="1193"/>
        <v>188.11275000000001</v>
      </c>
      <c r="BW213" s="473"/>
      <c r="BX213" s="473">
        <v>188.11275000000001</v>
      </c>
      <c r="BY213" s="473"/>
      <c r="BZ213" s="473"/>
      <c r="CA213" s="464">
        <f t="shared" si="1194"/>
        <v>940.56372999999996</v>
      </c>
      <c r="CB213" s="459">
        <f t="shared" si="1195"/>
        <v>940.56372999999996</v>
      </c>
      <c r="CC213" s="459">
        <f t="shared" si="1196"/>
        <v>0</v>
      </c>
      <c r="CD213" s="459">
        <f t="shared" si="1196"/>
        <v>940.56372999999996</v>
      </c>
      <c r="CE213" s="459">
        <f t="shared" si="1196"/>
        <v>0</v>
      </c>
      <c r="CF213" s="459">
        <f t="shared" si="1196"/>
        <v>0</v>
      </c>
      <c r="CG213" s="459">
        <f t="shared" si="1197"/>
        <v>0</v>
      </c>
      <c r="CH213" s="459">
        <f t="shared" si="1198"/>
        <v>0</v>
      </c>
      <c r="CI213" s="459">
        <f t="shared" si="1198"/>
        <v>0</v>
      </c>
      <c r="CJ213" s="459">
        <f t="shared" si="1198"/>
        <v>0</v>
      </c>
      <c r="CK213" s="459">
        <f t="shared" si="1198"/>
        <v>0</v>
      </c>
      <c r="CL213" s="465"/>
      <c r="CM213" s="481"/>
      <c r="CN213" s="481"/>
      <c r="CO213" s="459">
        <f t="shared" si="1199"/>
        <v>0</v>
      </c>
      <c r="CP213" s="473"/>
      <c r="CQ213" s="473"/>
      <c r="CR213" s="473"/>
      <c r="CS213" s="473"/>
      <c r="CT213" s="459">
        <f t="shared" si="1200"/>
        <v>0</v>
      </c>
      <c r="CU213" s="473"/>
      <c r="CV213" s="473"/>
      <c r="CW213" s="473"/>
      <c r="CX213" s="473"/>
      <c r="CY213" s="459">
        <f t="shared" si="1201"/>
        <v>0</v>
      </c>
      <c r="CZ213" s="459">
        <f t="shared" si="1202"/>
        <v>0</v>
      </c>
      <c r="DA213" s="459">
        <f t="shared" si="1202"/>
        <v>0</v>
      </c>
      <c r="DB213" s="459">
        <f t="shared" si="1202"/>
        <v>0</v>
      </c>
      <c r="DC213" s="459">
        <f t="shared" si="1202"/>
        <v>0</v>
      </c>
      <c r="DD213" s="473"/>
      <c r="DE213" s="473"/>
      <c r="DF213" s="473"/>
      <c r="DG213" s="459">
        <f t="shared" si="1203"/>
        <v>0</v>
      </c>
      <c r="DH213" s="467"/>
      <c r="DI213" s="459">
        <f t="shared" si="1204"/>
        <v>752.45097999999996</v>
      </c>
      <c r="DJ213" s="459">
        <f t="shared" si="1205"/>
        <v>752.45097999999996</v>
      </c>
      <c r="DK213" s="467"/>
      <c r="DL213" s="473"/>
      <c r="DM213" s="473"/>
      <c r="DN213" s="467"/>
      <c r="DO213" s="473"/>
      <c r="DP213" s="467"/>
      <c r="DQ213" s="467"/>
      <c r="DR213" s="459">
        <f t="shared" si="1100"/>
        <v>752.45097999999996</v>
      </c>
      <c r="DS213" s="480"/>
      <c r="DT213" s="460">
        <v>752.45097999999996</v>
      </c>
      <c r="DU213" s="480"/>
      <c r="DV213" s="480"/>
      <c r="DW213" s="459">
        <f t="shared" si="1119"/>
        <v>188.11275000000001</v>
      </c>
      <c r="DX213" s="473"/>
      <c r="DY213" s="473">
        <v>188.11275000000001</v>
      </c>
      <c r="DZ213" s="473"/>
      <c r="EA213" s="149"/>
      <c r="EB213" s="279"/>
      <c r="EC213" s="282"/>
      <c r="ED213" s="282"/>
      <c r="EE213" s="367"/>
      <c r="EF213" s="367"/>
      <c r="EG213" s="279"/>
      <c r="EH213" s="282"/>
      <c r="EI213" s="282"/>
      <c r="EJ213" s="367"/>
      <c r="EK213" s="367"/>
      <c r="EL213" s="367">
        <v>5.7700000000000001E-2</v>
      </c>
      <c r="EM213" s="283"/>
      <c r="EN213" s="426"/>
      <c r="EO213" s="266" t="e">
        <f t="shared" si="1208"/>
        <v>#DIV/0!</v>
      </c>
      <c r="EP213" s="323">
        <f t="shared" si="1121"/>
        <v>940.56372999999996</v>
      </c>
      <c r="EQ213" s="325">
        <f t="shared" si="1175"/>
        <v>752.45097999999996</v>
      </c>
      <c r="ER213" s="325">
        <v>188.11275000000001</v>
      </c>
      <c r="ES213" s="361">
        <f t="shared" si="1209"/>
        <v>0.79999999574723124</v>
      </c>
      <c r="ET213" s="361">
        <f t="shared" si="1210"/>
        <v>0.20000000425276873</v>
      </c>
      <c r="EU213" s="323">
        <f t="shared" si="1122"/>
        <v>940.56372999999996</v>
      </c>
      <c r="EV213" s="325">
        <f t="shared" si="1211"/>
        <v>752.45097999999996</v>
      </c>
      <c r="EW213" s="325">
        <f t="shared" si="1212"/>
        <v>188.11275000000001</v>
      </c>
      <c r="EX213" s="361">
        <f t="shared" si="1213"/>
        <v>0.79999999574723124</v>
      </c>
      <c r="EY213" s="361">
        <f t="shared" si="1214"/>
        <v>0.20000000425276873</v>
      </c>
      <c r="EZ213" s="361">
        <v>0.19220000000000001</v>
      </c>
      <c r="FA213" s="356">
        <f t="shared" si="1215"/>
        <v>752.45097999999996</v>
      </c>
      <c r="FB213" s="356">
        <f t="shared" si="1123"/>
        <v>0</v>
      </c>
      <c r="FC213" s="279"/>
      <c r="FD213" s="282"/>
      <c r="FE213" s="282"/>
      <c r="FF213" s="367"/>
      <c r="FG213" s="367"/>
      <c r="FH213" s="279"/>
      <c r="FI213" s="282"/>
      <c r="FJ213" s="282"/>
      <c r="FK213" s="367"/>
      <c r="FL213" s="367"/>
      <c r="FM213" s="367">
        <v>0.19220000000000001</v>
      </c>
      <c r="FN213" s="283"/>
      <c r="FO213" s="426"/>
    </row>
    <row r="214" spans="2:171" s="40" customFormat="1" ht="15.75" customHeight="1" x14ac:dyDescent="0.25">
      <c r="B214" s="32"/>
      <c r="C214" s="33"/>
      <c r="D214" s="33">
        <v>1</v>
      </c>
      <c r="E214" s="434">
        <v>180</v>
      </c>
      <c r="F214" s="32"/>
      <c r="G214" s="33"/>
      <c r="H214" s="33"/>
      <c r="I214" s="434"/>
      <c r="J214" s="435"/>
      <c r="K214" s="435"/>
      <c r="L214" s="53"/>
      <c r="M214" s="434">
        <v>177</v>
      </c>
      <c r="N214" s="435" t="s">
        <v>143</v>
      </c>
      <c r="O214" s="435"/>
      <c r="P214" s="24">
        <f t="shared" si="1120"/>
        <v>0</v>
      </c>
      <c r="Q214" s="435" t="s">
        <v>491</v>
      </c>
      <c r="R214" s="435" t="s">
        <v>488</v>
      </c>
      <c r="S214" s="435" t="s">
        <v>491</v>
      </c>
      <c r="T214" s="435"/>
      <c r="U214" s="161">
        <v>1</v>
      </c>
      <c r="V214" s="434"/>
      <c r="W214" s="459">
        <f t="shared" si="1183"/>
        <v>1150.2</v>
      </c>
      <c r="X214" s="459"/>
      <c r="Y214" s="460">
        <v>1150.2</v>
      </c>
      <c r="Z214" s="459"/>
      <c r="AA214" s="460"/>
      <c r="AB214" s="459">
        <f t="shared" si="1184"/>
        <v>1161.5</v>
      </c>
      <c r="AC214" s="459"/>
      <c r="AD214" s="460">
        <v>1161.5</v>
      </c>
      <c r="AE214" s="459"/>
      <c r="AF214" s="460"/>
      <c r="AG214" s="459">
        <f t="shared" si="1185"/>
        <v>1161.5</v>
      </c>
      <c r="AH214" s="459"/>
      <c r="AI214" s="460">
        <v>1161.5</v>
      </c>
      <c r="AJ214" s="459"/>
      <c r="AK214" s="460"/>
      <c r="AL214" s="459">
        <f t="shared" si="1186"/>
        <v>505</v>
      </c>
      <c r="AM214" s="459"/>
      <c r="AN214" s="460">
        <v>505</v>
      </c>
      <c r="AO214" s="459"/>
      <c r="AP214" s="460"/>
      <c r="AQ214" s="383" t="s">
        <v>398</v>
      </c>
      <c r="AR214" s="459">
        <f t="shared" si="1187"/>
        <v>1150.2</v>
      </c>
      <c r="AS214" s="459"/>
      <c r="AT214" s="462">
        <v>1150.2</v>
      </c>
      <c r="AU214" s="459"/>
      <c r="AV214" s="459"/>
      <c r="AW214" s="459" t="e">
        <f t="shared" si="1188"/>
        <v>#REF!</v>
      </c>
      <c r="AX214" s="459" t="e">
        <f>#REF!-AS214</f>
        <v>#REF!</v>
      </c>
      <c r="AY214" s="459" t="e">
        <f>#REF!-AT214</f>
        <v>#REF!</v>
      </c>
      <c r="AZ214" s="459" t="e">
        <f>#REF!-AU214</f>
        <v>#REF!</v>
      </c>
      <c r="BA214" s="459" t="e">
        <f>#REF!-AV214</f>
        <v>#REF!</v>
      </c>
      <c r="BB214" s="459">
        <f t="shared" si="1189"/>
        <v>1161.5</v>
      </c>
      <c r="BC214" s="459"/>
      <c r="BD214" s="460">
        <v>1161.5</v>
      </c>
      <c r="BE214" s="459"/>
      <c r="BF214" s="459"/>
      <c r="BG214" s="459">
        <f t="shared" si="1190"/>
        <v>0</v>
      </c>
      <c r="BH214" s="459"/>
      <c r="BI214" s="459"/>
      <c r="BJ214" s="459"/>
      <c r="BK214" s="459"/>
      <c r="BL214" s="459">
        <f t="shared" si="1191"/>
        <v>1150.2</v>
      </c>
      <c r="BM214" s="459"/>
      <c r="BN214" s="462">
        <v>1150.2</v>
      </c>
      <c r="BO214" s="459"/>
      <c r="BP214" s="459"/>
      <c r="BQ214" s="459">
        <f t="shared" si="1192"/>
        <v>1150.2</v>
      </c>
      <c r="BR214" s="459"/>
      <c r="BS214" s="462">
        <v>1150.2</v>
      </c>
      <c r="BT214" s="459"/>
      <c r="BU214" s="459"/>
      <c r="BV214" s="459">
        <f t="shared" si="1193"/>
        <v>288.35640000000001</v>
      </c>
      <c r="BW214" s="459"/>
      <c r="BX214" s="459">
        <v>288.35640000000001</v>
      </c>
      <c r="BY214" s="459"/>
      <c r="BZ214" s="459"/>
      <c r="CA214" s="464">
        <f t="shared" si="1194"/>
        <v>1438.5563999999999</v>
      </c>
      <c r="CB214" s="459">
        <f t="shared" si="1195"/>
        <v>1438.5563999999999</v>
      </c>
      <c r="CC214" s="459">
        <f t="shared" si="1196"/>
        <v>0</v>
      </c>
      <c r="CD214" s="459">
        <f t="shared" si="1196"/>
        <v>1438.5563999999999</v>
      </c>
      <c r="CE214" s="459">
        <f t="shared" si="1196"/>
        <v>0</v>
      </c>
      <c r="CF214" s="459">
        <f t="shared" si="1196"/>
        <v>0</v>
      </c>
      <c r="CG214" s="459">
        <f t="shared" si="1197"/>
        <v>0</v>
      </c>
      <c r="CH214" s="459">
        <f t="shared" si="1198"/>
        <v>0</v>
      </c>
      <c r="CI214" s="459">
        <f t="shared" si="1198"/>
        <v>0</v>
      </c>
      <c r="CJ214" s="459">
        <f t="shared" si="1198"/>
        <v>0</v>
      </c>
      <c r="CK214" s="459">
        <f t="shared" si="1198"/>
        <v>0</v>
      </c>
      <c r="CL214" s="465"/>
      <c r="CM214" s="466"/>
      <c r="CN214" s="466"/>
      <c r="CO214" s="459">
        <f t="shared" si="1199"/>
        <v>0</v>
      </c>
      <c r="CP214" s="459"/>
      <c r="CQ214" s="459"/>
      <c r="CR214" s="459"/>
      <c r="CS214" s="459"/>
      <c r="CT214" s="459">
        <f t="shared" si="1200"/>
        <v>0</v>
      </c>
      <c r="CU214" s="459"/>
      <c r="CV214" s="459"/>
      <c r="CW214" s="459"/>
      <c r="CX214" s="459"/>
      <c r="CY214" s="459">
        <f t="shared" si="1201"/>
        <v>0</v>
      </c>
      <c r="CZ214" s="459">
        <f t="shared" si="1202"/>
        <v>0</v>
      </c>
      <c r="DA214" s="459">
        <f t="shared" si="1202"/>
        <v>0</v>
      </c>
      <c r="DB214" s="459">
        <f t="shared" si="1202"/>
        <v>0</v>
      </c>
      <c r="DC214" s="459">
        <f t="shared" si="1202"/>
        <v>0</v>
      </c>
      <c r="DD214" s="459"/>
      <c r="DE214" s="459"/>
      <c r="DF214" s="459"/>
      <c r="DG214" s="459">
        <f t="shared" si="1203"/>
        <v>0</v>
      </c>
      <c r="DH214" s="467"/>
      <c r="DI214" s="459">
        <f t="shared" si="1204"/>
        <v>1150.2</v>
      </c>
      <c r="DJ214" s="459">
        <f t="shared" si="1205"/>
        <v>1150.2</v>
      </c>
      <c r="DK214" s="467"/>
      <c r="DL214" s="459"/>
      <c r="DM214" s="459"/>
      <c r="DN214" s="467"/>
      <c r="DO214" s="459"/>
      <c r="DP214" s="467"/>
      <c r="DQ214" s="467"/>
      <c r="DR214" s="459">
        <f t="shared" si="1100"/>
        <v>1150.2</v>
      </c>
      <c r="DS214" s="459"/>
      <c r="DT214" s="462">
        <v>1150.2</v>
      </c>
      <c r="DU214" s="459"/>
      <c r="DV214" s="459"/>
      <c r="DW214" s="459">
        <f t="shared" si="1119"/>
        <v>288.35640000000001</v>
      </c>
      <c r="DX214" s="459"/>
      <c r="DY214" s="459">
        <v>288.35640000000001</v>
      </c>
      <c r="DZ214" s="459"/>
      <c r="EA214" s="146"/>
      <c r="EB214" s="279"/>
      <c r="EC214" s="279"/>
      <c r="ED214" s="279"/>
      <c r="EE214" s="366"/>
      <c r="EF214" s="366"/>
      <c r="EG214" s="279"/>
      <c r="EH214" s="279"/>
      <c r="EI214" s="279"/>
      <c r="EJ214" s="366"/>
      <c r="EK214" s="366"/>
      <c r="EL214" s="366">
        <v>2.8400000000000002E-2</v>
      </c>
      <c r="EM214" s="280"/>
      <c r="EN214" s="279"/>
      <c r="EO214" s="265" t="e">
        <f t="shared" si="1208"/>
        <v>#DIV/0!</v>
      </c>
      <c r="EP214" s="323">
        <f t="shared" si="1121"/>
        <v>1438.5563999999999</v>
      </c>
      <c r="EQ214" s="323">
        <f t="shared" si="1175"/>
        <v>1150.2</v>
      </c>
      <c r="ER214" s="323">
        <v>288.35640000000001</v>
      </c>
      <c r="ES214" s="358">
        <f t="shared" si="1209"/>
        <v>0.79955155042930548</v>
      </c>
      <c r="ET214" s="358">
        <f t="shared" si="1210"/>
        <v>0.20044844957069463</v>
      </c>
      <c r="EU214" s="323">
        <f t="shared" si="1122"/>
        <v>1438.5563999999999</v>
      </c>
      <c r="EV214" s="323">
        <f t="shared" si="1211"/>
        <v>1150.2</v>
      </c>
      <c r="EW214" s="323">
        <f t="shared" si="1212"/>
        <v>288.35640000000001</v>
      </c>
      <c r="EX214" s="358">
        <f t="shared" si="1213"/>
        <v>0.79955155042930548</v>
      </c>
      <c r="EY214" s="358">
        <f t="shared" si="1214"/>
        <v>0.20044844957069463</v>
      </c>
      <c r="EZ214" s="358">
        <v>9.4700000000000006E-2</v>
      </c>
      <c r="FA214" s="323">
        <f t="shared" si="1215"/>
        <v>1150.2</v>
      </c>
      <c r="FB214" s="323">
        <f t="shared" si="1123"/>
        <v>0</v>
      </c>
      <c r="FC214" s="279"/>
      <c r="FD214" s="279"/>
      <c r="FE214" s="279"/>
      <c r="FF214" s="366"/>
      <c r="FG214" s="366"/>
      <c r="FH214" s="279"/>
      <c r="FI214" s="279"/>
      <c r="FJ214" s="279"/>
      <c r="FK214" s="366"/>
      <c r="FL214" s="366"/>
      <c r="FM214" s="366">
        <v>9.4700000000000006E-2</v>
      </c>
      <c r="FN214" s="280"/>
      <c r="FO214" s="279"/>
    </row>
    <row r="215" spans="2:171" s="40" customFormat="1" ht="15.75" customHeight="1" x14ac:dyDescent="0.25">
      <c r="B215" s="32"/>
      <c r="C215" s="33">
        <v>1</v>
      </c>
      <c r="D215" s="33"/>
      <c r="E215" s="434">
        <v>181</v>
      </c>
      <c r="F215" s="32"/>
      <c r="G215" s="33">
        <v>1</v>
      </c>
      <c r="H215" s="33">
        <v>1</v>
      </c>
      <c r="I215" s="434"/>
      <c r="J215" s="435"/>
      <c r="K215" s="435"/>
      <c r="L215" s="53"/>
      <c r="M215" s="434">
        <v>178</v>
      </c>
      <c r="N215" s="435" t="s">
        <v>64</v>
      </c>
      <c r="O215" s="435"/>
      <c r="P215" s="24">
        <f t="shared" si="1120"/>
        <v>0</v>
      </c>
      <c r="Q215" s="435" t="s">
        <v>491</v>
      </c>
      <c r="R215" s="435" t="s">
        <v>488</v>
      </c>
      <c r="S215" s="435" t="s">
        <v>491</v>
      </c>
      <c r="T215" s="435" t="s">
        <v>488</v>
      </c>
      <c r="U215" s="161">
        <v>1</v>
      </c>
      <c r="V215" s="434"/>
      <c r="W215" s="459">
        <f t="shared" si="1183"/>
        <v>19613.3</v>
      </c>
      <c r="X215" s="459"/>
      <c r="Y215" s="459">
        <v>3213.3</v>
      </c>
      <c r="Z215" s="459">
        <v>16400</v>
      </c>
      <c r="AA215" s="460"/>
      <c r="AB215" s="459">
        <f t="shared" si="1184"/>
        <v>4087.1</v>
      </c>
      <c r="AC215" s="459"/>
      <c r="AD215" s="459">
        <v>4087.1</v>
      </c>
      <c r="AE215" s="459"/>
      <c r="AF215" s="460"/>
      <c r="AG215" s="459">
        <f t="shared" si="1185"/>
        <v>4087.1</v>
      </c>
      <c r="AH215" s="459"/>
      <c r="AI215" s="459">
        <v>4087.1</v>
      </c>
      <c r="AJ215" s="459"/>
      <c r="AK215" s="460"/>
      <c r="AL215" s="459">
        <f t="shared" si="1186"/>
        <v>748</v>
      </c>
      <c r="AM215" s="459"/>
      <c r="AN215" s="459">
        <v>748</v>
      </c>
      <c r="AO215" s="459"/>
      <c r="AP215" s="460"/>
      <c r="AQ215" s="383" t="s">
        <v>383</v>
      </c>
      <c r="AR215" s="459">
        <f t="shared" si="1187"/>
        <v>19613.3</v>
      </c>
      <c r="AS215" s="459"/>
      <c r="AT215" s="469">
        <v>3213.3</v>
      </c>
      <c r="AU215" s="459">
        <v>16400</v>
      </c>
      <c r="AV215" s="460"/>
      <c r="AW215" s="459" t="e">
        <f t="shared" si="1188"/>
        <v>#REF!</v>
      </c>
      <c r="AX215" s="459" t="e">
        <f>#REF!-AS215</f>
        <v>#REF!</v>
      </c>
      <c r="AY215" s="459" t="e">
        <f>#REF!-AT215</f>
        <v>#REF!</v>
      </c>
      <c r="AZ215" s="459" t="e">
        <f>#REF!-AU215</f>
        <v>#REF!</v>
      </c>
      <c r="BA215" s="459" t="e">
        <f>#REF!-AV215</f>
        <v>#REF!</v>
      </c>
      <c r="BB215" s="459">
        <f t="shared" si="1189"/>
        <v>4439.8999999999996</v>
      </c>
      <c r="BC215" s="459"/>
      <c r="BD215" s="459">
        <f>748+3339.1+352.8</f>
        <v>4439.8999999999996</v>
      </c>
      <c r="BE215" s="459"/>
      <c r="BF215" s="460"/>
      <c r="BG215" s="459">
        <f t="shared" si="1190"/>
        <v>0</v>
      </c>
      <c r="BH215" s="459"/>
      <c r="BI215" s="461"/>
      <c r="BJ215" s="459"/>
      <c r="BK215" s="460"/>
      <c r="BL215" s="459">
        <f t="shared" si="1191"/>
        <v>19613.3</v>
      </c>
      <c r="BM215" s="459"/>
      <c r="BN215" s="459">
        <f>1651.242+1562.058</f>
        <v>3213.3</v>
      </c>
      <c r="BO215" s="459">
        <f>8183.08+5198.80494+3018.11506</f>
        <v>16400</v>
      </c>
      <c r="BP215" s="470"/>
      <c r="BQ215" s="459">
        <f t="shared" si="1192"/>
        <v>19613.3</v>
      </c>
      <c r="BR215" s="459"/>
      <c r="BS215" s="459">
        <f>1651.242+1562.058</f>
        <v>3213.3</v>
      </c>
      <c r="BT215" s="459">
        <f>8183.08+8216.92</f>
        <v>16400</v>
      </c>
      <c r="BU215" s="470"/>
      <c r="BV215" s="459">
        <f t="shared" si="1193"/>
        <v>2089.0624399999997</v>
      </c>
      <c r="BW215" s="459"/>
      <c r="BX215" s="459">
        <f>159.60235+150.98167</f>
        <v>310.58402000000001</v>
      </c>
      <c r="BY215" s="459">
        <f>887.6055+890.87292</f>
        <v>1778.4784199999999</v>
      </c>
      <c r="BZ215" s="459"/>
      <c r="CA215" s="464">
        <f t="shared" si="1194"/>
        <v>21702.362440000001</v>
      </c>
      <c r="CB215" s="459">
        <f t="shared" si="1195"/>
        <v>21702.362440000001</v>
      </c>
      <c r="CC215" s="459">
        <f t="shared" si="1196"/>
        <v>0</v>
      </c>
      <c r="CD215" s="459">
        <f t="shared" si="1196"/>
        <v>3523.8840200000004</v>
      </c>
      <c r="CE215" s="459">
        <f t="shared" si="1196"/>
        <v>18178.478419999999</v>
      </c>
      <c r="CF215" s="459">
        <f t="shared" si="1196"/>
        <v>0</v>
      </c>
      <c r="CG215" s="459">
        <f t="shared" si="1197"/>
        <v>0</v>
      </c>
      <c r="CH215" s="459">
        <f t="shared" si="1198"/>
        <v>0</v>
      </c>
      <c r="CI215" s="459">
        <f t="shared" si="1198"/>
        <v>0</v>
      </c>
      <c r="CJ215" s="459">
        <f t="shared" si="1198"/>
        <v>0</v>
      </c>
      <c r="CK215" s="459">
        <f t="shared" si="1198"/>
        <v>0</v>
      </c>
      <c r="CL215" s="465"/>
      <c r="CM215" s="466"/>
      <c r="CN215" s="466"/>
      <c r="CO215" s="459">
        <f t="shared" si="1199"/>
        <v>0</v>
      </c>
      <c r="CP215" s="459"/>
      <c r="CQ215" s="461"/>
      <c r="CR215" s="459"/>
      <c r="CS215" s="460"/>
      <c r="CT215" s="459">
        <f t="shared" si="1200"/>
        <v>0</v>
      </c>
      <c r="CU215" s="459"/>
      <c r="CV215" s="461"/>
      <c r="CW215" s="459"/>
      <c r="CX215" s="460"/>
      <c r="CY215" s="459">
        <f t="shared" si="1201"/>
        <v>0</v>
      </c>
      <c r="CZ215" s="459">
        <f t="shared" si="1202"/>
        <v>0</v>
      </c>
      <c r="DA215" s="459">
        <f t="shared" si="1202"/>
        <v>0</v>
      </c>
      <c r="DB215" s="459">
        <f t="shared" si="1202"/>
        <v>0</v>
      </c>
      <c r="DC215" s="459">
        <f t="shared" si="1202"/>
        <v>0</v>
      </c>
      <c r="DD215" s="459"/>
      <c r="DE215" s="459"/>
      <c r="DF215" s="459"/>
      <c r="DG215" s="459">
        <f t="shared" si="1203"/>
        <v>0</v>
      </c>
      <c r="DH215" s="467"/>
      <c r="DI215" s="459">
        <f t="shared" si="1204"/>
        <v>19613.3</v>
      </c>
      <c r="DJ215" s="459">
        <f t="shared" si="1205"/>
        <v>19613.3</v>
      </c>
      <c r="DK215" s="467"/>
      <c r="DL215" s="459"/>
      <c r="DM215" s="459"/>
      <c r="DN215" s="467"/>
      <c r="DO215" s="459"/>
      <c r="DP215" s="467"/>
      <c r="DQ215" s="467"/>
      <c r="DR215" s="459">
        <f t="shared" si="1100"/>
        <v>19613.3</v>
      </c>
      <c r="DS215" s="459"/>
      <c r="DT215" s="459">
        <f>1651.242+1562.058</f>
        <v>3213.3</v>
      </c>
      <c r="DU215" s="459">
        <f>8183.08+8216.92</f>
        <v>16400</v>
      </c>
      <c r="DV215" s="470"/>
      <c r="DW215" s="459">
        <f t="shared" si="1119"/>
        <v>2089.0624399999997</v>
      </c>
      <c r="DX215" s="459"/>
      <c r="DY215" s="459">
        <f>159.60235+150.98167</f>
        <v>310.58402000000001</v>
      </c>
      <c r="DZ215" s="459">
        <f>887.6055+890.87292</f>
        <v>1778.4784199999999</v>
      </c>
      <c r="EA215" s="146"/>
      <c r="EB215" s="279"/>
      <c r="EC215" s="279"/>
      <c r="ED215" s="279"/>
      <c r="EE215" s="366"/>
      <c r="EF215" s="366"/>
      <c r="EG215" s="279"/>
      <c r="EH215" s="279"/>
      <c r="EI215" s="279"/>
      <c r="EJ215" s="366"/>
      <c r="EK215" s="366"/>
      <c r="EL215" s="366">
        <v>2.1600000000000001E-2</v>
      </c>
      <c r="EM215" s="280"/>
      <c r="EN215" s="279"/>
      <c r="EO215" s="265" t="e">
        <f t="shared" si="1208"/>
        <v>#DIV/0!</v>
      </c>
      <c r="EP215" s="323">
        <f t="shared" si="1121"/>
        <v>3523.8840200000004</v>
      </c>
      <c r="EQ215" s="323">
        <f t="shared" si="1175"/>
        <v>3213.3</v>
      </c>
      <c r="ER215" s="323">
        <v>310.58402000000001</v>
      </c>
      <c r="ES215" s="358">
        <f t="shared" si="1209"/>
        <v>0.91186315490598913</v>
      </c>
      <c r="ET215" s="358">
        <f t="shared" si="1210"/>
        <v>8.8136845094010777E-2</v>
      </c>
      <c r="EU215" s="323">
        <f t="shared" si="1122"/>
        <v>3523.8840200000004</v>
      </c>
      <c r="EV215" s="323">
        <f t="shared" si="1211"/>
        <v>3213.3</v>
      </c>
      <c r="EW215" s="323">
        <f t="shared" si="1212"/>
        <v>310.58402000000001</v>
      </c>
      <c r="EX215" s="358">
        <f t="shared" si="1213"/>
        <v>0.91186315490598913</v>
      </c>
      <c r="EY215" s="358">
        <f t="shared" si="1214"/>
        <v>8.8136845094010777E-2</v>
      </c>
      <c r="EZ215" s="358">
        <v>7.1900000000000006E-2</v>
      </c>
      <c r="FA215" s="323">
        <f t="shared" si="1215"/>
        <v>3213.3</v>
      </c>
      <c r="FB215" s="323">
        <f t="shared" si="1123"/>
        <v>0</v>
      </c>
      <c r="FC215" s="279">
        <f t="shared" ref="FC215" si="1227">FD215+FE215</f>
        <v>18178.478419999999</v>
      </c>
      <c r="FD215" s="279">
        <f t="shared" si="1179"/>
        <v>16400</v>
      </c>
      <c r="FE215" s="279">
        <v>1778.4784199999999</v>
      </c>
      <c r="FF215" s="366">
        <f t="shared" ref="FF215" si="1228">FD215/FC215</f>
        <v>0.90216571602366269</v>
      </c>
      <c r="FG215" s="366">
        <f t="shared" ref="FG215" si="1229">FE215/FC215</f>
        <v>9.7834283976337325E-2</v>
      </c>
      <c r="FH215" s="279">
        <f t="shared" si="1181"/>
        <v>18178.478419999999</v>
      </c>
      <c r="FI215" s="279">
        <f t="shared" ref="FI215:FI258" si="1230">DU215</f>
        <v>16400</v>
      </c>
      <c r="FJ215" s="279">
        <f t="shared" ref="FJ215:FJ258" si="1231">DZ215</f>
        <v>1778.4784199999999</v>
      </c>
      <c r="FK215" s="366">
        <f t="shared" ref="FK215" si="1232">FI215/FH215</f>
        <v>0.90216571602366269</v>
      </c>
      <c r="FL215" s="366">
        <f t="shared" ref="FL215" si="1233">FJ215/FH215</f>
        <v>9.7834283976337325E-2</v>
      </c>
      <c r="FM215" s="366">
        <v>7.1900000000000006E-2</v>
      </c>
      <c r="FN215" s="280">
        <f t="shared" si="998"/>
        <v>16400</v>
      </c>
      <c r="FO215" s="279">
        <f t="shared" si="1182"/>
        <v>0</v>
      </c>
    </row>
    <row r="216" spans="2:171" s="40" customFormat="1" ht="15.75" customHeight="1" x14ac:dyDescent="0.25">
      <c r="B216" s="32"/>
      <c r="C216" s="33"/>
      <c r="D216" s="33">
        <v>1</v>
      </c>
      <c r="E216" s="434">
        <v>182</v>
      </c>
      <c r="F216" s="32"/>
      <c r="G216" s="33"/>
      <c r="H216" s="33">
        <v>1</v>
      </c>
      <c r="I216" s="434"/>
      <c r="J216" s="435"/>
      <c r="K216" s="435"/>
      <c r="L216" s="53"/>
      <c r="M216" s="434">
        <v>179</v>
      </c>
      <c r="N216" s="435" t="s">
        <v>172</v>
      </c>
      <c r="O216" s="435"/>
      <c r="P216" s="24">
        <f t="shared" si="1120"/>
        <v>0</v>
      </c>
      <c r="Q216" s="435" t="s">
        <v>491</v>
      </c>
      <c r="R216" s="435" t="s">
        <v>488</v>
      </c>
      <c r="S216" s="435" t="s">
        <v>490</v>
      </c>
      <c r="T216" s="435" t="s">
        <v>488</v>
      </c>
      <c r="U216" s="161">
        <v>1</v>
      </c>
      <c r="V216" s="434"/>
      <c r="W216" s="459">
        <f t="shared" si="1183"/>
        <v>257.89999999999998</v>
      </c>
      <c r="X216" s="459"/>
      <c r="Y216" s="460">
        <v>257.89999999999998</v>
      </c>
      <c r="Z216" s="459"/>
      <c r="AA216" s="460"/>
      <c r="AB216" s="459">
        <f t="shared" si="1184"/>
        <v>202.4</v>
      </c>
      <c r="AC216" s="459"/>
      <c r="AD216" s="460">
        <v>202.4</v>
      </c>
      <c r="AE216" s="459"/>
      <c r="AF216" s="460"/>
      <c r="AG216" s="459">
        <f t="shared" si="1185"/>
        <v>202.4</v>
      </c>
      <c r="AH216" s="459"/>
      <c r="AI216" s="460">
        <v>202.4</v>
      </c>
      <c r="AJ216" s="459"/>
      <c r="AK216" s="460"/>
      <c r="AL216" s="459">
        <f t="shared" si="1186"/>
        <v>88</v>
      </c>
      <c r="AM216" s="459"/>
      <c r="AN216" s="460">
        <v>88</v>
      </c>
      <c r="AO216" s="459"/>
      <c r="AP216" s="460"/>
      <c r="AQ216" s="383" t="s">
        <v>403</v>
      </c>
      <c r="AR216" s="459">
        <f t="shared" si="1187"/>
        <v>257.89999999999998</v>
      </c>
      <c r="AS216" s="459"/>
      <c r="AT216" s="462">
        <v>257.89999999999998</v>
      </c>
      <c r="AU216" s="459"/>
      <c r="AV216" s="459"/>
      <c r="AW216" s="459" t="e">
        <f t="shared" si="1188"/>
        <v>#REF!</v>
      </c>
      <c r="AX216" s="459" t="e">
        <f>#REF!-AS216</f>
        <v>#REF!</v>
      </c>
      <c r="AY216" s="459" t="e">
        <f>#REF!-AT216</f>
        <v>#REF!</v>
      </c>
      <c r="AZ216" s="459" t="e">
        <f>#REF!-AU216</f>
        <v>#REF!</v>
      </c>
      <c r="BA216" s="459" t="e">
        <f>#REF!-AV216</f>
        <v>#REF!</v>
      </c>
      <c r="BB216" s="459">
        <f t="shared" si="1189"/>
        <v>202.4</v>
      </c>
      <c r="BC216" s="459"/>
      <c r="BD216" s="460">
        <f>88+114.4</f>
        <v>202.4</v>
      </c>
      <c r="BE216" s="459"/>
      <c r="BF216" s="459"/>
      <c r="BG216" s="459">
        <f t="shared" si="1190"/>
        <v>0</v>
      </c>
      <c r="BH216" s="459"/>
      <c r="BI216" s="460"/>
      <c r="BJ216" s="459"/>
      <c r="BK216" s="459"/>
      <c r="BL216" s="459">
        <f t="shared" si="1191"/>
        <v>257.89999999999998</v>
      </c>
      <c r="BM216" s="459"/>
      <c r="BN216" s="462">
        <v>257.89999999999998</v>
      </c>
      <c r="BO216" s="459"/>
      <c r="BP216" s="459"/>
      <c r="BQ216" s="459">
        <f t="shared" si="1192"/>
        <v>257.89999999999998</v>
      </c>
      <c r="BR216" s="459"/>
      <c r="BS216" s="462">
        <v>257.89999999999998</v>
      </c>
      <c r="BT216" s="459"/>
      <c r="BU216" s="459"/>
      <c r="BV216" s="459">
        <f t="shared" si="1193"/>
        <v>554.33900000000006</v>
      </c>
      <c r="BW216" s="459"/>
      <c r="BX216" s="459">
        <v>554.33900000000006</v>
      </c>
      <c r="BY216" s="459"/>
      <c r="BZ216" s="459"/>
      <c r="CA216" s="464">
        <f t="shared" si="1194"/>
        <v>812.23900000000003</v>
      </c>
      <c r="CB216" s="459">
        <f t="shared" si="1195"/>
        <v>812.23900000000003</v>
      </c>
      <c r="CC216" s="459">
        <f t="shared" si="1196"/>
        <v>0</v>
      </c>
      <c r="CD216" s="459">
        <f t="shared" si="1196"/>
        <v>812.23900000000003</v>
      </c>
      <c r="CE216" s="459">
        <f t="shared" si="1196"/>
        <v>0</v>
      </c>
      <c r="CF216" s="459">
        <f t="shared" si="1196"/>
        <v>0</v>
      </c>
      <c r="CG216" s="459">
        <f t="shared" si="1197"/>
        <v>0</v>
      </c>
      <c r="CH216" s="459">
        <f t="shared" si="1198"/>
        <v>0</v>
      </c>
      <c r="CI216" s="459">
        <f t="shared" si="1198"/>
        <v>0</v>
      </c>
      <c r="CJ216" s="459">
        <f t="shared" si="1198"/>
        <v>0</v>
      </c>
      <c r="CK216" s="459">
        <f t="shared" si="1198"/>
        <v>0</v>
      </c>
      <c r="CL216" s="465"/>
      <c r="CM216" s="466"/>
      <c r="CN216" s="466"/>
      <c r="CO216" s="459">
        <f t="shared" si="1199"/>
        <v>0</v>
      </c>
      <c r="CP216" s="459"/>
      <c r="CQ216" s="460"/>
      <c r="CR216" s="459"/>
      <c r="CS216" s="459"/>
      <c r="CT216" s="459">
        <f t="shared" si="1200"/>
        <v>0</v>
      </c>
      <c r="CU216" s="459"/>
      <c r="CV216" s="460"/>
      <c r="CW216" s="459"/>
      <c r="CX216" s="459"/>
      <c r="CY216" s="459">
        <f t="shared" si="1201"/>
        <v>0</v>
      </c>
      <c r="CZ216" s="459">
        <f t="shared" si="1202"/>
        <v>0</v>
      </c>
      <c r="DA216" s="459">
        <f t="shared" si="1202"/>
        <v>0</v>
      </c>
      <c r="DB216" s="459">
        <f t="shared" si="1202"/>
        <v>0</v>
      </c>
      <c r="DC216" s="459">
        <f t="shared" si="1202"/>
        <v>0</v>
      </c>
      <c r="DD216" s="459"/>
      <c r="DE216" s="459"/>
      <c r="DF216" s="459"/>
      <c r="DG216" s="459">
        <f t="shared" si="1203"/>
        <v>0</v>
      </c>
      <c r="DH216" s="467"/>
      <c r="DI216" s="459">
        <f t="shared" si="1204"/>
        <v>257.89999999999998</v>
      </c>
      <c r="DJ216" s="459">
        <f t="shared" si="1205"/>
        <v>257.89999999999998</v>
      </c>
      <c r="DK216" s="467"/>
      <c r="DL216" s="459"/>
      <c r="DM216" s="459"/>
      <c r="DN216" s="467"/>
      <c r="DO216" s="459"/>
      <c r="DP216" s="467"/>
      <c r="DQ216" s="467"/>
      <c r="DR216" s="459">
        <f t="shared" si="1100"/>
        <v>257.89999999999998</v>
      </c>
      <c r="DS216" s="459"/>
      <c r="DT216" s="462">
        <v>257.89999999999998</v>
      </c>
      <c r="DU216" s="459"/>
      <c r="DV216" s="459"/>
      <c r="DW216" s="459">
        <f t="shared" si="1119"/>
        <v>554.33900000000006</v>
      </c>
      <c r="DX216" s="459"/>
      <c r="DY216" s="459">
        <v>554.33900000000006</v>
      </c>
      <c r="DZ216" s="459"/>
      <c r="EA216" s="146"/>
      <c r="EB216" s="279"/>
      <c r="EC216" s="279"/>
      <c r="ED216" s="279"/>
      <c r="EE216" s="366"/>
      <c r="EF216" s="366"/>
      <c r="EG216" s="279"/>
      <c r="EH216" s="279"/>
      <c r="EI216" s="279"/>
      <c r="EJ216" s="366"/>
      <c r="EK216" s="366"/>
      <c r="EL216" s="366">
        <v>2.86E-2</v>
      </c>
      <c r="EM216" s="280"/>
      <c r="EN216" s="279"/>
      <c r="EO216" s="265" t="e">
        <f t="shared" si="1208"/>
        <v>#DIV/0!</v>
      </c>
      <c r="EP216" s="323">
        <f t="shared" si="1121"/>
        <v>812.23900000000003</v>
      </c>
      <c r="EQ216" s="323">
        <f t="shared" si="1175"/>
        <v>257.89999999999998</v>
      </c>
      <c r="ER216" s="323">
        <v>554.33900000000006</v>
      </c>
      <c r="ES216" s="358">
        <f t="shared" si="1209"/>
        <v>0.31751738096791704</v>
      </c>
      <c r="ET216" s="358">
        <f t="shared" si="1210"/>
        <v>0.68248261903208296</v>
      </c>
      <c r="EU216" s="323">
        <f t="shared" si="1122"/>
        <v>812.23900000000003</v>
      </c>
      <c r="EV216" s="323">
        <f t="shared" si="1211"/>
        <v>257.89999999999998</v>
      </c>
      <c r="EW216" s="323">
        <f t="shared" si="1212"/>
        <v>554.33900000000006</v>
      </c>
      <c r="EX216" s="358">
        <f t="shared" si="1213"/>
        <v>0.31751738096791704</v>
      </c>
      <c r="EY216" s="358">
        <f t="shared" si="1214"/>
        <v>0.68248261903208296</v>
      </c>
      <c r="EZ216" s="358">
        <v>9.5200000000000007E-2</v>
      </c>
      <c r="FA216" s="323">
        <f t="shared" si="1215"/>
        <v>257.89999999999998</v>
      </c>
      <c r="FB216" s="323">
        <f t="shared" si="1123"/>
        <v>0</v>
      </c>
      <c r="FC216" s="279"/>
      <c r="FD216" s="279"/>
      <c r="FE216" s="279"/>
      <c r="FF216" s="366"/>
      <c r="FG216" s="366"/>
      <c r="FH216" s="279"/>
      <c r="FI216" s="279"/>
      <c r="FJ216" s="279"/>
      <c r="FK216" s="366"/>
      <c r="FL216" s="366"/>
      <c r="FM216" s="366">
        <v>9.5200000000000007E-2</v>
      </c>
      <c r="FN216" s="280"/>
      <c r="FO216" s="279"/>
    </row>
    <row r="217" spans="2:171" s="40" customFormat="1" ht="15.6" customHeight="1" x14ac:dyDescent="0.25">
      <c r="B217" s="32"/>
      <c r="C217" s="33"/>
      <c r="D217" s="33">
        <v>1</v>
      </c>
      <c r="E217" s="434">
        <v>183</v>
      </c>
      <c r="F217" s="32"/>
      <c r="G217" s="33"/>
      <c r="H217" s="33">
        <v>1</v>
      </c>
      <c r="I217" s="436"/>
      <c r="J217" s="436"/>
      <c r="K217" s="436"/>
      <c r="L217" s="568"/>
      <c r="M217" s="434">
        <v>180</v>
      </c>
      <c r="N217" s="435" t="s">
        <v>173</v>
      </c>
      <c r="O217" s="435"/>
      <c r="P217" s="24">
        <f t="shared" si="1120"/>
        <v>0</v>
      </c>
      <c r="Q217" s="435" t="s">
        <v>490</v>
      </c>
      <c r="R217" s="435" t="s">
        <v>488</v>
      </c>
      <c r="S217" s="435"/>
      <c r="T217" s="435"/>
      <c r="U217" s="161">
        <v>1</v>
      </c>
      <c r="V217" s="434">
        <v>1</v>
      </c>
      <c r="W217" s="459">
        <f t="shared" si="1183"/>
        <v>567.36900000000003</v>
      </c>
      <c r="X217" s="459"/>
      <c r="Y217" s="460">
        <f>601.7-34.331</f>
        <v>567.36900000000003</v>
      </c>
      <c r="Z217" s="459"/>
      <c r="AA217" s="460"/>
      <c r="AB217" s="459">
        <f t="shared" si="1184"/>
        <v>441.6</v>
      </c>
      <c r="AC217" s="459"/>
      <c r="AD217" s="460">
        <v>441.6</v>
      </c>
      <c r="AE217" s="459"/>
      <c r="AF217" s="460"/>
      <c r="AG217" s="459">
        <f t="shared" si="1185"/>
        <v>441.6</v>
      </c>
      <c r="AH217" s="459"/>
      <c r="AI217" s="460">
        <v>441.6</v>
      </c>
      <c r="AJ217" s="459"/>
      <c r="AK217" s="460"/>
      <c r="AL217" s="459">
        <f t="shared" si="1186"/>
        <v>192</v>
      </c>
      <c r="AM217" s="459"/>
      <c r="AN217" s="460">
        <v>192</v>
      </c>
      <c r="AO217" s="459"/>
      <c r="AP217" s="460"/>
      <c r="AQ217" s="383" t="s">
        <v>545</v>
      </c>
      <c r="AR217" s="459">
        <f t="shared" si="1187"/>
        <v>567.36900000000003</v>
      </c>
      <c r="AS217" s="459"/>
      <c r="AT217" s="462">
        <v>567.36900000000003</v>
      </c>
      <c r="AU217" s="459"/>
      <c r="AV217" s="459"/>
      <c r="AW217" s="459" t="e">
        <f t="shared" si="1188"/>
        <v>#REF!</v>
      </c>
      <c r="AX217" s="459" t="e">
        <f>#REF!-AS217</f>
        <v>#REF!</v>
      </c>
      <c r="AY217" s="459" t="e">
        <f>#REF!-AT217</f>
        <v>#REF!</v>
      </c>
      <c r="AZ217" s="459" t="e">
        <f>#REF!-AU217</f>
        <v>#REF!</v>
      </c>
      <c r="BA217" s="459" t="e">
        <f>#REF!-AV217</f>
        <v>#REF!</v>
      </c>
      <c r="BB217" s="459">
        <f t="shared" si="1189"/>
        <v>441.6</v>
      </c>
      <c r="BC217" s="459"/>
      <c r="BD217" s="460">
        <f>192+249.6</f>
        <v>441.6</v>
      </c>
      <c r="BE217" s="459"/>
      <c r="BF217" s="459"/>
      <c r="BG217" s="459">
        <f t="shared" si="1190"/>
        <v>0</v>
      </c>
      <c r="BH217" s="459"/>
      <c r="BI217" s="460"/>
      <c r="BJ217" s="459"/>
      <c r="BK217" s="459"/>
      <c r="BL217" s="459">
        <f t="shared" si="1191"/>
        <v>567.36900000000003</v>
      </c>
      <c r="BM217" s="459"/>
      <c r="BN217" s="462">
        <v>567.36900000000003</v>
      </c>
      <c r="BO217" s="459"/>
      <c r="BP217" s="459"/>
      <c r="BQ217" s="459">
        <f t="shared" si="1192"/>
        <v>567.36900000000003</v>
      </c>
      <c r="BR217" s="459"/>
      <c r="BS217" s="462">
        <v>567.36900000000003</v>
      </c>
      <c r="BT217" s="459"/>
      <c r="BU217" s="459"/>
      <c r="BV217" s="459">
        <f t="shared" si="1193"/>
        <v>49.337400000000002</v>
      </c>
      <c r="BW217" s="459"/>
      <c r="BX217" s="459">
        <f>15.0064+34.331</f>
        <v>49.337400000000002</v>
      </c>
      <c r="BY217" s="459"/>
      <c r="BZ217" s="459"/>
      <c r="CA217" s="464">
        <f t="shared" si="1194"/>
        <v>616.70640000000003</v>
      </c>
      <c r="CB217" s="459">
        <f t="shared" si="1195"/>
        <v>616.70640000000003</v>
      </c>
      <c r="CC217" s="459">
        <f t="shared" si="1196"/>
        <v>0</v>
      </c>
      <c r="CD217" s="459">
        <f t="shared" si="1196"/>
        <v>616.70640000000003</v>
      </c>
      <c r="CE217" s="459">
        <f t="shared" si="1196"/>
        <v>0</v>
      </c>
      <c r="CF217" s="459">
        <f t="shared" si="1196"/>
        <v>0</v>
      </c>
      <c r="CG217" s="459">
        <f t="shared" si="1197"/>
        <v>0</v>
      </c>
      <c r="CH217" s="459">
        <f t="shared" si="1198"/>
        <v>0</v>
      </c>
      <c r="CI217" s="459">
        <f t="shared" si="1198"/>
        <v>0</v>
      </c>
      <c r="CJ217" s="459">
        <f t="shared" si="1198"/>
        <v>0</v>
      </c>
      <c r="CK217" s="459">
        <f t="shared" si="1198"/>
        <v>0</v>
      </c>
      <c r="CL217" s="465"/>
      <c r="CM217" s="466"/>
      <c r="CN217" s="466"/>
      <c r="CO217" s="459">
        <f t="shared" si="1199"/>
        <v>0</v>
      </c>
      <c r="CP217" s="459"/>
      <c r="CQ217" s="460"/>
      <c r="CR217" s="459"/>
      <c r="CS217" s="459"/>
      <c r="CT217" s="459">
        <f t="shared" si="1200"/>
        <v>0</v>
      </c>
      <c r="CU217" s="459"/>
      <c r="CV217" s="460"/>
      <c r="CW217" s="459"/>
      <c r="CX217" s="459"/>
      <c r="CY217" s="459">
        <f t="shared" si="1201"/>
        <v>0</v>
      </c>
      <c r="CZ217" s="459">
        <f t="shared" si="1202"/>
        <v>0</v>
      </c>
      <c r="DA217" s="459">
        <f t="shared" si="1202"/>
        <v>0</v>
      </c>
      <c r="DB217" s="459">
        <f t="shared" si="1202"/>
        <v>0</v>
      </c>
      <c r="DC217" s="459">
        <f t="shared" si="1202"/>
        <v>0</v>
      </c>
      <c r="DD217" s="459"/>
      <c r="DE217" s="459"/>
      <c r="DF217" s="459"/>
      <c r="DG217" s="459">
        <f t="shared" si="1203"/>
        <v>0</v>
      </c>
      <c r="DH217" s="467"/>
      <c r="DI217" s="459">
        <f t="shared" si="1204"/>
        <v>567.36900000000003</v>
      </c>
      <c r="DJ217" s="459">
        <f t="shared" si="1205"/>
        <v>567.36900000000003</v>
      </c>
      <c r="DK217" s="467"/>
      <c r="DL217" s="459"/>
      <c r="DM217" s="459"/>
      <c r="DN217" s="467"/>
      <c r="DO217" s="459"/>
      <c r="DP217" s="467"/>
      <c r="DQ217" s="467"/>
      <c r="DR217" s="459">
        <f t="shared" si="1100"/>
        <v>567.36900000000003</v>
      </c>
      <c r="DS217" s="459"/>
      <c r="DT217" s="460">
        <v>567.36900000000003</v>
      </c>
      <c r="DU217" s="459"/>
      <c r="DV217" s="459"/>
      <c r="DW217" s="459">
        <f t="shared" si="1119"/>
        <v>49.337400000000002</v>
      </c>
      <c r="DX217" s="459"/>
      <c r="DY217" s="459">
        <v>49.337400000000002</v>
      </c>
      <c r="DZ217" s="459"/>
      <c r="EA217" s="146"/>
      <c r="EB217" s="279"/>
      <c r="EC217" s="279"/>
      <c r="ED217" s="279"/>
      <c r="EE217" s="366"/>
      <c r="EF217" s="366"/>
      <c r="EG217" s="279"/>
      <c r="EH217" s="279"/>
      <c r="EI217" s="279"/>
      <c r="EJ217" s="366"/>
      <c r="EK217" s="366"/>
      <c r="EL217" s="366">
        <v>2.3400000000000001E-2</v>
      </c>
      <c r="EM217" s="280"/>
      <c r="EN217" s="279"/>
      <c r="EO217" s="265" t="e">
        <f t="shared" si="1208"/>
        <v>#DIV/0!</v>
      </c>
      <c r="EP217" s="323">
        <f t="shared" si="1121"/>
        <v>616.70640000000003</v>
      </c>
      <c r="EQ217" s="323">
        <f t="shared" si="1175"/>
        <v>567.36900000000003</v>
      </c>
      <c r="ER217" s="323">
        <v>49.337400000000002</v>
      </c>
      <c r="ES217" s="358">
        <f t="shared" si="1209"/>
        <v>0.9199985600927767</v>
      </c>
      <c r="ET217" s="358">
        <f t="shared" si="1210"/>
        <v>8.0001439907223276E-2</v>
      </c>
      <c r="EU217" s="323">
        <f t="shared" si="1122"/>
        <v>616.70640000000003</v>
      </c>
      <c r="EV217" s="323">
        <f t="shared" si="1211"/>
        <v>567.36900000000003</v>
      </c>
      <c r="EW217" s="323">
        <f t="shared" si="1212"/>
        <v>49.337400000000002</v>
      </c>
      <c r="EX217" s="358">
        <f t="shared" si="1213"/>
        <v>0.9199985600927767</v>
      </c>
      <c r="EY217" s="358">
        <f t="shared" si="1214"/>
        <v>8.0001439907223276E-2</v>
      </c>
      <c r="EZ217" s="358">
        <v>7.7899999999999997E-2</v>
      </c>
      <c r="FA217" s="323">
        <f t="shared" si="1215"/>
        <v>567.36900000000003</v>
      </c>
      <c r="FB217" s="323">
        <f t="shared" si="1123"/>
        <v>0</v>
      </c>
      <c r="FC217" s="279"/>
      <c r="FD217" s="279"/>
      <c r="FE217" s="279"/>
      <c r="FF217" s="366"/>
      <c r="FG217" s="366"/>
      <c r="FH217" s="279"/>
      <c r="FI217" s="279"/>
      <c r="FJ217" s="279"/>
      <c r="FK217" s="366"/>
      <c r="FL217" s="366"/>
      <c r="FM217" s="366">
        <v>7.7899999999999997E-2</v>
      </c>
      <c r="FN217" s="280"/>
      <c r="FO217" s="279"/>
    </row>
    <row r="218" spans="2:171" s="40" customFormat="1" ht="15.6" customHeight="1" x14ac:dyDescent="0.25">
      <c r="B218" s="32"/>
      <c r="C218" s="33"/>
      <c r="D218" s="33">
        <v>1</v>
      </c>
      <c r="E218" s="434">
        <v>184</v>
      </c>
      <c r="F218" s="32"/>
      <c r="G218" s="33"/>
      <c r="H218" s="33"/>
      <c r="I218" s="434"/>
      <c r="J218" s="435"/>
      <c r="K218" s="435"/>
      <c r="L218" s="53"/>
      <c r="M218" s="434">
        <v>181</v>
      </c>
      <c r="N218" s="435" t="s">
        <v>144</v>
      </c>
      <c r="O218" s="435"/>
      <c r="P218" s="24">
        <f t="shared" si="1120"/>
        <v>0</v>
      </c>
      <c r="Q218" s="435" t="s">
        <v>501</v>
      </c>
      <c r="R218" s="435" t="s">
        <v>488</v>
      </c>
      <c r="S218" s="435" t="s">
        <v>490</v>
      </c>
      <c r="T218" s="435" t="s">
        <v>488</v>
      </c>
      <c r="U218" s="161">
        <v>1</v>
      </c>
      <c r="V218" s="434"/>
      <c r="W218" s="459">
        <f t="shared" si="1183"/>
        <v>816.6</v>
      </c>
      <c r="X218" s="459"/>
      <c r="Y218" s="460">
        <v>816.6</v>
      </c>
      <c r="Z218" s="459"/>
      <c r="AA218" s="460"/>
      <c r="AB218" s="459">
        <f t="shared" si="1184"/>
        <v>671.6</v>
      </c>
      <c r="AC218" s="459"/>
      <c r="AD218" s="460">
        <v>671.6</v>
      </c>
      <c r="AE218" s="459"/>
      <c r="AF218" s="460"/>
      <c r="AG218" s="459">
        <f t="shared" si="1185"/>
        <v>671.6</v>
      </c>
      <c r="AH218" s="459"/>
      <c r="AI218" s="460">
        <v>671.6</v>
      </c>
      <c r="AJ218" s="459"/>
      <c r="AK218" s="460"/>
      <c r="AL218" s="459">
        <f t="shared" si="1186"/>
        <v>292</v>
      </c>
      <c r="AM218" s="459"/>
      <c r="AN218" s="460">
        <v>292</v>
      </c>
      <c r="AO218" s="459"/>
      <c r="AP218" s="460"/>
      <c r="AQ218" s="383" t="s">
        <v>407</v>
      </c>
      <c r="AR218" s="459">
        <f t="shared" si="1187"/>
        <v>816.6</v>
      </c>
      <c r="AS218" s="459"/>
      <c r="AT218" s="462">
        <v>816.6</v>
      </c>
      <c r="AU218" s="459"/>
      <c r="AV218" s="459"/>
      <c r="AW218" s="459" t="e">
        <f t="shared" si="1188"/>
        <v>#REF!</v>
      </c>
      <c r="AX218" s="459" t="e">
        <f>#REF!-AS218</f>
        <v>#REF!</v>
      </c>
      <c r="AY218" s="459" t="e">
        <f>#REF!-AT218</f>
        <v>#REF!</v>
      </c>
      <c r="AZ218" s="459" t="e">
        <f>#REF!-AU218</f>
        <v>#REF!</v>
      </c>
      <c r="BA218" s="459" t="e">
        <f>#REF!-AV218</f>
        <v>#REF!</v>
      </c>
      <c r="BB218" s="459">
        <f t="shared" si="1189"/>
        <v>671.6</v>
      </c>
      <c r="BC218" s="459"/>
      <c r="BD218" s="460">
        <f>292+379.6</f>
        <v>671.6</v>
      </c>
      <c r="BE218" s="459"/>
      <c r="BF218" s="459"/>
      <c r="BG218" s="459">
        <f t="shared" si="1190"/>
        <v>0</v>
      </c>
      <c r="BH218" s="459"/>
      <c r="BI218" s="459"/>
      <c r="BJ218" s="459"/>
      <c r="BK218" s="459"/>
      <c r="BL218" s="459">
        <f t="shared" si="1191"/>
        <v>816.6</v>
      </c>
      <c r="BM218" s="459"/>
      <c r="BN218" s="462">
        <v>816.6</v>
      </c>
      <c r="BO218" s="459"/>
      <c r="BP218" s="459"/>
      <c r="BQ218" s="459">
        <f t="shared" si="1192"/>
        <v>816.6</v>
      </c>
      <c r="BR218" s="459"/>
      <c r="BS218" s="462">
        <v>816.6</v>
      </c>
      <c r="BT218" s="459"/>
      <c r="BU218" s="459"/>
      <c r="BV218" s="459">
        <f t="shared" si="1193"/>
        <v>175.09336999999999</v>
      </c>
      <c r="BW218" s="459"/>
      <c r="BX218" s="459">
        <v>175.09336999999999</v>
      </c>
      <c r="BY218" s="459"/>
      <c r="BZ218" s="459"/>
      <c r="CA218" s="464">
        <f t="shared" si="1194"/>
        <v>991.69336999999996</v>
      </c>
      <c r="CB218" s="459">
        <f t="shared" si="1195"/>
        <v>991.69336999999996</v>
      </c>
      <c r="CC218" s="459">
        <f t="shared" si="1196"/>
        <v>0</v>
      </c>
      <c r="CD218" s="459">
        <f t="shared" si="1196"/>
        <v>991.69336999999996</v>
      </c>
      <c r="CE218" s="459">
        <f t="shared" si="1196"/>
        <v>0</v>
      </c>
      <c r="CF218" s="459">
        <f t="shared" si="1196"/>
        <v>0</v>
      </c>
      <c r="CG218" s="459">
        <f t="shared" si="1197"/>
        <v>0</v>
      </c>
      <c r="CH218" s="459">
        <f t="shared" si="1198"/>
        <v>0</v>
      </c>
      <c r="CI218" s="459">
        <f t="shared" si="1198"/>
        <v>0</v>
      </c>
      <c r="CJ218" s="459">
        <f t="shared" si="1198"/>
        <v>0</v>
      </c>
      <c r="CK218" s="459">
        <f t="shared" si="1198"/>
        <v>0</v>
      </c>
      <c r="CL218" s="465"/>
      <c r="CM218" s="466"/>
      <c r="CN218" s="466"/>
      <c r="CO218" s="459">
        <f t="shared" si="1199"/>
        <v>0</v>
      </c>
      <c r="CP218" s="459"/>
      <c r="CQ218" s="459"/>
      <c r="CR218" s="459"/>
      <c r="CS218" s="459"/>
      <c r="CT218" s="459">
        <f t="shared" si="1200"/>
        <v>0</v>
      </c>
      <c r="CU218" s="459"/>
      <c r="CV218" s="459"/>
      <c r="CW218" s="459"/>
      <c r="CX218" s="459"/>
      <c r="CY218" s="459">
        <f t="shared" si="1201"/>
        <v>0</v>
      </c>
      <c r="CZ218" s="459">
        <f t="shared" si="1202"/>
        <v>0</v>
      </c>
      <c r="DA218" s="459">
        <f t="shared" si="1202"/>
        <v>0</v>
      </c>
      <c r="DB218" s="459">
        <f t="shared" si="1202"/>
        <v>0</v>
      </c>
      <c r="DC218" s="459">
        <f t="shared" si="1202"/>
        <v>0</v>
      </c>
      <c r="DD218" s="459"/>
      <c r="DE218" s="459"/>
      <c r="DF218" s="459"/>
      <c r="DG218" s="459">
        <f t="shared" si="1203"/>
        <v>0</v>
      </c>
      <c r="DH218" s="467"/>
      <c r="DI218" s="459">
        <f t="shared" si="1204"/>
        <v>816.6</v>
      </c>
      <c r="DJ218" s="459">
        <f t="shared" si="1205"/>
        <v>816.6</v>
      </c>
      <c r="DK218" s="467"/>
      <c r="DL218" s="459"/>
      <c r="DM218" s="459"/>
      <c r="DN218" s="467"/>
      <c r="DO218" s="459"/>
      <c r="DP218" s="467"/>
      <c r="DQ218" s="467"/>
      <c r="DR218" s="459">
        <f t="shared" si="1100"/>
        <v>816.6</v>
      </c>
      <c r="DS218" s="459"/>
      <c r="DT218" s="462">
        <v>816.6</v>
      </c>
      <c r="DU218" s="459"/>
      <c r="DV218" s="459"/>
      <c r="DW218" s="459">
        <f t="shared" si="1119"/>
        <v>175.09336999999999</v>
      </c>
      <c r="DX218" s="459"/>
      <c r="DY218" s="459">
        <v>175.09336999999999</v>
      </c>
      <c r="DZ218" s="459"/>
      <c r="EA218" s="146"/>
      <c r="EB218" s="279"/>
      <c r="EC218" s="279"/>
      <c r="ED218" s="279"/>
      <c r="EE218" s="366"/>
      <c r="EF218" s="366"/>
      <c r="EG218" s="279"/>
      <c r="EH218" s="279"/>
      <c r="EI218" s="279"/>
      <c r="EJ218" s="366"/>
      <c r="EK218" s="366"/>
      <c r="EL218" s="366">
        <v>2.5499999999999998E-2</v>
      </c>
      <c r="EM218" s="280"/>
      <c r="EN218" s="279"/>
      <c r="EO218" s="265" t="e">
        <f t="shared" si="1208"/>
        <v>#DIV/0!</v>
      </c>
      <c r="EP218" s="323">
        <f t="shared" si="1121"/>
        <v>991.69336999999996</v>
      </c>
      <c r="EQ218" s="323">
        <f t="shared" si="1175"/>
        <v>816.6</v>
      </c>
      <c r="ER218" s="323">
        <v>175.09336999999999</v>
      </c>
      <c r="ES218" s="358">
        <f t="shared" si="1209"/>
        <v>0.82344001150274915</v>
      </c>
      <c r="ET218" s="358">
        <f t="shared" si="1210"/>
        <v>0.17655998849725091</v>
      </c>
      <c r="EU218" s="323">
        <f t="shared" si="1122"/>
        <v>991.69336999999996</v>
      </c>
      <c r="EV218" s="323">
        <f t="shared" si="1211"/>
        <v>816.6</v>
      </c>
      <c r="EW218" s="323">
        <f t="shared" si="1212"/>
        <v>175.09336999999999</v>
      </c>
      <c r="EX218" s="358">
        <f t="shared" si="1213"/>
        <v>0.82344001150274915</v>
      </c>
      <c r="EY218" s="358">
        <f t="shared" si="1214"/>
        <v>0.17655998849725091</v>
      </c>
      <c r="EZ218" s="358">
        <v>8.5099999999999995E-2</v>
      </c>
      <c r="FA218" s="323">
        <f t="shared" si="1215"/>
        <v>816.6</v>
      </c>
      <c r="FB218" s="323">
        <f t="shared" si="1123"/>
        <v>0</v>
      </c>
      <c r="FC218" s="279"/>
      <c r="FD218" s="279"/>
      <c r="FE218" s="279"/>
      <c r="FF218" s="366"/>
      <c r="FG218" s="366"/>
      <c r="FH218" s="279"/>
      <c r="FI218" s="279"/>
      <c r="FJ218" s="279"/>
      <c r="FK218" s="366"/>
      <c r="FL218" s="366"/>
      <c r="FM218" s="366">
        <v>8.5099999999999995E-2</v>
      </c>
      <c r="FN218" s="280"/>
      <c r="FO218" s="279"/>
    </row>
    <row r="219" spans="2:171" s="40" customFormat="1" ht="15.75" customHeight="1" x14ac:dyDescent="0.25">
      <c r="B219" s="32"/>
      <c r="C219" s="33"/>
      <c r="D219" s="33">
        <v>1</v>
      </c>
      <c r="E219" s="434">
        <v>185</v>
      </c>
      <c r="F219" s="32"/>
      <c r="G219" s="33"/>
      <c r="H219" s="33">
        <v>1</v>
      </c>
      <c r="I219" s="434"/>
      <c r="J219" s="435"/>
      <c r="K219" s="435"/>
      <c r="L219" s="53"/>
      <c r="M219" s="434">
        <v>182</v>
      </c>
      <c r="N219" s="435" t="s">
        <v>145</v>
      </c>
      <c r="O219" s="435"/>
      <c r="P219" s="24">
        <f t="shared" si="1120"/>
        <v>0</v>
      </c>
      <c r="Q219" s="435" t="s">
        <v>544</v>
      </c>
      <c r="R219" s="435" t="s">
        <v>488</v>
      </c>
      <c r="S219" s="435" t="s">
        <v>491</v>
      </c>
      <c r="T219" s="435" t="s">
        <v>488</v>
      </c>
      <c r="U219" s="161">
        <v>1</v>
      </c>
      <c r="V219" s="434">
        <v>2</v>
      </c>
      <c r="W219" s="459">
        <f t="shared" si="1183"/>
        <v>7131.85</v>
      </c>
      <c r="X219" s="459"/>
      <c r="Y219" s="460">
        <f>1817.4+34.331</f>
        <v>1851.731</v>
      </c>
      <c r="Z219" s="459">
        <f>5976.515-696.396</f>
        <v>5280.1190000000006</v>
      </c>
      <c r="AA219" s="460"/>
      <c r="AB219" s="459">
        <f t="shared" si="1184"/>
        <v>1835.4</v>
      </c>
      <c r="AC219" s="459"/>
      <c r="AD219" s="460">
        <v>1835.4</v>
      </c>
      <c r="AE219" s="459"/>
      <c r="AF219" s="460"/>
      <c r="AG219" s="459">
        <f t="shared" si="1185"/>
        <v>1835.4</v>
      </c>
      <c r="AH219" s="459"/>
      <c r="AI219" s="460">
        <v>1835.4</v>
      </c>
      <c r="AJ219" s="459"/>
      <c r="AK219" s="460"/>
      <c r="AL219" s="459">
        <f t="shared" si="1186"/>
        <v>798</v>
      </c>
      <c r="AM219" s="459"/>
      <c r="AN219" s="460">
        <v>798</v>
      </c>
      <c r="AO219" s="459"/>
      <c r="AP219" s="460"/>
      <c r="AQ219" s="398" t="s">
        <v>511</v>
      </c>
      <c r="AR219" s="459">
        <f t="shared" si="1187"/>
        <v>6923.7829999999994</v>
      </c>
      <c r="AS219" s="459"/>
      <c r="AT219" s="462">
        <f>1652-8.336</f>
        <v>1643.664</v>
      </c>
      <c r="AU219" s="459">
        <v>5280.1189999999997</v>
      </c>
      <c r="AV219" s="460"/>
      <c r="AW219" s="459" t="e">
        <f t="shared" si="1188"/>
        <v>#REF!</v>
      </c>
      <c r="AX219" s="459" t="e">
        <f>#REF!-AS219</f>
        <v>#REF!</v>
      </c>
      <c r="AY219" s="459" t="e">
        <f>#REF!-AT219</f>
        <v>#REF!</v>
      </c>
      <c r="AZ219" s="459" t="e">
        <f>#REF!-AU219</f>
        <v>#REF!</v>
      </c>
      <c r="BA219" s="459" t="e">
        <f>#REF!-AV219</f>
        <v>#REF!</v>
      </c>
      <c r="BB219" s="459">
        <f t="shared" si="1189"/>
        <v>1835.4</v>
      </c>
      <c r="BC219" s="459"/>
      <c r="BD219" s="460">
        <f>798+1037.4</f>
        <v>1835.4</v>
      </c>
      <c r="BE219" s="459"/>
      <c r="BF219" s="460"/>
      <c r="BG219" s="459">
        <f t="shared" si="1190"/>
        <v>0</v>
      </c>
      <c r="BH219" s="459"/>
      <c r="BI219" s="460"/>
      <c r="BJ219" s="459"/>
      <c r="BK219" s="460"/>
      <c r="BL219" s="459">
        <f t="shared" si="1191"/>
        <v>6923.7829999999994</v>
      </c>
      <c r="BM219" s="459"/>
      <c r="BN219" s="460">
        <v>1643.664</v>
      </c>
      <c r="BO219" s="459">
        <v>5280.1189999999997</v>
      </c>
      <c r="BP219" s="470"/>
      <c r="BQ219" s="459">
        <f t="shared" si="1192"/>
        <v>6923.7829999999994</v>
      </c>
      <c r="BR219" s="459"/>
      <c r="BS219" s="460">
        <v>1643.664</v>
      </c>
      <c r="BT219" s="459">
        <v>5280.1189999999997</v>
      </c>
      <c r="BU219" s="470"/>
      <c r="BV219" s="459">
        <f t="shared" si="1193"/>
        <v>803.82947999999999</v>
      </c>
      <c r="BW219" s="459"/>
      <c r="BX219" s="459">
        <v>198.18368000000001</v>
      </c>
      <c r="BY219" s="459">
        <v>605.64580000000001</v>
      </c>
      <c r="BZ219" s="459"/>
      <c r="CA219" s="464">
        <f t="shared" si="1194"/>
        <v>7727.6124799999998</v>
      </c>
      <c r="CB219" s="459">
        <f t="shared" si="1195"/>
        <v>7727.6124799999998</v>
      </c>
      <c r="CC219" s="459">
        <f t="shared" si="1196"/>
        <v>0</v>
      </c>
      <c r="CD219" s="459">
        <f t="shared" si="1196"/>
        <v>1841.8476800000001</v>
      </c>
      <c r="CE219" s="459">
        <f t="shared" si="1196"/>
        <v>5885.7647999999999</v>
      </c>
      <c r="CF219" s="459">
        <f t="shared" si="1196"/>
        <v>0</v>
      </c>
      <c r="CG219" s="459">
        <f t="shared" si="1197"/>
        <v>0</v>
      </c>
      <c r="CH219" s="459">
        <f t="shared" si="1198"/>
        <v>0</v>
      </c>
      <c r="CI219" s="459">
        <f t="shared" si="1198"/>
        <v>0</v>
      </c>
      <c r="CJ219" s="459">
        <f t="shared" si="1198"/>
        <v>0</v>
      </c>
      <c r="CK219" s="459">
        <f t="shared" si="1198"/>
        <v>0</v>
      </c>
      <c r="CL219" s="465"/>
      <c r="CM219" s="466"/>
      <c r="CN219" s="466"/>
      <c r="CO219" s="459">
        <f t="shared" si="1199"/>
        <v>0</v>
      </c>
      <c r="CP219" s="459"/>
      <c r="CQ219" s="460"/>
      <c r="CR219" s="459"/>
      <c r="CS219" s="460"/>
      <c r="CT219" s="459">
        <f t="shared" si="1200"/>
        <v>0</v>
      </c>
      <c r="CU219" s="459"/>
      <c r="CV219" s="460"/>
      <c r="CW219" s="459"/>
      <c r="CX219" s="460"/>
      <c r="CY219" s="459">
        <f t="shared" si="1201"/>
        <v>0</v>
      </c>
      <c r="CZ219" s="459">
        <f t="shared" si="1202"/>
        <v>0</v>
      </c>
      <c r="DA219" s="459">
        <f t="shared" si="1202"/>
        <v>0</v>
      </c>
      <c r="DB219" s="459">
        <f t="shared" si="1202"/>
        <v>0</v>
      </c>
      <c r="DC219" s="459">
        <f t="shared" si="1202"/>
        <v>0</v>
      </c>
      <c r="DD219" s="459"/>
      <c r="DE219" s="459"/>
      <c r="DF219" s="459"/>
      <c r="DG219" s="459">
        <f t="shared" si="1203"/>
        <v>0</v>
      </c>
      <c r="DH219" s="467"/>
      <c r="DI219" s="459">
        <f t="shared" si="1204"/>
        <v>6923.7829999999994</v>
      </c>
      <c r="DJ219" s="459">
        <f t="shared" si="1205"/>
        <v>6923.7829999999994</v>
      </c>
      <c r="DK219" s="467"/>
      <c r="DL219" s="459"/>
      <c r="DM219" s="459"/>
      <c r="DN219" s="467"/>
      <c r="DO219" s="459"/>
      <c r="DP219" s="467"/>
      <c r="DQ219" s="467"/>
      <c r="DR219" s="459">
        <f t="shared" si="1100"/>
        <v>6923.7829999999994</v>
      </c>
      <c r="DS219" s="459"/>
      <c r="DT219" s="460">
        <v>1643.664</v>
      </c>
      <c r="DU219" s="459">
        <v>5280.1189999999997</v>
      </c>
      <c r="DV219" s="470"/>
      <c r="DW219" s="459">
        <f t="shared" si="1119"/>
        <v>803.82947999999999</v>
      </c>
      <c r="DX219" s="459"/>
      <c r="DY219" s="459">
        <v>198.18368000000001</v>
      </c>
      <c r="DZ219" s="459">
        <v>605.64580000000001</v>
      </c>
      <c r="EA219" s="146"/>
      <c r="EB219" s="279"/>
      <c r="EC219" s="279"/>
      <c r="ED219" s="279"/>
      <c r="EE219" s="366"/>
      <c r="EF219" s="366"/>
      <c r="EG219" s="279"/>
      <c r="EH219" s="279"/>
      <c r="EI219" s="279"/>
      <c r="EJ219" s="366"/>
      <c r="EK219" s="366"/>
      <c r="EL219" s="366">
        <v>3.09E-2</v>
      </c>
      <c r="EM219" s="280"/>
      <c r="EN219" s="279"/>
      <c r="EO219" s="265" t="e">
        <f t="shared" si="1208"/>
        <v>#DIV/0!</v>
      </c>
      <c r="EP219" s="323">
        <f t="shared" si="1121"/>
        <v>1841.8476800000001</v>
      </c>
      <c r="EQ219" s="323">
        <f t="shared" si="1175"/>
        <v>1643.664</v>
      </c>
      <c r="ER219" s="323">
        <v>198.18368000000001</v>
      </c>
      <c r="ES219" s="358">
        <f t="shared" si="1209"/>
        <v>0.89239952784803567</v>
      </c>
      <c r="ET219" s="358">
        <f t="shared" si="1210"/>
        <v>0.10760047215196428</v>
      </c>
      <c r="EU219" s="323">
        <f t="shared" si="1122"/>
        <v>1841.8476800000001</v>
      </c>
      <c r="EV219" s="323">
        <f t="shared" si="1211"/>
        <v>1643.664</v>
      </c>
      <c r="EW219" s="323">
        <f t="shared" si="1212"/>
        <v>198.18368000000001</v>
      </c>
      <c r="EX219" s="358">
        <f t="shared" si="1213"/>
        <v>0.89239952784803567</v>
      </c>
      <c r="EY219" s="358">
        <f t="shared" si="1214"/>
        <v>0.10760047215196428</v>
      </c>
      <c r="EZ219" s="358">
        <v>0.10290000000000001</v>
      </c>
      <c r="FA219" s="323">
        <f t="shared" si="1215"/>
        <v>1643.664</v>
      </c>
      <c r="FB219" s="323">
        <f t="shared" si="1123"/>
        <v>0</v>
      </c>
      <c r="FC219" s="279">
        <f t="shared" ref="FC219" si="1234">FD219+FE219</f>
        <v>5885.7647999999999</v>
      </c>
      <c r="FD219" s="279">
        <f t="shared" ref="FD219" si="1235">AU219</f>
        <v>5280.1189999999997</v>
      </c>
      <c r="FE219" s="279">
        <v>605.64580000000001</v>
      </c>
      <c r="FF219" s="366">
        <f t="shared" ref="FF219" si="1236">FD219/FC219</f>
        <v>0.89709989770573229</v>
      </c>
      <c r="FG219" s="366">
        <f t="shared" ref="FG219" si="1237">FE219/FC219</f>
        <v>0.10290010229426769</v>
      </c>
      <c r="FH219" s="279">
        <f t="shared" ref="FH219" si="1238">FI219+FJ219</f>
        <v>5885.7647999999999</v>
      </c>
      <c r="FI219" s="279">
        <f t="shared" ref="FI219" si="1239">DU219</f>
        <v>5280.1189999999997</v>
      </c>
      <c r="FJ219" s="279">
        <f t="shared" ref="FJ219" si="1240">DZ219</f>
        <v>605.64580000000001</v>
      </c>
      <c r="FK219" s="366">
        <f t="shared" ref="FK219" si="1241">FI219/FH219</f>
        <v>0.89709989770573229</v>
      </c>
      <c r="FL219" s="366">
        <f t="shared" ref="FL219" si="1242">FJ219/FH219</f>
        <v>0.10290010229426769</v>
      </c>
      <c r="FM219" s="366">
        <v>0.10290000000000001</v>
      </c>
      <c r="FN219" s="280">
        <f t="shared" ref="FN219" si="1243">FH219*FF219</f>
        <v>5280.1189999999997</v>
      </c>
      <c r="FO219" s="279">
        <f t="shared" ref="FO219" si="1244">FI219-FN219</f>
        <v>0</v>
      </c>
    </row>
    <row r="220" spans="2:171" s="119" customFormat="1" ht="15.75" customHeight="1" x14ac:dyDescent="0.2">
      <c r="B220" s="113"/>
      <c r="C220" s="114"/>
      <c r="D220" s="114"/>
      <c r="E220" s="115"/>
      <c r="F220" s="113"/>
      <c r="G220" s="114"/>
      <c r="H220" s="114"/>
      <c r="I220" s="437"/>
      <c r="J220" s="437"/>
      <c r="K220" s="437"/>
      <c r="L220" s="572"/>
      <c r="M220" s="115"/>
      <c r="N220" s="118" t="s">
        <v>12</v>
      </c>
      <c r="O220" s="118"/>
      <c r="P220" s="68">
        <f t="shared" si="1120"/>
        <v>0</v>
      </c>
      <c r="Q220" s="118"/>
      <c r="R220" s="118"/>
      <c r="S220" s="118"/>
      <c r="T220" s="118"/>
      <c r="U220" s="163">
        <f t="shared" ref="U220:AA220" si="1245">SUM(U221:U229)-U222</f>
        <v>8</v>
      </c>
      <c r="V220" s="163">
        <f t="shared" si="1245"/>
        <v>6</v>
      </c>
      <c r="W220" s="452">
        <f t="shared" si="1245"/>
        <v>65720.831000000006</v>
      </c>
      <c r="X220" s="452">
        <f t="shared" si="1245"/>
        <v>0</v>
      </c>
      <c r="Y220" s="452">
        <f t="shared" si="1245"/>
        <v>4793.3</v>
      </c>
      <c r="Z220" s="452">
        <f t="shared" si="1245"/>
        <v>60927.530999999995</v>
      </c>
      <c r="AA220" s="452">
        <f t="shared" si="1245"/>
        <v>0</v>
      </c>
      <c r="AB220" s="452">
        <f t="shared" ref="AB220:AF220" si="1246">SUM(AB221:AB229)-AB222</f>
        <v>4485</v>
      </c>
      <c r="AC220" s="452">
        <f t="shared" si="1246"/>
        <v>0</v>
      </c>
      <c r="AD220" s="452">
        <f t="shared" si="1246"/>
        <v>4485</v>
      </c>
      <c r="AE220" s="452">
        <f t="shared" si="1246"/>
        <v>0</v>
      </c>
      <c r="AF220" s="452">
        <f t="shared" si="1246"/>
        <v>0</v>
      </c>
      <c r="AG220" s="452">
        <f t="shared" ref="AG220:AK220" si="1247">SUM(AG221:AG229)-AG222</f>
        <v>4485</v>
      </c>
      <c r="AH220" s="452">
        <f t="shared" si="1247"/>
        <v>0</v>
      </c>
      <c r="AI220" s="452">
        <f t="shared" si="1247"/>
        <v>4485</v>
      </c>
      <c r="AJ220" s="452">
        <f t="shared" si="1247"/>
        <v>0</v>
      </c>
      <c r="AK220" s="452">
        <f t="shared" si="1247"/>
        <v>0</v>
      </c>
      <c r="AL220" s="454">
        <f t="shared" ref="AL220:AP220" si="1248">SUM(AL221:AL229)-AL222</f>
        <v>1950</v>
      </c>
      <c r="AM220" s="452">
        <f t="shared" si="1248"/>
        <v>0</v>
      </c>
      <c r="AN220" s="452">
        <f t="shared" si="1248"/>
        <v>1950</v>
      </c>
      <c r="AO220" s="452">
        <f t="shared" si="1248"/>
        <v>0</v>
      </c>
      <c r="AP220" s="452">
        <f t="shared" si="1248"/>
        <v>0</v>
      </c>
      <c r="AQ220" s="453"/>
      <c r="AR220" s="452">
        <f t="shared" ref="AR220:AU220" si="1249">SUM(AR221:AR229)-AR222</f>
        <v>65451.878709999997</v>
      </c>
      <c r="AS220" s="452">
        <f t="shared" si="1249"/>
        <v>0</v>
      </c>
      <c r="AT220" s="452">
        <f t="shared" si="1249"/>
        <v>4524.34771</v>
      </c>
      <c r="AU220" s="452">
        <f t="shared" si="1249"/>
        <v>60927.530999999995</v>
      </c>
      <c r="AV220" s="452">
        <f>SUM(AV221:AV229)-AV222</f>
        <v>0</v>
      </c>
      <c r="AW220" s="452" t="e">
        <f t="shared" ref="AW220:BF220" si="1250">SUM(AW221:AW229)-AW222</f>
        <v>#REF!</v>
      </c>
      <c r="AX220" s="452" t="e">
        <f t="shared" si="1250"/>
        <v>#REF!</v>
      </c>
      <c r="AY220" s="452" t="e">
        <f t="shared" si="1250"/>
        <v>#REF!</v>
      </c>
      <c r="AZ220" s="452" t="e">
        <f t="shared" si="1250"/>
        <v>#REF!</v>
      </c>
      <c r="BA220" s="452" t="e">
        <f t="shared" si="1250"/>
        <v>#REF!</v>
      </c>
      <c r="BB220" s="452">
        <f t="shared" si="1250"/>
        <v>4485</v>
      </c>
      <c r="BC220" s="452">
        <f t="shared" si="1250"/>
        <v>0</v>
      </c>
      <c r="BD220" s="452">
        <f t="shared" si="1250"/>
        <v>4485</v>
      </c>
      <c r="BE220" s="452">
        <f t="shared" si="1250"/>
        <v>0</v>
      </c>
      <c r="BF220" s="452">
        <f t="shared" si="1250"/>
        <v>0</v>
      </c>
      <c r="BG220" s="452">
        <f t="shared" ref="BG220:CK220" si="1251">SUM(BG221:BG229)-BG222</f>
        <v>0</v>
      </c>
      <c r="BH220" s="452">
        <f t="shared" si="1251"/>
        <v>0</v>
      </c>
      <c r="BI220" s="452">
        <f t="shared" si="1251"/>
        <v>0</v>
      </c>
      <c r="BJ220" s="452">
        <f t="shared" si="1251"/>
        <v>0</v>
      </c>
      <c r="BK220" s="452">
        <f t="shared" si="1251"/>
        <v>0</v>
      </c>
      <c r="BL220" s="452">
        <f t="shared" si="1251"/>
        <v>65451.878710000005</v>
      </c>
      <c r="BM220" s="452">
        <f t="shared" si="1251"/>
        <v>0</v>
      </c>
      <c r="BN220" s="452">
        <f t="shared" si="1251"/>
        <v>4524.3477100000009</v>
      </c>
      <c r="BO220" s="452">
        <f t="shared" si="1251"/>
        <v>60927.531000000003</v>
      </c>
      <c r="BP220" s="452">
        <f t="shared" si="1251"/>
        <v>0</v>
      </c>
      <c r="BQ220" s="452">
        <f t="shared" si="1251"/>
        <v>65451.878710000005</v>
      </c>
      <c r="BR220" s="452">
        <f t="shared" si="1251"/>
        <v>0</v>
      </c>
      <c r="BS220" s="452">
        <f t="shared" si="1251"/>
        <v>4524.3477100000009</v>
      </c>
      <c r="BT220" s="452">
        <f t="shared" si="1251"/>
        <v>60927.531000000003</v>
      </c>
      <c r="BU220" s="452">
        <f t="shared" si="1251"/>
        <v>0</v>
      </c>
      <c r="BV220" s="454">
        <f t="shared" si="1251"/>
        <v>5814.5140499999998</v>
      </c>
      <c r="BW220" s="452">
        <f t="shared" si="1251"/>
        <v>0</v>
      </c>
      <c r="BX220" s="452">
        <f t="shared" si="1251"/>
        <v>938.46611999999993</v>
      </c>
      <c r="BY220" s="452">
        <f t="shared" si="1251"/>
        <v>4876.0479299999997</v>
      </c>
      <c r="BZ220" s="452">
        <f t="shared" si="1251"/>
        <v>0</v>
      </c>
      <c r="CA220" s="452">
        <f t="shared" si="1251"/>
        <v>71266.392760000017</v>
      </c>
      <c r="CB220" s="452">
        <f t="shared" si="1251"/>
        <v>71266.392760000017</v>
      </c>
      <c r="CC220" s="452">
        <f t="shared" si="1251"/>
        <v>0</v>
      </c>
      <c r="CD220" s="452">
        <f t="shared" si="1251"/>
        <v>5462.8138299999991</v>
      </c>
      <c r="CE220" s="452">
        <f t="shared" si="1251"/>
        <v>65803.578930000003</v>
      </c>
      <c r="CF220" s="452">
        <f t="shared" si="1251"/>
        <v>0</v>
      </c>
      <c r="CG220" s="452">
        <f t="shared" si="1251"/>
        <v>0</v>
      </c>
      <c r="CH220" s="452">
        <f t="shared" si="1251"/>
        <v>0</v>
      </c>
      <c r="CI220" s="452">
        <f t="shared" si="1251"/>
        <v>0</v>
      </c>
      <c r="CJ220" s="452">
        <f t="shared" si="1251"/>
        <v>0</v>
      </c>
      <c r="CK220" s="452">
        <f t="shared" si="1251"/>
        <v>0</v>
      </c>
      <c r="CL220" s="455">
        <f>CM220+CO220-BG220</f>
        <v>4485</v>
      </c>
      <c r="CM220" s="456">
        <f t="shared" ref="CM220:DG220" si="1252">SUM(CM221:CM229)-CM222</f>
        <v>4485</v>
      </c>
      <c r="CN220" s="456">
        <f t="shared" si="1252"/>
        <v>4485</v>
      </c>
      <c r="CO220" s="452">
        <f t="shared" si="1252"/>
        <v>0</v>
      </c>
      <c r="CP220" s="452">
        <f t="shared" si="1252"/>
        <v>0</v>
      </c>
      <c r="CQ220" s="452">
        <f t="shared" si="1252"/>
        <v>0</v>
      </c>
      <c r="CR220" s="452">
        <f t="shared" si="1252"/>
        <v>0</v>
      </c>
      <c r="CS220" s="452">
        <f t="shared" si="1252"/>
        <v>0</v>
      </c>
      <c r="CT220" s="452">
        <f t="shared" si="1252"/>
        <v>0</v>
      </c>
      <c r="CU220" s="452">
        <f t="shared" si="1252"/>
        <v>0</v>
      </c>
      <c r="CV220" s="452">
        <f t="shared" si="1252"/>
        <v>0</v>
      </c>
      <c r="CW220" s="452">
        <f t="shared" si="1252"/>
        <v>0</v>
      </c>
      <c r="CX220" s="452">
        <f t="shared" si="1252"/>
        <v>0</v>
      </c>
      <c r="CY220" s="452">
        <f t="shared" si="1252"/>
        <v>0</v>
      </c>
      <c r="CZ220" s="452">
        <f t="shared" si="1252"/>
        <v>0</v>
      </c>
      <c r="DA220" s="452">
        <f t="shared" si="1252"/>
        <v>0</v>
      </c>
      <c r="DB220" s="452">
        <f t="shared" si="1252"/>
        <v>0</v>
      </c>
      <c r="DC220" s="452">
        <f t="shared" si="1252"/>
        <v>0</v>
      </c>
      <c r="DD220" s="452">
        <f t="shared" si="1252"/>
        <v>0</v>
      </c>
      <c r="DE220" s="452">
        <f t="shared" si="1252"/>
        <v>0</v>
      </c>
      <c r="DF220" s="452">
        <f t="shared" si="1252"/>
        <v>0</v>
      </c>
      <c r="DG220" s="452">
        <f t="shared" si="1252"/>
        <v>0</v>
      </c>
      <c r="DH220" s="457"/>
      <c r="DI220" s="452">
        <f>SUM(DI221:DI229)-DI222</f>
        <v>65451.878710000005</v>
      </c>
      <c r="DJ220" s="452">
        <f>SUM(DJ221:DJ229)-DJ222</f>
        <v>65451.878710000005</v>
      </c>
      <c r="DK220" s="457"/>
      <c r="DL220" s="452">
        <f>SUM(DL221:DL229)-DL222</f>
        <v>65451.878710000005</v>
      </c>
      <c r="DM220" s="452">
        <f>SUM(DM221:DM229)-DM222</f>
        <v>0</v>
      </c>
      <c r="DN220" s="457"/>
      <c r="DO220" s="452">
        <f>SUM(DO221:DO229)-DO222</f>
        <v>-60966.878710000005</v>
      </c>
      <c r="DP220" s="457">
        <f>DG220-DO220</f>
        <v>60966.878710000005</v>
      </c>
      <c r="DQ220" s="457"/>
      <c r="DR220" s="452">
        <f t="shared" si="1100"/>
        <v>65451.878710000005</v>
      </c>
      <c r="DS220" s="452">
        <f t="shared" ref="DS220:DU220" si="1253">SUM(DS221:DS229)-DS222</f>
        <v>0</v>
      </c>
      <c r="DT220" s="452">
        <f t="shared" si="1253"/>
        <v>4524.3477100000009</v>
      </c>
      <c r="DU220" s="452">
        <f t="shared" si="1253"/>
        <v>60927.531000000003</v>
      </c>
      <c r="DV220" s="452">
        <f t="shared" ref="DV220" si="1254">SUM(DV221:DV229)-DV222</f>
        <v>0</v>
      </c>
      <c r="DW220" s="452">
        <f t="shared" si="1119"/>
        <v>5814.5140499999998</v>
      </c>
      <c r="DX220" s="452">
        <f t="shared" ref="DX220:DZ220" si="1255">SUM(DX221:DX229)-DX222</f>
        <v>0</v>
      </c>
      <c r="DY220" s="452">
        <f t="shared" si="1255"/>
        <v>938.46611999999993</v>
      </c>
      <c r="DZ220" s="452">
        <f t="shared" si="1255"/>
        <v>4876.0479299999997</v>
      </c>
      <c r="EA220" s="145">
        <f t="shared" ref="EA220" si="1256">SUM(EA221:EA229)-EA222</f>
        <v>0</v>
      </c>
      <c r="EB220" s="57">
        <f t="shared" si="1169"/>
        <v>0</v>
      </c>
      <c r="EC220" s="57">
        <f t="shared" si="1170"/>
        <v>0</v>
      </c>
      <c r="ED220" s="57">
        <f t="shared" ref="ED220" si="1257">SUM(ED221:ED229)-ED222</f>
        <v>0</v>
      </c>
      <c r="EE220" s="360"/>
      <c r="EF220" s="360"/>
      <c r="EG220" s="57">
        <f t="shared" si="1172"/>
        <v>0</v>
      </c>
      <c r="EH220" s="57">
        <f>SUM(EH221:EH229)</f>
        <v>0</v>
      </c>
      <c r="EI220" s="57">
        <f>SUM(EI221:EI229)</f>
        <v>0</v>
      </c>
      <c r="EJ220" s="360"/>
      <c r="EK220" s="360"/>
      <c r="EL220" s="360"/>
      <c r="EM220" s="273">
        <f t="shared" ref="EM220" si="1258">SUM(EM221:EM229)</f>
        <v>0</v>
      </c>
      <c r="EN220" s="57">
        <f t="shared" si="1174"/>
        <v>0</v>
      </c>
      <c r="EO220" s="264"/>
      <c r="EP220" s="57">
        <f t="shared" si="1121"/>
        <v>5462.8138300000001</v>
      </c>
      <c r="EQ220" s="57">
        <f t="shared" si="1175"/>
        <v>4524.34771</v>
      </c>
      <c r="ER220" s="57">
        <f t="shared" ref="ER220" si="1259">SUM(ER221:ER229)-ER222</f>
        <v>938.46611999999993</v>
      </c>
      <c r="ES220" s="360"/>
      <c r="ET220" s="360"/>
      <c r="EU220" s="57">
        <f t="shared" si="1122"/>
        <v>5462.813830000001</v>
      </c>
      <c r="EV220" s="57">
        <f>SUM(EV221:EV229)</f>
        <v>4524.3477100000009</v>
      </c>
      <c r="EW220" s="57">
        <f>SUM(EW221:EW229)</f>
        <v>938.46611999999993</v>
      </c>
      <c r="EX220" s="360"/>
      <c r="EY220" s="360"/>
      <c r="EZ220" s="360"/>
      <c r="FA220" s="57">
        <f t="shared" ref="FA220" si="1260">SUM(FA221:FA229)</f>
        <v>4524.3477100000009</v>
      </c>
      <c r="FB220" s="57">
        <f t="shared" si="1123"/>
        <v>0</v>
      </c>
      <c r="FC220" s="57">
        <f t="shared" ref="FC220" si="1261">FD220+FE220+FF220</f>
        <v>65803.578929999989</v>
      </c>
      <c r="FD220" s="57">
        <f t="shared" si="1179"/>
        <v>60927.530999999995</v>
      </c>
      <c r="FE220" s="57">
        <f t="shared" ref="FE220" si="1262">SUM(FE221:FE229)-FE222</f>
        <v>4876.0479299999997</v>
      </c>
      <c r="FF220" s="360"/>
      <c r="FG220" s="360"/>
      <c r="FH220" s="57">
        <f t="shared" si="1181"/>
        <v>65803.578930000003</v>
      </c>
      <c r="FI220" s="57">
        <f t="shared" si="1230"/>
        <v>60927.531000000003</v>
      </c>
      <c r="FJ220" s="57">
        <f t="shared" si="1231"/>
        <v>4876.0479299999997</v>
      </c>
      <c r="FK220" s="360"/>
      <c r="FL220" s="360"/>
      <c r="FM220" s="360"/>
      <c r="FN220" s="273">
        <f t="shared" si="998"/>
        <v>0</v>
      </c>
      <c r="FO220" s="57">
        <f t="shared" si="1182"/>
        <v>60927.531000000003</v>
      </c>
    </row>
    <row r="221" spans="2:171" s="40" customFormat="1" ht="15.75" customHeight="1" x14ac:dyDescent="0.25">
      <c r="B221" s="32">
        <v>1</v>
      </c>
      <c r="C221" s="33"/>
      <c r="D221" s="33"/>
      <c r="E221" s="434">
        <v>186</v>
      </c>
      <c r="F221" s="32"/>
      <c r="G221" s="33"/>
      <c r="H221" s="33"/>
      <c r="M221" s="434"/>
      <c r="N221" s="435" t="s">
        <v>244</v>
      </c>
      <c r="O221" s="132" t="s">
        <v>343</v>
      </c>
      <c r="P221" s="2">
        <f t="shared" si="1120"/>
        <v>0</v>
      </c>
      <c r="Q221" s="132" t="s">
        <v>490</v>
      </c>
      <c r="R221" s="132" t="s">
        <v>488</v>
      </c>
      <c r="S221" s="132" t="s">
        <v>490</v>
      </c>
      <c r="T221" s="132" t="s">
        <v>488</v>
      </c>
      <c r="U221" s="447">
        <v>1</v>
      </c>
      <c r="V221" s="132">
        <v>1</v>
      </c>
      <c r="W221" s="459">
        <f t="shared" ref="W221:W229" si="1263">X221+Y221+Z221+AA221</f>
        <v>208.8</v>
      </c>
      <c r="X221" s="459"/>
      <c r="Y221" s="460">
        <v>208.8</v>
      </c>
      <c r="Z221" s="459"/>
      <c r="AA221" s="464"/>
      <c r="AB221" s="459">
        <f t="shared" ref="AB221:AB229" si="1264">AC221+AD221+AE221+AF221</f>
        <v>0</v>
      </c>
      <c r="AC221" s="459"/>
      <c r="AD221" s="460"/>
      <c r="AE221" s="459"/>
      <c r="AF221" s="464"/>
      <c r="AG221" s="459">
        <f t="shared" ref="AG221:AG229" si="1265">AH221+AI221+AJ221+AK221</f>
        <v>0</v>
      </c>
      <c r="AH221" s="459"/>
      <c r="AI221" s="460"/>
      <c r="AJ221" s="459"/>
      <c r="AK221" s="464"/>
      <c r="AL221" s="459">
        <f t="shared" ref="AL221:AL229" si="1266">AM221+AN221+AO221+AP221</f>
        <v>0</v>
      </c>
      <c r="AM221" s="459"/>
      <c r="AN221" s="460"/>
      <c r="AO221" s="459"/>
      <c r="AP221" s="459"/>
      <c r="AQ221" s="383" t="s">
        <v>467</v>
      </c>
      <c r="AR221" s="459">
        <f t="shared" ref="AR221:AR229" si="1267">AS221+AT221+AU221+AV221</f>
        <v>195.22800000000001</v>
      </c>
      <c r="AS221" s="459"/>
      <c r="AT221" s="460">
        <f>208.8-13.572</f>
        <v>195.22800000000001</v>
      </c>
      <c r="AU221" s="459"/>
      <c r="AV221" s="459"/>
      <c r="AW221" s="459" t="e">
        <f t="shared" ref="AW221:AW229" si="1268">AX221+AY221+AZ221+BA221</f>
        <v>#REF!</v>
      </c>
      <c r="AX221" s="459" t="e">
        <f>#REF!-AS221</f>
        <v>#REF!</v>
      </c>
      <c r="AY221" s="459" t="e">
        <f>#REF!-AT221</f>
        <v>#REF!</v>
      </c>
      <c r="AZ221" s="459" t="e">
        <f>#REF!-AU221</f>
        <v>#REF!</v>
      </c>
      <c r="BA221" s="459" t="e">
        <f>#REF!-AV221</f>
        <v>#REF!</v>
      </c>
      <c r="BB221" s="459">
        <f t="shared" ref="BB221:BB229" si="1269">BC221+BD221+BE221+BF221</f>
        <v>0</v>
      </c>
      <c r="BC221" s="459"/>
      <c r="BD221" s="459"/>
      <c r="BE221" s="459"/>
      <c r="BF221" s="459"/>
      <c r="BG221" s="459">
        <f t="shared" ref="BG221:BG229" si="1270">BH221+BI221+BJ221+BK221</f>
        <v>0</v>
      </c>
      <c r="BH221" s="459"/>
      <c r="BI221" s="459"/>
      <c r="BJ221" s="459"/>
      <c r="BK221" s="459"/>
      <c r="BL221" s="459">
        <f t="shared" ref="BL221:BL229" si="1271">BM221+BN221+BO221+BP221</f>
        <v>195.22800000000001</v>
      </c>
      <c r="BM221" s="459"/>
      <c r="BN221" s="459">
        <v>195.22800000000001</v>
      </c>
      <c r="BO221" s="459"/>
      <c r="BP221" s="497"/>
      <c r="BQ221" s="459">
        <f t="shared" ref="BQ221:BQ229" si="1272">BR221+BS221+BT221+BU221</f>
        <v>195.22800000000001</v>
      </c>
      <c r="BR221" s="459"/>
      <c r="BS221" s="459">
        <v>195.22800000000001</v>
      </c>
      <c r="BT221" s="459"/>
      <c r="BU221" s="459"/>
      <c r="BV221" s="459">
        <f t="shared" ref="BV221:BV229" si="1273">BW221+BX221+BY221+BZ221</f>
        <v>93.860910000000004</v>
      </c>
      <c r="BW221" s="459"/>
      <c r="BX221" s="459">
        <f>93.5+0.36091</f>
        <v>93.860910000000004</v>
      </c>
      <c r="BY221" s="459"/>
      <c r="BZ221" s="459"/>
      <c r="CA221" s="464">
        <f t="shared" ref="CA221:CA229" si="1274">CB221</f>
        <v>289.08891</v>
      </c>
      <c r="CB221" s="459">
        <f t="shared" ref="CB221:CB229" si="1275">CC221+CD221+CE221+CF221</f>
        <v>289.08891</v>
      </c>
      <c r="CC221" s="459">
        <f t="shared" ref="CC221:CF229" si="1276">BR221+BW221</f>
        <v>0</v>
      </c>
      <c r="CD221" s="459">
        <f t="shared" si="1276"/>
        <v>289.08891</v>
      </c>
      <c r="CE221" s="459">
        <f t="shared" si="1276"/>
        <v>0</v>
      </c>
      <c r="CF221" s="459">
        <f t="shared" si="1276"/>
        <v>0</v>
      </c>
      <c r="CG221" s="459">
        <f t="shared" ref="CG221:CG229" si="1277">CH221+CI221+CJ221+CK221</f>
        <v>0</v>
      </c>
      <c r="CH221" s="459">
        <f t="shared" ref="CH221:CK229" si="1278">BM221-BR221</f>
        <v>0</v>
      </c>
      <c r="CI221" s="459">
        <f t="shared" si="1278"/>
        <v>0</v>
      </c>
      <c r="CJ221" s="459">
        <f t="shared" si="1278"/>
        <v>0</v>
      </c>
      <c r="CK221" s="459">
        <f t="shared" si="1278"/>
        <v>0</v>
      </c>
      <c r="CL221" s="465"/>
      <c r="CM221" s="466">
        <f>BB221</f>
        <v>0</v>
      </c>
      <c r="CN221" s="466">
        <f>CM221</f>
        <v>0</v>
      </c>
      <c r="CO221" s="459">
        <f t="shared" ref="CO221:CO229" si="1279">CP221+CQ221+CR221+CS221</f>
        <v>0</v>
      </c>
      <c r="CP221" s="459"/>
      <c r="CQ221" s="459"/>
      <c r="CR221" s="459"/>
      <c r="CS221" s="459"/>
      <c r="CT221" s="459">
        <f t="shared" ref="CT221:CT229" si="1280">CU221+CV221+CW221+CX221</f>
        <v>0</v>
      </c>
      <c r="CU221" s="459"/>
      <c r="CV221" s="459"/>
      <c r="CW221" s="459"/>
      <c r="CX221" s="459"/>
      <c r="CY221" s="459">
        <f t="shared" ref="CY221:CY229" si="1281">CZ221+DA221+DB221+DC221</f>
        <v>0</v>
      </c>
      <c r="CZ221" s="459"/>
      <c r="DA221" s="459"/>
      <c r="DB221" s="459"/>
      <c r="DC221" s="459"/>
      <c r="DD221" s="459"/>
      <c r="DE221" s="459"/>
      <c r="DF221" s="459"/>
      <c r="DG221" s="459">
        <f t="shared" ref="DG221:DG229" si="1282">CG221+CY221+DF221</f>
        <v>0</v>
      </c>
      <c r="DH221" s="467"/>
      <c r="DI221" s="459">
        <f t="shared" ref="DI221:DI229" si="1283">BL221+CO221+DD221</f>
        <v>195.22800000000001</v>
      </c>
      <c r="DJ221" s="459">
        <f t="shared" ref="DJ221:DJ229" si="1284">BQ221+CT221+DE221</f>
        <v>195.22800000000001</v>
      </c>
      <c r="DK221" s="467"/>
      <c r="DL221" s="459">
        <f t="shared" ref="DL221:DL222" si="1285">DJ221</f>
        <v>195.22800000000001</v>
      </c>
      <c r="DM221" s="459">
        <f t="shared" ref="DM221:DM222" si="1286">DG221</f>
        <v>0</v>
      </c>
      <c r="DN221" s="467"/>
      <c r="DO221" s="459">
        <f>CN221-DL221</f>
        <v>-195.22800000000001</v>
      </c>
      <c r="DP221" s="467"/>
      <c r="DQ221" s="467"/>
      <c r="DR221" s="459">
        <f t="shared" si="1100"/>
        <v>195.22800000000001</v>
      </c>
      <c r="DS221" s="459"/>
      <c r="DT221" s="459">
        <v>195.22800000000001</v>
      </c>
      <c r="DU221" s="459"/>
      <c r="DV221" s="459"/>
      <c r="DW221" s="459">
        <f t="shared" si="1119"/>
        <v>93.860910000000004</v>
      </c>
      <c r="DX221" s="459"/>
      <c r="DY221" s="459">
        <v>93.860910000000004</v>
      </c>
      <c r="DZ221" s="459"/>
      <c r="EA221" s="146"/>
      <c r="EB221" s="279"/>
      <c r="EC221" s="279"/>
      <c r="ED221" s="279"/>
      <c r="EE221" s="366"/>
      <c r="EF221" s="366"/>
      <c r="EG221" s="279"/>
      <c r="EH221" s="279"/>
      <c r="EI221" s="279"/>
      <c r="EJ221" s="366"/>
      <c r="EK221" s="366"/>
      <c r="EL221" s="366">
        <v>2.9700000000000001E-2</v>
      </c>
      <c r="EM221" s="280"/>
      <c r="EN221" s="279"/>
      <c r="EO221" s="265" t="e">
        <f t="shared" ref="EO221:EO229" si="1287">EM221/EJ221</f>
        <v>#DIV/0!</v>
      </c>
      <c r="EP221" s="323">
        <f t="shared" si="1121"/>
        <v>289.08891</v>
      </c>
      <c r="EQ221" s="323">
        <f t="shared" si="1175"/>
        <v>195.22800000000001</v>
      </c>
      <c r="ER221" s="323">
        <v>93.860910000000004</v>
      </c>
      <c r="ES221" s="358">
        <f t="shared" ref="ES221:ES229" si="1288">EQ221/EP221</f>
        <v>0.67532165104500208</v>
      </c>
      <c r="ET221" s="358">
        <f t="shared" ref="ET221:ET229" si="1289">ER221/EP221</f>
        <v>0.32467834895499798</v>
      </c>
      <c r="EU221" s="323">
        <f t="shared" si="1122"/>
        <v>289.08891</v>
      </c>
      <c r="EV221" s="323">
        <f t="shared" ref="EV221:EV229" si="1290">DT221</f>
        <v>195.22800000000001</v>
      </c>
      <c r="EW221" s="323">
        <f t="shared" ref="EW221:EW229" si="1291">DY221</f>
        <v>93.860910000000004</v>
      </c>
      <c r="EX221" s="358">
        <f t="shared" ref="EX221:EX229" si="1292">EV221/EU221</f>
        <v>0.67532165104500208</v>
      </c>
      <c r="EY221" s="358">
        <f t="shared" ref="EY221:EY229" si="1293">EW221/EU221</f>
        <v>0.32467834895499798</v>
      </c>
      <c r="EZ221" s="358">
        <v>0.1</v>
      </c>
      <c r="FA221" s="323">
        <f t="shared" ref="FA221:FA229" si="1294">EU221*ES221</f>
        <v>195.22800000000001</v>
      </c>
      <c r="FB221" s="323">
        <f t="shared" si="1123"/>
        <v>0</v>
      </c>
      <c r="FC221" s="279"/>
      <c r="FD221" s="279"/>
      <c r="FE221" s="279"/>
      <c r="FF221" s="366"/>
      <c r="FG221" s="366"/>
      <c r="FH221" s="279"/>
      <c r="FI221" s="279"/>
      <c r="FJ221" s="279"/>
      <c r="FK221" s="366"/>
      <c r="FL221" s="366"/>
      <c r="FM221" s="366">
        <v>0.1</v>
      </c>
      <c r="FN221" s="280"/>
      <c r="FO221" s="279"/>
    </row>
    <row r="222" spans="2:171" s="40" customFormat="1" ht="15.75" customHeight="1" x14ac:dyDescent="0.25">
      <c r="B222" s="32"/>
      <c r="C222" s="33"/>
      <c r="D222" s="33"/>
      <c r="E222" s="434"/>
      <c r="F222" s="32"/>
      <c r="G222" s="33"/>
      <c r="H222" s="33"/>
      <c r="M222" s="434"/>
      <c r="N222" s="19" t="s">
        <v>251</v>
      </c>
      <c r="O222" s="133"/>
      <c r="P222" s="2">
        <f t="shared" si="1120"/>
        <v>0</v>
      </c>
      <c r="Q222" s="133"/>
      <c r="R222" s="133"/>
      <c r="S222" s="133"/>
      <c r="T222" s="133"/>
      <c r="U222" s="133"/>
      <c r="V222" s="133"/>
      <c r="W222" s="459">
        <f t="shared" si="1263"/>
        <v>0</v>
      </c>
      <c r="X222" s="459"/>
      <c r="Y222" s="460"/>
      <c r="Z222" s="459"/>
      <c r="AA222" s="464"/>
      <c r="AB222" s="459">
        <f t="shared" si="1264"/>
        <v>0</v>
      </c>
      <c r="AC222" s="459"/>
      <c r="AD222" s="460"/>
      <c r="AE222" s="459"/>
      <c r="AF222" s="464"/>
      <c r="AG222" s="459">
        <f t="shared" si="1265"/>
        <v>0</v>
      </c>
      <c r="AH222" s="459"/>
      <c r="AI222" s="460"/>
      <c r="AJ222" s="459"/>
      <c r="AK222" s="464"/>
      <c r="AL222" s="459">
        <f t="shared" si="1266"/>
        <v>0</v>
      </c>
      <c r="AM222" s="459"/>
      <c r="AN222" s="460"/>
      <c r="AO222" s="459"/>
      <c r="AP222" s="459"/>
      <c r="AQ222" s="383"/>
      <c r="AR222" s="459">
        <f t="shared" si="1267"/>
        <v>0</v>
      </c>
      <c r="AS222" s="459"/>
      <c r="AT222" s="469"/>
      <c r="AU222" s="459"/>
      <c r="AV222" s="459"/>
      <c r="AW222" s="459" t="e">
        <f t="shared" si="1268"/>
        <v>#REF!</v>
      </c>
      <c r="AX222" s="459" t="e">
        <f>#REF!-AS222</f>
        <v>#REF!</v>
      </c>
      <c r="AY222" s="459" t="e">
        <f>#REF!-AT222</f>
        <v>#REF!</v>
      </c>
      <c r="AZ222" s="459" t="e">
        <f>#REF!-AU222</f>
        <v>#REF!</v>
      </c>
      <c r="BA222" s="459" t="e">
        <f>#REF!-AV222</f>
        <v>#REF!</v>
      </c>
      <c r="BB222" s="459">
        <f t="shared" si="1269"/>
        <v>0</v>
      </c>
      <c r="BC222" s="459"/>
      <c r="BD222" s="459"/>
      <c r="BE222" s="459"/>
      <c r="BF222" s="459"/>
      <c r="BG222" s="459">
        <f t="shared" si="1270"/>
        <v>0</v>
      </c>
      <c r="BH222" s="459"/>
      <c r="BI222" s="459"/>
      <c r="BJ222" s="459"/>
      <c r="BK222" s="459"/>
      <c r="BL222" s="459">
        <f t="shared" si="1271"/>
        <v>0</v>
      </c>
      <c r="BM222" s="459"/>
      <c r="BN222" s="459"/>
      <c r="BO222" s="459"/>
      <c r="BP222" s="497"/>
      <c r="BQ222" s="459">
        <f t="shared" si="1272"/>
        <v>0</v>
      </c>
      <c r="BR222" s="459"/>
      <c r="BS222" s="459"/>
      <c r="BT222" s="459"/>
      <c r="BU222" s="459"/>
      <c r="BV222" s="459">
        <f t="shared" si="1273"/>
        <v>0</v>
      </c>
      <c r="BW222" s="459"/>
      <c r="BX222" s="459"/>
      <c r="BY222" s="459"/>
      <c r="BZ222" s="459"/>
      <c r="CA222" s="464">
        <f t="shared" si="1274"/>
        <v>0</v>
      </c>
      <c r="CB222" s="459">
        <f t="shared" si="1275"/>
        <v>0</v>
      </c>
      <c r="CC222" s="459">
        <f t="shared" si="1276"/>
        <v>0</v>
      </c>
      <c r="CD222" s="459">
        <f t="shared" si="1276"/>
        <v>0</v>
      </c>
      <c r="CE222" s="459">
        <f t="shared" si="1276"/>
        <v>0</v>
      </c>
      <c r="CF222" s="459">
        <f t="shared" si="1276"/>
        <v>0</v>
      </c>
      <c r="CG222" s="459">
        <f t="shared" si="1277"/>
        <v>0</v>
      </c>
      <c r="CH222" s="459">
        <f t="shared" si="1278"/>
        <v>0</v>
      </c>
      <c r="CI222" s="459">
        <f t="shared" si="1278"/>
        <v>0</v>
      </c>
      <c r="CJ222" s="459">
        <f t="shared" si="1278"/>
        <v>0</v>
      </c>
      <c r="CK222" s="459">
        <f t="shared" si="1278"/>
        <v>0</v>
      </c>
      <c r="CL222" s="465"/>
      <c r="CM222" s="466"/>
      <c r="CN222" s="466"/>
      <c r="CO222" s="459">
        <f t="shared" si="1279"/>
        <v>0</v>
      </c>
      <c r="CP222" s="459"/>
      <c r="CQ222" s="459"/>
      <c r="CR222" s="459"/>
      <c r="CS222" s="459"/>
      <c r="CT222" s="459">
        <f t="shared" si="1280"/>
        <v>0</v>
      </c>
      <c r="CU222" s="459"/>
      <c r="CV222" s="459"/>
      <c r="CW222" s="459"/>
      <c r="CX222" s="459"/>
      <c r="CY222" s="459">
        <f t="shared" si="1281"/>
        <v>0</v>
      </c>
      <c r="CZ222" s="459"/>
      <c r="DA222" s="459"/>
      <c r="DB222" s="459"/>
      <c r="DC222" s="459"/>
      <c r="DD222" s="459"/>
      <c r="DE222" s="459"/>
      <c r="DF222" s="459"/>
      <c r="DG222" s="459">
        <f t="shared" si="1282"/>
        <v>0</v>
      </c>
      <c r="DH222" s="467"/>
      <c r="DI222" s="459">
        <f t="shared" si="1283"/>
        <v>0</v>
      </c>
      <c r="DJ222" s="459">
        <f t="shared" si="1284"/>
        <v>0</v>
      </c>
      <c r="DK222" s="467"/>
      <c r="DL222" s="459">
        <f t="shared" si="1285"/>
        <v>0</v>
      </c>
      <c r="DM222" s="459">
        <f t="shared" si="1286"/>
        <v>0</v>
      </c>
      <c r="DN222" s="467"/>
      <c r="DO222" s="459"/>
      <c r="DP222" s="467"/>
      <c r="DQ222" s="467"/>
      <c r="DR222" s="459">
        <f t="shared" si="1100"/>
        <v>0</v>
      </c>
      <c r="DS222" s="459"/>
      <c r="DT222" s="459"/>
      <c r="DU222" s="459"/>
      <c r="DV222" s="459"/>
      <c r="DW222" s="459">
        <f t="shared" si="1119"/>
        <v>0</v>
      </c>
      <c r="DX222" s="459"/>
      <c r="DY222" s="459"/>
      <c r="DZ222" s="459"/>
      <c r="EA222" s="146"/>
      <c r="EB222" s="279"/>
      <c r="EC222" s="279"/>
      <c r="ED222" s="279"/>
      <c r="EE222" s="366"/>
      <c r="EF222" s="366"/>
      <c r="EG222" s="279"/>
      <c r="EH222" s="279"/>
      <c r="EI222" s="279"/>
      <c r="EJ222" s="366"/>
      <c r="EK222" s="366"/>
      <c r="EL222" s="366"/>
      <c r="EM222" s="280"/>
      <c r="EN222" s="279"/>
      <c r="EO222" s="265" t="e">
        <f t="shared" si="1287"/>
        <v>#DIV/0!</v>
      </c>
      <c r="EP222" s="323"/>
      <c r="EQ222" s="323"/>
      <c r="ER222" s="323"/>
      <c r="ES222" s="358"/>
      <c r="ET222" s="358"/>
      <c r="EU222" s="323"/>
      <c r="EV222" s="323"/>
      <c r="EW222" s="323"/>
      <c r="EX222" s="358"/>
      <c r="EY222" s="358"/>
      <c r="EZ222" s="358"/>
      <c r="FA222" s="323"/>
      <c r="FB222" s="323">
        <f t="shared" si="1123"/>
        <v>0</v>
      </c>
      <c r="FC222" s="279"/>
      <c r="FD222" s="279"/>
      <c r="FE222" s="279"/>
      <c r="FF222" s="366"/>
      <c r="FG222" s="366"/>
      <c r="FH222" s="279"/>
      <c r="FI222" s="279"/>
      <c r="FJ222" s="279"/>
      <c r="FK222" s="366"/>
      <c r="FL222" s="366"/>
      <c r="FM222" s="366"/>
      <c r="FN222" s="280"/>
      <c r="FO222" s="279"/>
    </row>
    <row r="223" spans="2:171" s="40" customFormat="1" ht="15.75" customHeight="1" x14ac:dyDescent="0.25">
      <c r="B223" s="32"/>
      <c r="C223" s="33"/>
      <c r="D223" s="33">
        <v>1</v>
      </c>
      <c r="E223" s="434">
        <v>187</v>
      </c>
      <c r="F223" s="32"/>
      <c r="G223" s="33"/>
      <c r="H223" s="33"/>
      <c r="I223" s="434"/>
      <c r="J223" s="435"/>
      <c r="K223" s="435"/>
      <c r="L223" s="53"/>
      <c r="M223" s="434">
        <v>183</v>
      </c>
      <c r="N223" s="435" t="s">
        <v>146</v>
      </c>
      <c r="O223" s="435"/>
      <c r="P223" s="24">
        <f t="shared" si="1120"/>
        <v>0</v>
      </c>
      <c r="Q223" s="435" t="s">
        <v>501</v>
      </c>
      <c r="R223" s="435" t="s">
        <v>488</v>
      </c>
      <c r="S223" s="435"/>
      <c r="T223" s="435"/>
      <c r="U223" s="161">
        <v>1</v>
      </c>
      <c r="V223" s="434"/>
      <c r="W223" s="459">
        <f t="shared" si="1263"/>
        <v>440</v>
      </c>
      <c r="X223" s="459"/>
      <c r="Y223" s="460">
        <v>440</v>
      </c>
      <c r="Z223" s="459"/>
      <c r="AA223" s="461"/>
      <c r="AB223" s="459">
        <f t="shared" si="1264"/>
        <v>464.6</v>
      </c>
      <c r="AC223" s="459"/>
      <c r="AD223" s="460">
        <v>464.6</v>
      </c>
      <c r="AE223" s="459"/>
      <c r="AF223" s="461"/>
      <c r="AG223" s="459">
        <f t="shared" si="1265"/>
        <v>464.6</v>
      </c>
      <c r="AH223" s="459"/>
      <c r="AI223" s="460">
        <v>464.6</v>
      </c>
      <c r="AJ223" s="459"/>
      <c r="AK223" s="461"/>
      <c r="AL223" s="459">
        <f t="shared" si="1266"/>
        <v>202</v>
      </c>
      <c r="AM223" s="459"/>
      <c r="AN223" s="460">
        <v>202</v>
      </c>
      <c r="AO223" s="459"/>
      <c r="AP223" s="461"/>
      <c r="AQ223" s="383" t="s">
        <v>394</v>
      </c>
      <c r="AR223" s="459">
        <f t="shared" si="1267"/>
        <v>440</v>
      </c>
      <c r="AS223" s="459"/>
      <c r="AT223" s="462">
        <v>440</v>
      </c>
      <c r="AU223" s="459"/>
      <c r="AV223" s="459"/>
      <c r="AW223" s="459" t="e">
        <f t="shared" si="1268"/>
        <v>#REF!</v>
      </c>
      <c r="AX223" s="459" t="e">
        <f>#REF!-AS223</f>
        <v>#REF!</v>
      </c>
      <c r="AY223" s="459" t="e">
        <f>#REF!-AT223</f>
        <v>#REF!</v>
      </c>
      <c r="AZ223" s="459" t="e">
        <f>#REF!-AU223</f>
        <v>#REF!</v>
      </c>
      <c r="BA223" s="459" t="e">
        <f>#REF!-AV223</f>
        <v>#REF!</v>
      </c>
      <c r="BB223" s="459">
        <f t="shared" si="1269"/>
        <v>464.6</v>
      </c>
      <c r="BC223" s="459"/>
      <c r="BD223" s="460">
        <f>202+262.6</f>
        <v>464.6</v>
      </c>
      <c r="BE223" s="459"/>
      <c r="BF223" s="459"/>
      <c r="BG223" s="459">
        <f t="shared" si="1270"/>
        <v>0</v>
      </c>
      <c r="BH223" s="459"/>
      <c r="BI223" s="459"/>
      <c r="BJ223" s="459"/>
      <c r="BK223" s="459"/>
      <c r="BL223" s="459">
        <f t="shared" si="1271"/>
        <v>440</v>
      </c>
      <c r="BM223" s="459"/>
      <c r="BN223" s="460">
        <v>440</v>
      </c>
      <c r="BO223" s="459"/>
      <c r="BP223" s="459"/>
      <c r="BQ223" s="459">
        <f t="shared" si="1272"/>
        <v>440</v>
      </c>
      <c r="BR223" s="459"/>
      <c r="BS223" s="460">
        <v>440</v>
      </c>
      <c r="BT223" s="459"/>
      <c r="BU223" s="459"/>
      <c r="BV223" s="459">
        <f t="shared" si="1273"/>
        <v>164.99</v>
      </c>
      <c r="BW223" s="459"/>
      <c r="BX223" s="459">
        <v>164.99</v>
      </c>
      <c r="BY223" s="459"/>
      <c r="BZ223" s="459"/>
      <c r="CA223" s="464">
        <f t="shared" si="1274"/>
        <v>604.99</v>
      </c>
      <c r="CB223" s="459">
        <f t="shared" si="1275"/>
        <v>604.99</v>
      </c>
      <c r="CC223" s="459">
        <f t="shared" si="1276"/>
        <v>0</v>
      </c>
      <c r="CD223" s="459">
        <f t="shared" si="1276"/>
        <v>604.99</v>
      </c>
      <c r="CE223" s="459">
        <f t="shared" si="1276"/>
        <v>0</v>
      </c>
      <c r="CF223" s="459">
        <f t="shared" si="1276"/>
        <v>0</v>
      </c>
      <c r="CG223" s="459">
        <f t="shared" si="1277"/>
        <v>0</v>
      </c>
      <c r="CH223" s="459">
        <f t="shared" si="1278"/>
        <v>0</v>
      </c>
      <c r="CI223" s="459">
        <f t="shared" si="1278"/>
        <v>0</v>
      </c>
      <c r="CJ223" s="459">
        <f t="shared" si="1278"/>
        <v>0</v>
      </c>
      <c r="CK223" s="459">
        <f t="shared" si="1278"/>
        <v>0</v>
      </c>
      <c r="CL223" s="465"/>
      <c r="CM223" s="466"/>
      <c r="CN223" s="466"/>
      <c r="CO223" s="459">
        <f t="shared" si="1279"/>
        <v>0</v>
      </c>
      <c r="CP223" s="459"/>
      <c r="CQ223" s="459"/>
      <c r="CR223" s="459"/>
      <c r="CS223" s="459"/>
      <c r="CT223" s="459">
        <f t="shared" si="1280"/>
        <v>0</v>
      </c>
      <c r="CU223" s="459"/>
      <c r="CV223" s="459"/>
      <c r="CW223" s="459"/>
      <c r="CX223" s="459"/>
      <c r="CY223" s="459">
        <f t="shared" si="1281"/>
        <v>0</v>
      </c>
      <c r="CZ223" s="459">
        <f t="shared" ref="CZ223:DC229" si="1295">CP223-CU223</f>
        <v>0</v>
      </c>
      <c r="DA223" s="459">
        <f t="shared" si="1295"/>
        <v>0</v>
      </c>
      <c r="DB223" s="459">
        <f t="shared" si="1295"/>
        <v>0</v>
      </c>
      <c r="DC223" s="459">
        <f t="shared" si="1295"/>
        <v>0</v>
      </c>
      <c r="DD223" s="459"/>
      <c r="DE223" s="459"/>
      <c r="DF223" s="459"/>
      <c r="DG223" s="459">
        <f t="shared" si="1282"/>
        <v>0</v>
      </c>
      <c r="DH223" s="467"/>
      <c r="DI223" s="459">
        <f t="shared" si="1283"/>
        <v>440</v>
      </c>
      <c r="DJ223" s="459">
        <f t="shared" si="1284"/>
        <v>440</v>
      </c>
      <c r="DK223" s="467"/>
      <c r="DL223" s="459"/>
      <c r="DM223" s="459"/>
      <c r="DN223" s="467"/>
      <c r="DO223" s="459"/>
      <c r="DP223" s="467"/>
      <c r="DQ223" s="467"/>
      <c r="DR223" s="459">
        <f t="shared" si="1100"/>
        <v>440</v>
      </c>
      <c r="DS223" s="459"/>
      <c r="DT223" s="460">
        <v>440</v>
      </c>
      <c r="DU223" s="459"/>
      <c r="DV223" s="459"/>
      <c r="DW223" s="459">
        <f t="shared" si="1119"/>
        <v>164.99</v>
      </c>
      <c r="DX223" s="459"/>
      <c r="DY223" s="459">
        <v>164.99</v>
      </c>
      <c r="DZ223" s="459"/>
      <c r="EA223" s="146"/>
      <c r="EB223" s="279"/>
      <c r="EC223" s="279"/>
      <c r="ED223" s="279"/>
      <c r="EE223" s="366"/>
      <c r="EF223" s="366"/>
      <c r="EG223" s="279"/>
      <c r="EH223" s="279"/>
      <c r="EI223" s="279"/>
      <c r="EJ223" s="366"/>
      <c r="EK223" s="366"/>
      <c r="EL223" s="366">
        <v>2.23E-2</v>
      </c>
      <c r="EM223" s="280"/>
      <c r="EN223" s="279"/>
      <c r="EO223" s="265" t="e">
        <f t="shared" si="1287"/>
        <v>#DIV/0!</v>
      </c>
      <c r="EP223" s="323">
        <f t="shared" si="1121"/>
        <v>604.99</v>
      </c>
      <c r="EQ223" s="323">
        <f t="shared" si="1175"/>
        <v>440</v>
      </c>
      <c r="ER223" s="323">
        <v>164.99</v>
      </c>
      <c r="ES223" s="358">
        <f t="shared" si="1288"/>
        <v>0.72728474850823976</v>
      </c>
      <c r="ET223" s="358">
        <f t="shared" si="1289"/>
        <v>0.27271525149176018</v>
      </c>
      <c r="EU223" s="323">
        <f t="shared" si="1122"/>
        <v>604.99</v>
      </c>
      <c r="EV223" s="323">
        <f t="shared" si="1290"/>
        <v>440</v>
      </c>
      <c r="EW223" s="323">
        <f t="shared" si="1291"/>
        <v>164.99</v>
      </c>
      <c r="EX223" s="358">
        <f t="shared" si="1292"/>
        <v>0.72728474850823976</v>
      </c>
      <c r="EY223" s="358">
        <f t="shared" si="1293"/>
        <v>0.27271525149176018</v>
      </c>
      <c r="EZ223" s="358">
        <v>7.4300000000000005E-2</v>
      </c>
      <c r="FA223" s="323">
        <f t="shared" si="1294"/>
        <v>440</v>
      </c>
      <c r="FB223" s="323">
        <f t="shared" si="1123"/>
        <v>0</v>
      </c>
      <c r="FC223" s="279"/>
      <c r="FD223" s="279"/>
      <c r="FE223" s="279"/>
      <c r="FF223" s="366"/>
      <c r="FG223" s="366"/>
      <c r="FH223" s="279"/>
      <c r="FI223" s="279"/>
      <c r="FJ223" s="279"/>
      <c r="FK223" s="366"/>
      <c r="FL223" s="366"/>
      <c r="FM223" s="366">
        <v>7.4300000000000005E-2</v>
      </c>
      <c r="FN223" s="280"/>
      <c r="FO223" s="279"/>
    </row>
    <row r="224" spans="2:171" s="40" customFormat="1" ht="15.75" customHeight="1" x14ac:dyDescent="0.25">
      <c r="B224" s="32"/>
      <c r="C224" s="33"/>
      <c r="D224" s="33">
        <v>1</v>
      </c>
      <c r="E224" s="434">
        <v>188</v>
      </c>
      <c r="F224" s="32"/>
      <c r="G224" s="33"/>
      <c r="H224" s="33"/>
      <c r="M224" s="434">
        <v>184</v>
      </c>
      <c r="N224" s="435" t="s">
        <v>147</v>
      </c>
      <c r="O224" s="435"/>
      <c r="P224" s="24">
        <f t="shared" si="1120"/>
        <v>0</v>
      </c>
      <c r="Q224" s="435" t="s">
        <v>491</v>
      </c>
      <c r="R224" s="435" t="s">
        <v>488</v>
      </c>
      <c r="S224" s="435" t="s">
        <v>490</v>
      </c>
      <c r="T224" s="435" t="s">
        <v>488</v>
      </c>
      <c r="U224" s="161">
        <v>1</v>
      </c>
      <c r="V224" s="434"/>
      <c r="W224" s="459">
        <f t="shared" si="1263"/>
        <v>108.5</v>
      </c>
      <c r="X224" s="459"/>
      <c r="Y224" s="460">
        <v>108.5</v>
      </c>
      <c r="Z224" s="459"/>
      <c r="AA224" s="464"/>
      <c r="AB224" s="459">
        <f t="shared" si="1264"/>
        <v>0</v>
      </c>
      <c r="AC224" s="459"/>
      <c r="AD224" s="460">
        <v>0</v>
      </c>
      <c r="AE224" s="459"/>
      <c r="AF224" s="464"/>
      <c r="AG224" s="459">
        <f t="shared" si="1265"/>
        <v>0</v>
      </c>
      <c r="AH224" s="459"/>
      <c r="AI224" s="460">
        <v>0</v>
      </c>
      <c r="AJ224" s="459"/>
      <c r="AK224" s="464"/>
      <c r="AL224" s="459">
        <f t="shared" si="1266"/>
        <v>48</v>
      </c>
      <c r="AM224" s="459"/>
      <c r="AN224" s="460">
        <v>48</v>
      </c>
      <c r="AO224" s="459"/>
      <c r="AP224" s="459"/>
      <c r="AQ224" s="383" t="s">
        <v>393</v>
      </c>
      <c r="AR224" s="459">
        <f t="shared" si="1267"/>
        <v>108.5</v>
      </c>
      <c r="AS224" s="459"/>
      <c r="AT224" s="462">
        <v>108.5</v>
      </c>
      <c r="AU224" s="459"/>
      <c r="AV224" s="459"/>
      <c r="AW224" s="459" t="e">
        <f t="shared" si="1268"/>
        <v>#REF!</v>
      </c>
      <c r="AX224" s="459" t="e">
        <f>#REF!-AS224</f>
        <v>#REF!</v>
      </c>
      <c r="AY224" s="459" t="e">
        <f>#REF!-AT224</f>
        <v>#REF!</v>
      </c>
      <c r="AZ224" s="459" t="e">
        <f>#REF!-AU224</f>
        <v>#REF!</v>
      </c>
      <c r="BA224" s="459" t="e">
        <f>#REF!-AV224</f>
        <v>#REF!</v>
      </c>
      <c r="BB224" s="459">
        <f t="shared" si="1269"/>
        <v>0</v>
      </c>
      <c r="BC224" s="459"/>
      <c r="BD224" s="460"/>
      <c r="BE224" s="459"/>
      <c r="BF224" s="459"/>
      <c r="BG224" s="459">
        <f t="shared" si="1270"/>
        <v>0</v>
      </c>
      <c r="BH224" s="459"/>
      <c r="BI224" s="459"/>
      <c r="BJ224" s="459"/>
      <c r="BK224" s="459"/>
      <c r="BL224" s="459">
        <f t="shared" si="1271"/>
        <v>108.5</v>
      </c>
      <c r="BM224" s="459"/>
      <c r="BN224" s="462">
        <v>108.5</v>
      </c>
      <c r="BO224" s="459"/>
      <c r="BP224" s="459"/>
      <c r="BQ224" s="459">
        <f t="shared" si="1272"/>
        <v>108.5</v>
      </c>
      <c r="BR224" s="459"/>
      <c r="BS224" s="460">
        <v>108.5</v>
      </c>
      <c r="BT224" s="459"/>
      <c r="BU224" s="459"/>
      <c r="BV224" s="459">
        <f t="shared" si="1273"/>
        <v>9.3640000000000008</v>
      </c>
      <c r="BW224" s="459"/>
      <c r="BX224" s="459">
        <v>9.3640000000000008</v>
      </c>
      <c r="BY224" s="459"/>
      <c r="BZ224" s="459"/>
      <c r="CA224" s="464">
        <f t="shared" si="1274"/>
        <v>117.864</v>
      </c>
      <c r="CB224" s="459">
        <f t="shared" si="1275"/>
        <v>117.864</v>
      </c>
      <c r="CC224" s="459">
        <f t="shared" si="1276"/>
        <v>0</v>
      </c>
      <c r="CD224" s="459">
        <f t="shared" si="1276"/>
        <v>117.864</v>
      </c>
      <c r="CE224" s="459">
        <f t="shared" si="1276"/>
        <v>0</v>
      </c>
      <c r="CF224" s="459">
        <f t="shared" si="1276"/>
        <v>0</v>
      </c>
      <c r="CG224" s="459">
        <f t="shared" si="1277"/>
        <v>0</v>
      </c>
      <c r="CH224" s="459">
        <f t="shared" si="1278"/>
        <v>0</v>
      </c>
      <c r="CI224" s="459">
        <f t="shared" si="1278"/>
        <v>0</v>
      </c>
      <c r="CJ224" s="459">
        <f t="shared" si="1278"/>
        <v>0</v>
      </c>
      <c r="CK224" s="459">
        <f t="shared" si="1278"/>
        <v>0</v>
      </c>
      <c r="CL224" s="465"/>
      <c r="CM224" s="466"/>
      <c r="CN224" s="466"/>
      <c r="CO224" s="459">
        <f t="shared" si="1279"/>
        <v>0</v>
      </c>
      <c r="CP224" s="459"/>
      <c r="CQ224" s="459"/>
      <c r="CR224" s="459"/>
      <c r="CS224" s="459"/>
      <c r="CT224" s="459">
        <f t="shared" si="1280"/>
        <v>0</v>
      </c>
      <c r="CU224" s="459"/>
      <c r="CV224" s="459"/>
      <c r="CW224" s="459"/>
      <c r="CX224" s="459"/>
      <c r="CY224" s="459">
        <f t="shared" si="1281"/>
        <v>0</v>
      </c>
      <c r="CZ224" s="459">
        <f t="shared" si="1295"/>
        <v>0</v>
      </c>
      <c r="DA224" s="459">
        <f t="shared" si="1295"/>
        <v>0</v>
      </c>
      <c r="DB224" s="459">
        <f t="shared" si="1295"/>
        <v>0</v>
      </c>
      <c r="DC224" s="459">
        <f t="shared" si="1295"/>
        <v>0</v>
      </c>
      <c r="DD224" s="459"/>
      <c r="DE224" s="459"/>
      <c r="DF224" s="459"/>
      <c r="DG224" s="459">
        <f t="shared" si="1282"/>
        <v>0</v>
      </c>
      <c r="DH224" s="467"/>
      <c r="DI224" s="459">
        <f t="shared" si="1283"/>
        <v>108.5</v>
      </c>
      <c r="DJ224" s="459">
        <f t="shared" si="1284"/>
        <v>108.5</v>
      </c>
      <c r="DK224" s="467"/>
      <c r="DL224" s="459"/>
      <c r="DM224" s="459"/>
      <c r="DN224" s="467"/>
      <c r="DO224" s="459"/>
      <c r="DP224" s="467"/>
      <c r="DQ224" s="467"/>
      <c r="DR224" s="459">
        <f t="shared" si="1100"/>
        <v>108.5</v>
      </c>
      <c r="DS224" s="459"/>
      <c r="DT224" s="462">
        <v>108.5</v>
      </c>
      <c r="DU224" s="459"/>
      <c r="DV224" s="459"/>
      <c r="DW224" s="459">
        <f t="shared" si="1119"/>
        <v>9.3640000000000008</v>
      </c>
      <c r="DX224" s="459"/>
      <c r="DY224" s="459">
        <v>9.3640000000000008</v>
      </c>
      <c r="DZ224" s="459"/>
      <c r="EA224" s="146"/>
      <c r="EB224" s="279"/>
      <c r="EC224" s="279"/>
      <c r="ED224" s="279"/>
      <c r="EE224" s="366"/>
      <c r="EF224" s="366"/>
      <c r="EG224" s="279"/>
      <c r="EH224" s="279"/>
      <c r="EI224" s="279"/>
      <c r="EJ224" s="366"/>
      <c r="EK224" s="366"/>
      <c r="EL224" s="366">
        <v>2.1299999999999999E-2</v>
      </c>
      <c r="EM224" s="280"/>
      <c r="EN224" s="279"/>
      <c r="EO224" s="265" t="e">
        <f t="shared" si="1287"/>
        <v>#DIV/0!</v>
      </c>
      <c r="EP224" s="323">
        <f t="shared" ref="EP224" si="1296">EQ224+ER224</f>
        <v>117.864</v>
      </c>
      <c r="EQ224" s="323">
        <f t="shared" ref="EQ224" si="1297">AT224</f>
        <v>108.5</v>
      </c>
      <c r="ER224" s="323">
        <v>9.3640000000000008</v>
      </c>
      <c r="ES224" s="358">
        <f t="shared" ref="ES224" si="1298">EQ224/EP224</f>
        <v>0.92055250118780962</v>
      </c>
      <c r="ET224" s="358">
        <f t="shared" ref="ET224" si="1299">ER224/EP224</f>
        <v>7.944749881219032E-2</v>
      </c>
      <c r="EU224" s="323">
        <f t="shared" ref="EU224" si="1300">EV224+EW224</f>
        <v>117.864</v>
      </c>
      <c r="EV224" s="323">
        <f t="shared" ref="EV224" si="1301">DT224</f>
        <v>108.5</v>
      </c>
      <c r="EW224" s="323">
        <f t="shared" ref="EW224" si="1302">DY224</f>
        <v>9.3640000000000008</v>
      </c>
      <c r="EX224" s="358">
        <f t="shared" ref="EX224" si="1303">EV224/EU224</f>
        <v>0.92055250118780962</v>
      </c>
      <c r="EY224" s="358">
        <f t="shared" ref="EY224" si="1304">EW224/EU224</f>
        <v>7.944749881219032E-2</v>
      </c>
      <c r="EZ224" s="358">
        <v>7.0999999999999994E-2</v>
      </c>
      <c r="FA224" s="323">
        <f t="shared" ref="FA224" si="1305">EU224*ES224</f>
        <v>108.5</v>
      </c>
      <c r="FB224" s="323">
        <f t="shared" si="1123"/>
        <v>0</v>
      </c>
      <c r="FC224" s="279"/>
      <c r="FD224" s="279"/>
      <c r="FE224" s="279"/>
      <c r="FF224" s="366"/>
      <c r="FG224" s="366"/>
      <c r="FH224" s="279"/>
      <c r="FI224" s="279"/>
      <c r="FJ224" s="279"/>
      <c r="FK224" s="366"/>
      <c r="FL224" s="366"/>
      <c r="FM224" s="366">
        <v>7.0999999999999994E-2</v>
      </c>
      <c r="FN224" s="280"/>
      <c r="FO224" s="279"/>
    </row>
    <row r="225" spans="2:171" s="40" customFormat="1" ht="15.75" customHeight="1" x14ac:dyDescent="0.25">
      <c r="B225" s="32"/>
      <c r="C225" s="33"/>
      <c r="D225" s="33">
        <v>1</v>
      </c>
      <c r="E225" s="434">
        <v>189</v>
      </c>
      <c r="F225" s="32"/>
      <c r="G225" s="33"/>
      <c r="H225" s="33">
        <v>1</v>
      </c>
      <c r="I225" s="434"/>
      <c r="J225" s="435"/>
      <c r="K225" s="435"/>
      <c r="L225" s="53"/>
      <c r="M225" s="434">
        <v>185</v>
      </c>
      <c r="N225" s="435" t="s">
        <v>174</v>
      </c>
      <c r="O225" s="435"/>
      <c r="P225" s="24">
        <f t="shared" si="1120"/>
        <v>0</v>
      </c>
      <c r="Q225" s="435" t="s">
        <v>490</v>
      </c>
      <c r="R225" s="435" t="s">
        <v>488</v>
      </c>
      <c r="S225" s="435" t="s">
        <v>490</v>
      </c>
      <c r="T225" s="435" t="s">
        <v>488</v>
      </c>
      <c r="U225" s="161">
        <v>1</v>
      </c>
      <c r="V225" s="434">
        <v>1</v>
      </c>
      <c r="W225" s="459">
        <f t="shared" si="1263"/>
        <v>671.3</v>
      </c>
      <c r="X225" s="459"/>
      <c r="Y225" s="460">
        <v>671.3</v>
      </c>
      <c r="Z225" s="459"/>
      <c r="AA225" s="464"/>
      <c r="AB225" s="459">
        <f t="shared" si="1264"/>
        <v>584.20000000000005</v>
      </c>
      <c r="AC225" s="459"/>
      <c r="AD225" s="460">
        <v>584.20000000000005</v>
      </c>
      <c r="AE225" s="459"/>
      <c r="AF225" s="464"/>
      <c r="AG225" s="459">
        <f t="shared" si="1265"/>
        <v>584.20000000000005</v>
      </c>
      <c r="AH225" s="459"/>
      <c r="AI225" s="460">
        <v>584.20000000000005</v>
      </c>
      <c r="AJ225" s="459"/>
      <c r="AK225" s="464"/>
      <c r="AL225" s="459">
        <f t="shared" si="1266"/>
        <v>254</v>
      </c>
      <c r="AM225" s="459"/>
      <c r="AN225" s="460">
        <v>254</v>
      </c>
      <c r="AO225" s="459"/>
      <c r="AP225" s="459"/>
      <c r="AQ225" s="383" t="s">
        <v>494</v>
      </c>
      <c r="AR225" s="459">
        <f t="shared" si="1267"/>
        <v>584.96499999999992</v>
      </c>
      <c r="AS225" s="459"/>
      <c r="AT225" s="462">
        <f>671.3-86.335</f>
        <v>584.96499999999992</v>
      </c>
      <c r="AU225" s="459"/>
      <c r="AV225" s="459"/>
      <c r="AW225" s="459" t="e">
        <f t="shared" si="1268"/>
        <v>#REF!</v>
      </c>
      <c r="AX225" s="459" t="e">
        <f>#REF!-AS225</f>
        <v>#REF!</v>
      </c>
      <c r="AY225" s="459" t="e">
        <f>#REF!-AT225</f>
        <v>#REF!</v>
      </c>
      <c r="AZ225" s="459" t="e">
        <f>#REF!-AU225</f>
        <v>#REF!</v>
      </c>
      <c r="BA225" s="459" t="e">
        <f>#REF!-AV225</f>
        <v>#REF!</v>
      </c>
      <c r="BB225" s="459">
        <f t="shared" si="1269"/>
        <v>584.20000000000005</v>
      </c>
      <c r="BC225" s="459"/>
      <c r="BD225" s="460">
        <v>584.20000000000005</v>
      </c>
      <c r="BE225" s="459"/>
      <c r="BF225" s="459"/>
      <c r="BG225" s="459">
        <f t="shared" si="1270"/>
        <v>0</v>
      </c>
      <c r="BH225" s="459"/>
      <c r="BI225" s="460"/>
      <c r="BJ225" s="459"/>
      <c r="BK225" s="459"/>
      <c r="BL225" s="459">
        <f t="shared" si="1271"/>
        <v>584.96500000000003</v>
      </c>
      <c r="BM225" s="459"/>
      <c r="BN225" s="460">
        <v>584.96500000000003</v>
      </c>
      <c r="BO225" s="459"/>
      <c r="BP225" s="459"/>
      <c r="BQ225" s="459">
        <f t="shared" si="1272"/>
        <v>584.96500000000003</v>
      </c>
      <c r="BR225" s="459"/>
      <c r="BS225" s="460">
        <v>584.96500000000003</v>
      </c>
      <c r="BT225" s="459"/>
      <c r="BU225" s="459"/>
      <c r="BV225" s="459">
        <f t="shared" si="1273"/>
        <v>65.034999999999997</v>
      </c>
      <c r="BW225" s="459"/>
      <c r="BX225" s="459">
        <v>65.034999999999997</v>
      </c>
      <c r="BY225" s="459"/>
      <c r="BZ225" s="459"/>
      <c r="CA225" s="464">
        <f t="shared" si="1274"/>
        <v>650</v>
      </c>
      <c r="CB225" s="459">
        <f t="shared" si="1275"/>
        <v>650</v>
      </c>
      <c r="CC225" s="459">
        <f t="shared" si="1276"/>
        <v>0</v>
      </c>
      <c r="CD225" s="459">
        <f t="shared" si="1276"/>
        <v>650</v>
      </c>
      <c r="CE225" s="459">
        <f t="shared" si="1276"/>
        <v>0</v>
      </c>
      <c r="CF225" s="459">
        <f t="shared" si="1276"/>
        <v>0</v>
      </c>
      <c r="CG225" s="459">
        <f t="shared" si="1277"/>
        <v>0</v>
      </c>
      <c r="CH225" s="459">
        <f t="shared" si="1278"/>
        <v>0</v>
      </c>
      <c r="CI225" s="459">
        <f t="shared" si="1278"/>
        <v>0</v>
      </c>
      <c r="CJ225" s="459">
        <f t="shared" si="1278"/>
        <v>0</v>
      </c>
      <c r="CK225" s="459">
        <f t="shared" si="1278"/>
        <v>0</v>
      </c>
      <c r="CL225" s="465"/>
      <c r="CM225" s="466"/>
      <c r="CN225" s="466"/>
      <c r="CO225" s="459">
        <f t="shared" si="1279"/>
        <v>0</v>
      </c>
      <c r="CP225" s="459"/>
      <c r="CQ225" s="460"/>
      <c r="CR225" s="459"/>
      <c r="CS225" s="459"/>
      <c r="CT225" s="459">
        <f t="shared" si="1280"/>
        <v>0</v>
      </c>
      <c r="CU225" s="459"/>
      <c r="CV225" s="460"/>
      <c r="CW225" s="459"/>
      <c r="CX225" s="459"/>
      <c r="CY225" s="459">
        <f t="shared" si="1281"/>
        <v>0</v>
      </c>
      <c r="CZ225" s="459">
        <f t="shared" si="1295"/>
        <v>0</v>
      </c>
      <c r="DA225" s="459">
        <f t="shared" si="1295"/>
        <v>0</v>
      </c>
      <c r="DB225" s="459">
        <f t="shared" si="1295"/>
        <v>0</v>
      </c>
      <c r="DC225" s="459">
        <f t="shared" si="1295"/>
        <v>0</v>
      </c>
      <c r="DD225" s="459"/>
      <c r="DE225" s="459"/>
      <c r="DF225" s="459"/>
      <c r="DG225" s="459">
        <f t="shared" si="1282"/>
        <v>0</v>
      </c>
      <c r="DH225" s="467"/>
      <c r="DI225" s="459">
        <f t="shared" si="1283"/>
        <v>584.96500000000003</v>
      </c>
      <c r="DJ225" s="459">
        <f t="shared" si="1284"/>
        <v>584.96500000000003</v>
      </c>
      <c r="DK225" s="467"/>
      <c r="DL225" s="459"/>
      <c r="DM225" s="459"/>
      <c r="DN225" s="467"/>
      <c r="DO225" s="459"/>
      <c r="DP225" s="467"/>
      <c r="DQ225" s="467"/>
      <c r="DR225" s="459">
        <f t="shared" si="1100"/>
        <v>584.96500000000003</v>
      </c>
      <c r="DS225" s="459"/>
      <c r="DT225" s="460">
        <v>584.96500000000003</v>
      </c>
      <c r="DU225" s="459"/>
      <c r="DV225" s="459"/>
      <c r="DW225" s="459">
        <f t="shared" si="1119"/>
        <v>65.034999999999997</v>
      </c>
      <c r="DX225" s="459"/>
      <c r="DY225" s="459">
        <v>65.034999999999997</v>
      </c>
      <c r="DZ225" s="459"/>
      <c r="EA225" s="146"/>
      <c r="EB225" s="279"/>
      <c r="EC225" s="279"/>
      <c r="ED225" s="279"/>
      <c r="EE225" s="366"/>
      <c r="EF225" s="366"/>
      <c r="EG225" s="279"/>
      <c r="EH225" s="279"/>
      <c r="EI225" s="279"/>
      <c r="EJ225" s="366"/>
      <c r="EK225" s="366"/>
      <c r="EL225" s="366">
        <v>2.1000000000000001E-2</v>
      </c>
      <c r="EM225" s="280"/>
      <c r="EN225" s="279"/>
      <c r="EO225" s="265" t="e">
        <f t="shared" si="1287"/>
        <v>#DIV/0!</v>
      </c>
      <c r="EP225" s="323">
        <f t="shared" si="1121"/>
        <v>649.99999999999989</v>
      </c>
      <c r="EQ225" s="323">
        <f t="shared" si="1175"/>
        <v>584.96499999999992</v>
      </c>
      <c r="ER225" s="323">
        <v>65.034999999999997</v>
      </c>
      <c r="ES225" s="358">
        <f t="shared" si="1288"/>
        <v>0.89994615384615384</v>
      </c>
      <c r="ET225" s="358">
        <f t="shared" si="1289"/>
        <v>0.10005384615384616</v>
      </c>
      <c r="EU225" s="323">
        <f t="shared" si="1122"/>
        <v>650</v>
      </c>
      <c r="EV225" s="323">
        <f t="shared" si="1290"/>
        <v>584.96500000000003</v>
      </c>
      <c r="EW225" s="323">
        <f t="shared" si="1291"/>
        <v>65.034999999999997</v>
      </c>
      <c r="EX225" s="358">
        <f t="shared" si="1292"/>
        <v>0.89994615384615384</v>
      </c>
      <c r="EY225" s="358">
        <f t="shared" si="1293"/>
        <v>0.10005384615384615</v>
      </c>
      <c r="EZ225" s="358">
        <v>7.0000000000000007E-2</v>
      </c>
      <c r="FA225" s="323">
        <f t="shared" si="1294"/>
        <v>584.96500000000003</v>
      </c>
      <c r="FB225" s="323">
        <f t="shared" si="1123"/>
        <v>0</v>
      </c>
      <c r="FC225" s="279"/>
      <c r="FD225" s="279"/>
      <c r="FE225" s="279"/>
      <c r="FF225" s="366"/>
      <c r="FG225" s="366"/>
      <c r="FH225" s="279"/>
      <c r="FI225" s="279"/>
      <c r="FJ225" s="279"/>
      <c r="FK225" s="366"/>
      <c r="FL225" s="366"/>
      <c r="FM225" s="366">
        <v>7.0000000000000007E-2</v>
      </c>
      <c r="FN225" s="280"/>
      <c r="FO225" s="279"/>
    </row>
    <row r="226" spans="2:171" s="40" customFormat="1" ht="15.6" customHeight="1" x14ac:dyDescent="0.25">
      <c r="B226" s="32"/>
      <c r="C226" s="33"/>
      <c r="D226" s="33">
        <v>1</v>
      </c>
      <c r="E226" s="434">
        <v>190</v>
      </c>
      <c r="F226" s="32"/>
      <c r="G226" s="33"/>
      <c r="H226" s="33">
        <v>1</v>
      </c>
      <c r="I226" s="434"/>
      <c r="J226" s="435"/>
      <c r="K226" s="435"/>
      <c r="L226" s="53"/>
      <c r="M226" s="434">
        <v>186</v>
      </c>
      <c r="N226" s="435" t="s">
        <v>148</v>
      </c>
      <c r="O226" s="435"/>
      <c r="P226" s="24">
        <f t="shared" si="1120"/>
        <v>0</v>
      </c>
      <c r="Q226" s="435"/>
      <c r="R226" s="435"/>
      <c r="S226" s="435" t="s">
        <v>490</v>
      </c>
      <c r="T226" s="435" t="s">
        <v>488</v>
      </c>
      <c r="U226" s="161">
        <v>1</v>
      </c>
      <c r="V226" s="434"/>
      <c r="W226" s="459">
        <f t="shared" si="1263"/>
        <v>497.3</v>
      </c>
      <c r="X226" s="459"/>
      <c r="Y226" s="460">
        <v>497.3</v>
      </c>
      <c r="Z226" s="459"/>
      <c r="AA226" s="464"/>
      <c r="AB226" s="459">
        <f t="shared" si="1264"/>
        <v>501.4</v>
      </c>
      <c r="AC226" s="459"/>
      <c r="AD226" s="460">
        <v>501.4</v>
      </c>
      <c r="AE226" s="459"/>
      <c r="AF226" s="464"/>
      <c r="AG226" s="459">
        <f t="shared" si="1265"/>
        <v>501.4</v>
      </c>
      <c r="AH226" s="459"/>
      <c r="AI226" s="460">
        <v>501.4</v>
      </c>
      <c r="AJ226" s="459"/>
      <c r="AK226" s="464"/>
      <c r="AL226" s="459">
        <f t="shared" si="1266"/>
        <v>218</v>
      </c>
      <c r="AM226" s="459"/>
      <c r="AN226" s="460">
        <v>218</v>
      </c>
      <c r="AO226" s="459"/>
      <c r="AP226" s="459"/>
      <c r="AQ226" s="383" t="s">
        <v>401</v>
      </c>
      <c r="AR226" s="459">
        <f t="shared" si="1267"/>
        <v>497.3</v>
      </c>
      <c r="AS226" s="459"/>
      <c r="AT226" s="462">
        <v>497.3</v>
      </c>
      <c r="AU226" s="459"/>
      <c r="AV226" s="459"/>
      <c r="AW226" s="459" t="e">
        <f t="shared" si="1268"/>
        <v>#REF!</v>
      </c>
      <c r="AX226" s="459" t="e">
        <f>#REF!-AS226</f>
        <v>#REF!</v>
      </c>
      <c r="AY226" s="459" t="e">
        <f>#REF!-AT226</f>
        <v>#REF!</v>
      </c>
      <c r="AZ226" s="459" t="e">
        <f>#REF!-AU226</f>
        <v>#REF!</v>
      </c>
      <c r="BA226" s="459" t="e">
        <f>#REF!-AV226</f>
        <v>#REF!</v>
      </c>
      <c r="BB226" s="459">
        <f t="shared" si="1269"/>
        <v>501.4</v>
      </c>
      <c r="BC226" s="459"/>
      <c r="BD226" s="460">
        <v>501.4</v>
      </c>
      <c r="BE226" s="459"/>
      <c r="BF226" s="459"/>
      <c r="BG226" s="459">
        <f t="shared" si="1270"/>
        <v>0</v>
      </c>
      <c r="BH226" s="459"/>
      <c r="BI226" s="460"/>
      <c r="BJ226" s="459"/>
      <c r="BK226" s="459"/>
      <c r="BL226" s="459">
        <f t="shared" si="1271"/>
        <v>497.3</v>
      </c>
      <c r="BM226" s="459"/>
      <c r="BN226" s="462">
        <v>497.3</v>
      </c>
      <c r="BO226" s="459"/>
      <c r="BP226" s="459"/>
      <c r="BQ226" s="459">
        <f t="shared" si="1272"/>
        <v>497.3</v>
      </c>
      <c r="BR226" s="459"/>
      <c r="BS226" s="462">
        <v>497.3</v>
      </c>
      <c r="BT226" s="459"/>
      <c r="BU226" s="459"/>
      <c r="BV226" s="459">
        <f t="shared" si="1273"/>
        <v>171.3</v>
      </c>
      <c r="BW226" s="459"/>
      <c r="BX226" s="459">
        <v>171.3</v>
      </c>
      <c r="BY226" s="459"/>
      <c r="BZ226" s="459"/>
      <c r="CA226" s="464">
        <f t="shared" si="1274"/>
        <v>668.6</v>
      </c>
      <c r="CB226" s="459">
        <f t="shared" si="1275"/>
        <v>668.6</v>
      </c>
      <c r="CC226" s="459">
        <f t="shared" si="1276"/>
        <v>0</v>
      </c>
      <c r="CD226" s="459">
        <f t="shared" si="1276"/>
        <v>668.6</v>
      </c>
      <c r="CE226" s="459">
        <f t="shared" si="1276"/>
        <v>0</v>
      </c>
      <c r="CF226" s="459">
        <f t="shared" si="1276"/>
        <v>0</v>
      </c>
      <c r="CG226" s="459">
        <f t="shared" si="1277"/>
        <v>0</v>
      </c>
      <c r="CH226" s="459">
        <f t="shared" si="1278"/>
        <v>0</v>
      </c>
      <c r="CI226" s="459">
        <f t="shared" si="1278"/>
        <v>0</v>
      </c>
      <c r="CJ226" s="459">
        <f t="shared" si="1278"/>
        <v>0</v>
      </c>
      <c r="CK226" s="459">
        <f t="shared" si="1278"/>
        <v>0</v>
      </c>
      <c r="CL226" s="465"/>
      <c r="CM226" s="466"/>
      <c r="CN226" s="466"/>
      <c r="CO226" s="459">
        <f t="shared" si="1279"/>
        <v>0</v>
      </c>
      <c r="CP226" s="459"/>
      <c r="CQ226" s="460"/>
      <c r="CR226" s="459"/>
      <c r="CS226" s="459"/>
      <c r="CT226" s="459">
        <f t="shared" si="1280"/>
        <v>0</v>
      </c>
      <c r="CU226" s="459"/>
      <c r="CV226" s="460"/>
      <c r="CW226" s="459"/>
      <c r="CX226" s="459"/>
      <c r="CY226" s="459">
        <f t="shared" si="1281"/>
        <v>0</v>
      </c>
      <c r="CZ226" s="459">
        <f t="shared" si="1295"/>
        <v>0</v>
      </c>
      <c r="DA226" s="459">
        <f t="shared" si="1295"/>
        <v>0</v>
      </c>
      <c r="DB226" s="459">
        <f t="shared" si="1295"/>
        <v>0</v>
      </c>
      <c r="DC226" s="459">
        <f t="shared" si="1295"/>
        <v>0</v>
      </c>
      <c r="DD226" s="459"/>
      <c r="DE226" s="459"/>
      <c r="DF226" s="459"/>
      <c r="DG226" s="459">
        <f t="shared" si="1282"/>
        <v>0</v>
      </c>
      <c r="DH226" s="467"/>
      <c r="DI226" s="459">
        <f t="shared" si="1283"/>
        <v>497.3</v>
      </c>
      <c r="DJ226" s="459">
        <f t="shared" si="1284"/>
        <v>497.3</v>
      </c>
      <c r="DK226" s="467"/>
      <c r="DL226" s="459"/>
      <c r="DM226" s="459"/>
      <c r="DN226" s="467"/>
      <c r="DO226" s="459"/>
      <c r="DP226" s="467"/>
      <c r="DQ226" s="467"/>
      <c r="DR226" s="459">
        <f t="shared" si="1100"/>
        <v>497.3</v>
      </c>
      <c r="DS226" s="459"/>
      <c r="DT226" s="470">
        <v>497.3</v>
      </c>
      <c r="DU226" s="459"/>
      <c r="DV226" s="459"/>
      <c r="DW226" s="459">
        <f t="shared" si="1119"/>
        <v>171.3</v>
      </c>
      <c r="DX226" s="459"/>
      <c r="DY226" s="459">
        <v>171.3</v>
      </c>
      <c r="DZ226" s="459"/>
      <c r="EA226" s="146"/>
      <c r="EB226" s="279"/>
      <c r="EC226" s="279"/>
      <c r="ED226" s="279"/>
      <c r="EE226" s="366"/>
      <c r="EF226" s="366"/>
      <c r="EG226" s="279"/>
      <c r="EH226" s="279"/>
      <c r="EI226" s="279"/>
      <c r="EJ226" s="366"/>
      <c r="EK226" s="366"/>
      <c r="EL226" s="366">
        <v>1.9800000000000002E-2</v>
      </c>
      <c r="EM226" s="280"/>
      <c r="EN226" s="279"/>
      <c r="EO226" s="265" t="e">
        <f t="shared" si="1287"/>
        <v>#DIV/0!</v>
      </c>
      <c r="EP226" s="323">
        <f t="shared" si="1121"/>
        <v>668.6</v>
      </c>
      <c r="EQ226" s="323">
        <f t="shared" si="1175"/>
        <v>497.3</v>
      </c>
      <c r="ER226" s="323">
        <v>171.3</v>
      </c>
      <c r="ES226" s="358">
        <f t="shared" si="1288"/>
        <v>0.74379300029913253</v>
      </c>
      <c r="ET226" s="358">
        <f t="shared" si="1289"/>
        <v>0.25620699970086747</v>
      </c>
      <c r="EU226" s="323">
        <f t="shared" si="1122"/>
        <v>668.6</v>
      </c>
      <c r="EV226" s="323">
        <f t="shared" si="1290"/>
        <v>497.3</v>
      </c>
      <c r="EW226" s="323">
        <f t="shared" si="1291"/>
        <v>171.3</v>
      </c>
      <c r="EX226" s="358">
        <f t="shared" si="1292"/>
        <v>0.74379300029913253</v>
      </c>
      <c r="EY226" s="358">
        <f t="shared" si="1293"/>
        <v>0.25620699970086747</v>
      </c>
      <c r="EZ226" s="358">
        <v>6.6100000000000006E-2</v>
      </c>
      <c r="FA226" s="323">
        <f t="shared" si="1294"/>
        <v>497.3</v>
      </c>
      <c r="FB226" s="323">
        <f t="shared" si="1123"/>
        <v>0</v>
      </c>
      <c r="FC226" s="279"/>
      <c r="FD226" s="279"/>
      <c r="FE226" s="279"/>
      <c r="FF226" s="366"/>
      <c r="FG226" s="366"/>
      <c r="FH226" s="279"/>
      <c r="FI226" s="279"/>
      <c r="FJ226" s="279"/>
      <c r="FK226" s="366"/>
      <c r="FL226" s="366"/>
      <c r="FM226" s="366">
        <v>6.6100000000000006E-2</v>
      </c>
      <c r="FN226" s="280"/>
      <c r="FO226" s="279"/>
    </row>
    <row r="227" spans="2:171" s="40" customFormat="1" ht="15.6" customHeight="1" x14ac:dyDescent="0.25">
      <c r="B227" s="32"/>
      <c r="C227" s="33">
        <v>1</v>
      </c>
      <c r="D227" s="33"/>
      <c r="E227" s="434">
        <v>191</v>
      </c>
      <c r="F227" s="32"/>
      <c r="G227" s="33">
        <v>1</v>
      </c>
      <c r="H227" s="33">
        <v>1</v>
      </c>
      <c r="I227" s="434"/>
      <c r="J227" s="435"/>
      <c r="K227" s="435"/>
      <c r="L227" s="53"/>
      <c r="M227" s="434">
        <v>187</v>
      </c>
      <c r="N227" s="435" t="s">
        <v>65</v>
      </c>
      <c r="O227" s="435"/>
      <c r="P227" s="24">
        <f t="shared" si="1120"/>
        <v>0</v>
      </c>
      <c r="Q227" s="435" t="s">
        <v>490</v>
      </c>
      <c r="R227" s="435" t="s">
        <v>488</v>
      </c>
      <c r="S227" s="435" t="s">
        <v>490</v>
      </c>
      <c r="T227" s="435" t="s">
        <v>488</v>
      </c>
      <c r="U227" s="161">
        <v>1</v>
      </c>
      <c r="V227" s="161">
        <v>3</v>
      </c>
      <c r="W227" s="459">
        <f t="shared" si="1263"/>
        <v>62628.330999999998</v>
      </c>
      <c r="X227" s="459"/>
      <c r="Y227" s="460">
        <v>1700.8</v>
      </c>
      <c r="Z227" s="460">
        <f>41510+20041.628-624.097</f>
        <v>60927.530999999995</v>
      </c>
      <c r="AA227" s="460"/>
      <c r="AB227" s="459">
        <f t="shared" si="1264"/>
        <v>1715.8</v>
      </c>
      <c r="AC227" s="459"/>
      <c r="AD227" s="460">
        <v>1715.8</v>
      </c>
      <c r="AE227" s="460"/>
      <c r="AF227" s="460"/>
      <c r="AG227" s="459">
        <f t="shared" si="1265"/>
        <v>1715.8</v>
      </c>
      <c r="AH227" s="459"/>
      <c r="AI227" s="460">
        <v>1715.8</v>
      </c>
      <c r="AJ227" s="460"/>
      <c r="AK227" s="460"/>
      <c r="AL227" s="459">
        <f t="shared" si="1266"/>
        <v>746</v>
      </c>
      <c r="AM227" s="459"/>
      <c r="AN227" s="460">
        <v>746</v>
      </c>
      <c r="AO227" s="460"/>
      <c r="AP227" s="460"/>
      <c r="AQ227" s="383" t="s">
        <v>535</v>
      </c>
      <c r="AR227" s="460">
        <f t="shared" si="1267"/>
        <v>62486.093709999994</v>
      </c>
      <c r="AS227" s="460"/>
      <c r="AT227" s="462">
        <f>1700.8-25.512-116.72529</f>
        <v>1558.5627099999999</v>
      </c>
      <c r="AU227" s="460">
        <f>41510+20041.628-624.097</f>
        <v>60927.530999999995</v>
      </c>
      <c r="AV227" s="460"/>
      <c r="AW227" s="460" t="e">
        <f t="shared" si="1268"/>
        <v>#REF!</v>
      </c>
      <c r="AX227" s="459" t="e">
        <f>#REF!-AS227</f>
        <v>#REF!</v>
      </c>
      <c r="AY227" s="459" t="e">
        <f>#REF!-AT227</f>
        <v>#REF!</v>
      </c>
      <c r="AZ227" s="459" t="e">
        <f>#REF!-AU227</f>
        <v>#REF!</v>
      </c>
      <c r="BA227" s="459" t="e">
        <f>#REF!-AV227</f>
        <v>#REF!</v>
      </c>
      <c r="BB227" s="460">
        <f t="shared" si="1269"/>
        <v>1715.8</v>
      </c>
      <c r="BC227" s="460"/>
      <c r="BD227" s="460">
        <f>746+969.8</f>
        <v>1715.8</v>
      </c>
      <c r="BE227" s="460"/>
      <c r="BF227" s="460"/>
      <c r="BG227" s="460">
        <f t="shared" si="1270"/>
        <v>0</v>
      </c>
      <c r="BH227" s="460"/>
      <c r="BI227" s="460"/>
      <c r="BJ227" s="460"/>
      <c r="BK227" s="460"/>
      <c r="BL227" s="460">
        <f t="shared" si="1271"/>
        <v>62486.093710000001</v>
      </c>
      <c r="BM227" s="460"/>
      <c r="BN227" s="460">
        <v>1558.5627099999999</v>
      </c>
      <c r="BO227" s="470">
        <f>30155.866+20041.628+10730.037</f>
        <v>60927.531000000003</v>
      </c>
      <c r="BP227" s="470"/>
      <c r="BQ227" s="470">
        <f t="shared" si="1272"/>
        <v>62486.093710000001</v>
      </c>
      <c r="BR227" s="470"/>
      <c r="BS227" s="460">
        <v>1558.5627099999999</v>
      </c>
      <c r="BT227" s="470">
        <f>30155.866+20041.628+10730.037</f>
        <v>60927.531000000003</v>
      </c>
      <c r="BU227" s="470"/>
      <c r="BV227" s="459">
        <f t="shared" si="1273"/>
        <v>4992.08608</v>
      </c>
      <c r="BW227" s="459"/>
      <c r="BX227" s="459">
        <v>116.03815</v>
      </c>
      <c r="BY227" s="459">
        <f>2413.38159+1603.938+858.72834</f>
        <v>4876.0479299999997</v>
      </c>
      <c r="BZ227" s="459"/>
      <c r="CA227" s="464">
        <f t="shared" si="1274"/>
        <v>67478.179790000009</v>
      </c>
      <c r="CB227" s="459">
        <f t="shared" si="1275"/>
        <v>67478.179790000009</v>
      </c>
      <c r="CC227" s="459">
        <f t="shared" si="1276"/>
        <v>0</v>
      </c>
      <c r="CD227" s="459">
        <f t="shared" si="1276"/>
        <v>1674.60086</v>
      </c>
      <c r="CE227" s="459">
        <f t="shared" si="1276"/>
        <v>65803.578930000003</v>
      </c>
      <c r="CF227" s="459">
        <f t="shared" si="1276"/>
        <v>0</v>
      </c>
      <c r="CG227" s="459">
        <f t="shared" si="1277"/>
        <v>0</v>
      </c>
      <c r="CH227" s="459">
        <f t="shared" si="1278"/>
        <v>0</v>
      </c>
      <c r="CI227" s="459">
        <f t="shared" si="1278"/>
        <v>0</v>
      </c>
      <c r="CJ227" s="459">
        <f t="shared" si="1278"/>
        <v>0</v>
      </c>
      <c r="CK227" s="459">
        <f t="shared" si="1278"/>
        <v>0</v>
      </c>
      <c r="CL227" s="465"/>
      <c r="CM227" s="559">
        <f xml:space="preserve"> BB227</f>
        <v>1715.8</v>
      </c>
      <c r="CN227" s="559">
        <f>CM227</f>
        <v>1715.8</v>
      </c>
      <c r="CO227" s="460">
        <f t="shared" si="1279"/>
        <v>0</v>
      </c>
      <c r="CP227" s="460"/>
      <c r="CQ227" s="460"/>
      <c r="CR227" s="460"/>
      <c r="CS227" s="460"/>
      <c r="CT227" s="460">
        <f t="shared" si="1280"/>
        <v>0</v>
      </c>
      <c r="CU227" s="460"/>
      <c r="CV227" s="460"/>
      <c r="CW227" s="460"/>
      <c r="CX227" s="460"/>
      <c r="CY227" s="459">
        <f t="shared" si="1281"/>
        <v>0</v>
      </c>
      <c r="CZ227" s="459">
        <f t="shared" si="1295"/>
        <v>0</v>
      </c>
      <c r="DA227" s="459">
        <f t="shared" si="1295"/>
        <v>0</v>
      </c>
      <c r="DB227" s="459">
        <f t="shared" si="1295"/>
        <v>0</v>
      </c>
      <c r="DC227" s="459">
        <f t="shared" si="1295"/>
        <v>0</v>
      </c>
      <c r="DD227" s="459"/>
      <c r="DE227" s="459"/>
      <c r="DF227" s="459"/>
      <c r="DG227" s="459">
        <f t="shared" si="1282"/>
        <v>0</v>
      </c>
      <c r="DH227" s="467"/>
      <c r="DI227" s="459">
        <f t="shared" si="1283"/>
        <v>62486.093710000001</v>
      </c>
      <c r="DJ227" s="459">
        <f t="shared" si="1284"/>
        <v>62486.093710000001</v>
      </c>
      <c r="DK227" s="467"/>
      <c r="DL227" s="560">
        <f>DJ227</f>
        <v>62486.093710000001</v>
      </c>
      <c r="DM227" s="560">
        <f>DG227</f>
        <v>0</v>
      </c>
      <c r="DN227" s="467"/>
      <c r="DO227" s="459">
        <f>CN227-DL227</f>
        <v>-60770.293709999998</v>
      </c>
      <c r="DP227" s="467"/>
      <c r="DQ227" s="467"/>
      <c r="DR227" s="459">
        <f t="shared" si="1100"/>
        <v>62486.093710000001</v>
      </c>
      <c r="DS227" s="460"/>
      <c r="DT227" s="460">
        <v>1558.5627099999999</v>
      </c>
      <c r="DU227" s="470">
        <f>30155.866+20041.628+10730.037</f>
        <v>60927.531000000003</v>
      </c>
      <c r="DV227" s="470"/>
      <c r="DW227" s="459">
        <f t="shared" si="1119"/>
        <v>4992.08608</v>
      </c>
      <c r="DX227" s="459"/>
      <c r="DY227" s="459">
        <v>116.03815</v>
      </c>
      <c r="DZ227" s="459">
        <f>2413.38159+1603.938+858.72834</f>
        <v>4876.0479299999997</v>
      </c>
      <c r="EA227" s="146"/>
      <c r="EB227" s="279"/>
      <c r="EC227" s="279"/>
      <c r="ED227" s="279"/>
      <c r="EE227" s="366"/>
      <c r="EF227" s="366"/>
      <c r="EG227" s="279"/>
      <c r="EH227" s="279"/>
      <c r="EI227" s="279"/>
      <c r="EJ227" s="366"/>
      <c r="EK227" s="366"/>
      <c r="EL227" s="366">
        <v>2.0400000000000001E-2</v>
      </c>
      <c r="EM227" s="280"/>
      <c r="EN227" s="279"/>
      <c r="EO227" s="265" t="e">
        <f t="shared" si="1287"/>
        <v>#DIV/0!</v>
      </c>
      <c r="EP227" s="323">
        <f t="shared" si="1121"/>
        <v>1674.60086</v>
      </c>
      <c r="EQ227" s="323">
        <f t="shared" si="1175"/>
        <v>1558.5627099999999</v>
      </c>
      <c r="ER227" s="323">
        <v>116.03815</v>
      </c>
      <c r="ES227" s="358">
        <f t="shared" si="1288"/>
        <v>0.93070698052788525</v>
      </c>
      <c r="ET227" s="358">
        <f t="shared" si="1289"/>
        <v>6.9293019472114692E-2</v>
      </c>
      <c r="EU227" s="323">
        <f t="shared" si="1122"/>
        <v>1674.60086</v>
      </c>
      <c r="EV227" s="323">
        <f t="shared" si="1290"/>
        <v>1558.5627099999999</v>
      </c>
      <c r="EW227" s="323">
        <f t="shared" si="1291"/>
        <v>116.03815</v>
      </c>
      <c r="EX227" s="358">
        <f t="shared" si="1292"/>
        <v>0.93070698052788525</v>
      </c>
      <c r="EY227" s="358">
        <f t="shared" si="1293"/>
        <v>6.9293019472114692E-2</v>
      </c>
      <c r="EZ227" s="358">
        <v>6.8099999999999994E-2</v>
      </c>
      <c r="FA227" s="323">
        <f t="shared" si="1294"/>
        <v>1558.5627099999999</v>
      </c>
      <c r="FB227" s="323">
        <f t="shared" si="1123"/>
        <v>0</v>
      </c>
      <c r="FC227" s="279">
        <f t="shared" ref="FC227" si="1306">FD227+FE227</f>
        <v>65803.578929999989</v>
      </c>
      <c r="FD227" s="279">
        <f t="shared" si="1179"/>
        <v>60927.530999999995</v>
      </c>
      <c r="FE227" s="279">
        <v>4876.0479299999997</v>
      </c>
      <c r="FF227" s="366">
        <f t="shared" ref="FF227" si="1307">FD227/FC227</f>
        <v>0.92589995849333673</v>
      </c>
      <c r="FG227" s="366">
        <f t="shared" ref="FG227" si="1308">FE227/FC227</f>
        <v>7.4100041506663397E-2</v>
      </c>
      <c r="FH227" s="279">
        <f t="shared" si="1181"/>
        <v>65803.578930000003</v>
      </c>
      <c r="FI227" s="279">
        <f t="shared" si="1230"/>
        <v>60927.531000000003</v>
      </c>
      <c r="FJ227" s="279">
        <f t="shared" si="1231"/>
        <v>4876.0479299999997</v>
      </c>
      <c r="FK227" s="366">
        <f t="shared" ref="FK227" si="1309">FI227/FH227</f>
        <v>0.92589995849333662</v>
      </c>
      <c r="FL227" s="366">
        <f t="shared" ref="FL227" si="1310">FJ227/FH227</f>
        <v>7.4100041506663369E-2</v>
      </c>
      <c r="FM227" s="366">
        <v>6.8099999999999994E-2</v>
      </c>
      <c r="FN227" s="280">
        <f t="shared" si="998"/>
        <v>60927.53100000001</v>
      </c>
      <c r="FO227" s="279">
        <f t="shared" si="1182"/>
        <v>0</v>
      </c>
    </row>
    <row r="228" spans="2:171" s="40" customFormat="1" ht="15.75" customHeight="1" x14ac:dyDescent="0.25">
      <c r="B228" s="32"/>
      <c r="C228" s="33"/>
      <c r="D228" s="33">
        <v>1</v>
      </c>
      <c r="E228" s="434">
        <v>192</v>
      </c>
      <c r="F228" s="32"/>
      <c r="G228" s="33"/>
      <c r="H228" s="33">
        <v>1</v>
      </c>
      <c r="I228" s="434"/>
      <c r="J228" s="435"/>
      <c r="K228" s="435"/>
      <c r="L228" s="53"/>
      <c r="M228" s="434">
        <v>188</v>
      </c>
      <c r="N228" s="435" t="s">
        <v>149</v>
      </c>
      <c r="O228" s="435"/>
      <c r="P228" s="24">
        <f t="shared" si="1120"/>
        <v>0</v>
      </c>
      <c r="Q228" s="435" t="s">
        <v>491</v>
      </c>
      <c r="R228" s="435" t="s">
        <v>488</v>
      </c>
      <c r="S228" s="435" t="s">
        <v>490</v>
      </c>
      <c r="T228" s="435" t="s">
        <v>488</v>
      </c>
      <c r="U228" s="161">
        <v>1</v>
      </c>
      <c r="V228" s="434"/>
      <c r="W228" s="459">
        <f t="shared" si="1263"/>
        <v>900.5</v>
      </c>
      <c r="X228" s="459"/>
      <c r="Y228" s="460">
        <v>900.5</v>
      </c>
      <c r="Z228" s="459"/>
      <c r="AA228" s="461"/>
      <c r="AB228" s="459">
        <f t="shared" si="1264"/>
        <v>834.9</v>
      </c>
      <c r="AC228" s="459"/>
      <c r="AD228" s="460">
        <v>834.9</v>
      </c>
      <c r="AE228" s="459"/>
      <c r="AF228" s="461"/>
      <c r="AG228" s="459">
        <f t="shared" si="1265"/>
        <v>834.9</v>
      </c>
      <c r="AH228" s="459"/>
      <c r="AI228" s="460">
        <v>834.9</v>
      </c>
      <c r="AJ228" s="459"/>
      <c r="AK228" s="461"/>
      <c r="AL228" s="459">
        <f t="shared" si="1266"/>
        <v>363</v>
      </c>
      <c r="AM228" s="459"/>
      <c r="AN228" s="460">
        <v>363</v>
      </c>
      <c r="AO228" s="459"/>
      <c r="AP228" s="461"/>
      <c r="AQ228" s="383" t="s">
        <v>396</v>
      </c>
      <c r="AR228" s="459">
        <f t="shared" si="1267"/>
        <v>900.5</v>
      </c>
      <c r="AS228" s="459"/>
      <c r="AT228" s="462">
        <v>900.5</v>
      </c>
      <c r="AU228" s="459"/>
      <c r="AV228" s="461"/>
      <c r="AW228" s="459" t="e">
        <f t="shared" si="1268"/>
        <v>#REF!</v>
      </c>
      <c r="AX228" s="459" t="e">
        <f>#REF!-AS228</f>
        <v>#REF!</v>
      </c>
      <c r="AY228" s="459" t="e">
        <f>#REF!-AT228</f>
        <v>#REF!</v>
      </c>
      <c r="AZ228" s="459" t="e">
        <f>#REF!-AU228</f>
        <v>#REF!</v>
      </c>
      <c r="BA228" s="459" t="e">
        <f>#REF!-AV228</f>
        <v>#REF!</v>
      </c>
      <c r="BB228" s="459">
        <f t="shared" si="1269"/>
        <v>834.9</v>
      </c>
      <c r="BC228" s="459"/>
      <c r="BD228" s="460">
        <v>834.9</v>
      </c>
      <c r="BE228" s="459"/>
      <c r="BF228" s="461"/>
      <c r="BG228" s="459">
        <f t="shared" si="1270"/>
        <v>0</v>
      </c>
      <c r="BH228" s="459"/>
      <c r="BI228" s="461"/>
      <c r="BJ228" s="459"/>
      <c r="BK228" s="461"/>
      <c r="BL228" s="459">
        <f t="shared" si="1271"/>
        <v>900.5</v>
      </c>
      <c r="BM228" s="459"/>
      <c r="BN228" s="462">
        <v>900.5</v>
      </c>
      <c r="BO228" s="459"/>
      <c r="BP228" s="470"/>
      <c r="BQ228" s="459">
        <f t="shared" si="1272"/>
        <v>900.5</v>
      </c>
      <c r="BR228" s="459"/>
      <c r="BS228" s="462">
        <v>900.5</v>
      </c>
      <c r="BT228" s="459"/>
      <c r="BU228" s="470"/>
      <c r="BV228" s="459">
        <f t="shared" si="1273"/>
        <v>299.64519999999999</v>
      </c>
      <c r="BW228" s="459"/>
      <c r="BX228" s="459">
        <v>299.64519999999999</v>
      </c>
      <c r="BY228" s="459"/>
      <c r="BZ228" s="459"/>
      <c r="CA228" s="464">
        <f t="shared" si="1274"/>
        <v>1200.1451999999999</v>
      </c>
      <c r="CB228" s="459">
        <f t="shared" si="1275"/>
        <v>1200.1451999999999</v>
      </c>
      <c r="CC228" s="459">
        <f t="shared" si="1276"/>
        <v>0</v>
      </c>
      <c r="CD228" s="459">
        <f t="shared" si="1276"/>
        <v>1200.1451999999999</v>
      </c>
      <c r="CE228" s="459">
        <f t="shared" si="1276"/>
        <v>0</v>
      </c>
      <c r="CF228" s="459">
        <f t="shared" si="1276"/>
        <v>0</v>
      </c>
      <c r="CG228" s="459">
        <f t="shared" si="1277"/>
        <v>0</v>
      </c>
      <c r="CH228" s="459">
        <f t="shared" si="1278"/>
        <v>0</v>
      </c>
      <c r="CI228" s="459">
        <f t="shared" si="1278"/>
        <v>0</v>
      </c>
      <c r="CJ228" s="459">
        <f t="shared" si="1278"/>
        <v>0</v>
      </c>
      <c r="CK228" s="459">
        <f t="shared" si="1278"/>
        <v>0</v>
      </c>
      <c r="CL228" s="465"/>
      <c r="CM228" s="466">
        <f xml:space="preserve"> BB220-CM221-CM227</f>
        <v>2769.2</v>
      </c>
      <c r="CN228" s="466">
        <f>CM228-BG229</f>
        <v>2769.2</v>
      </c>
      <c r="CO228" s="459">
        <f t="shared" si="1279"/>
        <v>0</v>
      </c>
      <c r="CP228" s="459"/>
      <c r="CQ228" s="461"/>
      <c r="CR228" s="459"/>
      <c r="CS228" s="461"/>
      <c r="CT228" s="459">
        <f t="shared" si="1280"/>
        <v>0</v>
      </c>
      <c r="CU228" s="459"/>
      <c r="CV228" s="461"/>
      <c r="CW228" s="459"/>
      <c r="CX228" s="461"/>
      <c r="CY228" s="459">
        <f t="shared" si="1281"/>
        <v>0</v>
      </c>
      <c r="CZ228" s="459">
        <f t="shared" si="1295"/>
        <v>0</v>
      </c>
      <c r="DA228" s="459">
        <f t="shared" si="1295"/>
        <v>0</v>
      </c>
      <c r="DB228" s="459">
        <f t="shared" si="1295"/>
        <v>0</v>
      </c>
      <c r="DC228" s="459">
        <f t="shared" si="1295"/>
        <v>0</v>
      </c>
      <c r="DD228" s="459"/>
      <c r="DE228" s="459"/>
      <c r="DF228" s="459"/>
      <c r="DG228" s="459">
        <f t="shared" si="1282"/>
        <v>0</v>
      </c>
      <c r="DH228" s="467"/>
      <c r="DI228" s="459">
        <f t="shared" si="1283"/>
        <v>900.5</v>
      </c>
      <c r="DJ228" s="459">
        <f t="shared" si="1284"/>
        <v>900.5</v>
      </c>
      <c r="DK228" s="467"/>
      <c r="DL228" s="459">
        <f>DJ223+DJ224+DJ225+DJ226+DJ228+DJ229</f>
        <v>2770.5570000000002</v>
      </c>
      <c r="DM228" s="459">
        <f>DG223+DG224+DG225+DG226+DG228+DG229</f>
        <v>0</v>
      </c>
      <c r="DN228" s="467"/>
      <c r="DO228" s="459">
        <f>CN228-DL228</f>
        <v>-1.3570000000004256</v>
      </c>
      <c r="DP228" s="467"/>
      <c r="DQ228" s="467"/>
      <c r="DR228" s="459">
        <f t="shared" si="1100"/>
        <v>900.5</v>
      </c>
      <c r="DS228" s="459"/>
      <c r="DT228" s="462">
        <v>900.5</v>
      </c>
      <c r="DU228" s="459"/>
      <c r="DV228" s="470"/>
      <c r="DW228" s="459">
        <f t="shared" si="1119"/>
        <v>299.64519999999999</v>
      </c>
      <c r="DX228" s="459"/>
      <c r="DY228" s="459">
        <v>299.64519999999999</v>
      </c>
      <c r="DZ228" s="459"/>
      <c r="EA228" s="146"/>
      <c r="EB228" s="279"/>
      <c r="EC228" s="279"/>
      <c r="ED228" s="279"/>
      <c r="EE228" s="366"/>
      <c r="EF228" s="366"/>
      <c r="EG228" s="279"/>
      <c r="EH228" s="279"/>
      <c r="EI228" s="279"/>
      <c r="EJ228" s="366"/>
      <c r="EK228" s="366"/>
      <c r="EL228" s="366">
        <v>2.3300000000000001E-2</v>
      </c>
      <c r="EM228" s="280"/>
      <c r="EN228" s="279"/>
      <c r="EO228" s="265" t="e">
        <f t="shared" si="1287"/>
        <v>#DIV/0!</v>
      </c>
      <c r="EP228" s="323">
        <f t="shared" si="1121"/>
        <v>1200.1451999999999</v>
      </c>
      <c r="EQ228" s="323">
        <f t="shared" si="1175"/>
        <v>900.5</v>
      </c>
      <c r="ER228" s="323">
        <v>299.64519999999999</v>
      </c>
      <c r="ES228" s="358">
        <f t="shared" si="1288"/>
        <v>0.75032587723552124</v>
      </c>
      <c r="ET228" s="358">
        <f t="shared" si="1289"/>
        <v>0.24967412276447884</v>
      </c>
      <c r="EU228" s="323">
        <f t="shared" si="1122"/>
        <v>1200.1451999999999</v>
      </c>
      <c r="EV228" s="323">
        <f t="shared" si="1290"/>
        <v>900.5</v>
      </c>
      <c r="EW228" s="323">
        <f t="shared" si="1291"/>
        <v>299.64519999999999</v>
      </c>
      <c r="EX228" s="358">
        <f t="shared" si="1292"/>
        <v>0.75032587723552124</v>
      </c>
      <c r="EY228" s="358">
        <f t="shared" si="1293"/>
        <v>0.24967412276447884</v>
      </c>
      <c r="EZ228" s="358">
        <v>7.7600000000000002E-2</v>
      </c>
      <c r="FA228" s="323">
        <f t="shared" si="1294"/>
        <v>900.5</v>
      </c>
      <c r="FB228" s="323">
        <f t="shared" si="1123"/>
        <v>0</v>
      </c>
      <c r="FC228" s="279"/>
      <c r="FD228" s="279"/>
      <c r="FE228" s="279"/>
      <c r="FF228" s="366"/>
      <c r="FG228" s="366"/>
      <c r="FH228" s="279"/>
      <c r="FI228" s="279"/>
      <c r="FJ228" s="279"/>
      <c r="FK228" s="366"/>
      <c r="FL228" s="366"/>
      <c r="FM228" s="366">
        <v>7.7600000000000002E-2</v>
      </c>
      <c r="FN228" s="280"/>
      <c r="FO228" s="279"/>
    </row>
    <row r="229" spans="2:171" s="40" customFormat="1" ht="15.75" customHeight="1" x14ac:dyDescent="0.25">
      <c r="B229" s="32"/>
      <c r="C229" s="33"/>
      <c r="D229" s="33">
        <v>1</v>
      </c>
      <c r="E229" s="434">
        <v>193</v>
      </c>
      <c r="F229" s="32"/>
      <c r="G229" s="33"/>
      <c r="H229" s="33">
        <v>1</v>
      </c>
      <c r="I229" s="434"/>
      <c r="J229" s="435"/>
      <c r="K229" s="435"/>
      <c r="L229" s="53"/>
      <c r="M229" s="434">
        <v>189</v>
      </c>
      <c r="N229" s="448" t="s">
        <v>175</v>
      </c>
      <c r="O229" s="448"/>
      <c r="P229" s="24">
        <f t="shared" si="1120"/>
        <v>0</v>
      </c>
      <c r="Q229" s="448" t="s">
        <v>491</v>
      </c>
      <c r="R229" s="448" t="s">
        <v>488</v>
      </c>
      <c r="S229" s="448"/>
      <c r="T229" s="448"/>
      <c r="U229" s="161">
        <v>1</v>
      </c>
      <c r="V229" s="434">
        <v>1</v>
      </c>
      <c r="W229" s="459">
        <f t="shared" si="1263"/>
        <v>266.10000000000002</v>
      </c>
      <c r="X229" s="459"/>
      <c r="Y229" s="459">
        <v>266.10000000000002</v>
      </c>
      <c r="Z229" s="459"/>
      <c r="AA229" s="464"/>
      <c r="AB229" s="459">
        <f t="shared" si="1264"/>
        <v>384.1</v>
      </c>
      <c r="AC229" s="459"/>
      <c r="AD229" s="459">
        <v>384.1</v>
      </c>
      <c r="AE229" s="459"/>
      <c r="AF229" s="464"/>
      <c r="AG229" s="459">
        <f t="shared" si="1265"/>
        <v>384.1</v>
      </c>
      <c r="AH229" s="459"/>
      <c r="AI229" s="459">
        <v>384.1</v>
      </c>
      <c r="AJ229" s="459"/>
      <c r="AK229" s="464"/>
      <c r="AL229" s="459">
        <f t="shared" si="1266"/>
        <v>119</v>
      </c>
      <c r="AM229" s="459"/>
      <c r="AN229" s="459">
        <v>119</v>
      </c>
      <c r="AO229" s="459"/>
      <c r="AP229" s="459"/>
      <c r="AQ229" s="398" t="s">
        <v>493</v>
      </c>
      <c r="AR229" s="459">
        <f t="shared" si="1267"/>
        <v>239.29200000000003</v>
      </c>
      <c r="AS229" s="459"/>
      <c r="AT229" s="459">
        <f>266.1-26.808</f>
        <v>239.29200000000003</v>
      </c>
      <c r="AU229" s="459"/>
      <c r="AV229" s="459"/>
      <c r="AW229" s="459" t="e">
        <f t="shared" si="1268"/>
        <v>#REF!</v>
      </c>
      <c r="AX229" s="459" t="e">
        <f>#REF!-AS229</f>
        <v>#REF!</v>
      </c>
      <c r="AY229" s="459" t="e">
        <f>#REF!-AT229</f>
        <v>#REF!</v>
      </c>
      <c r="AZ229" s="459" t="e">
        <f>#REF!-AU229</f>
        <v>#REF!</v>
      </c>
      <c r="BA229" s="459" t="e">
        <f>#REF!-AV229</f>
        <v>#REF!</v>
      </c>
      <c r="BB229" s="459">
        <f t="shared" si="1269"/>
        <v>384.1</v>
      </c>
      <c r="BC229" s="459"/>
      <c r="BD229" s="459">
        <f>119+265.1</f>
        <v>384.1</v>
      </c>
      <c r="BE229" s="459"/>
      <c r="BF229" s="459"/>
      <c r="BG229" s="459">
        <f t="shared" si="1270"/>
        <v>0</v>
      </c>
      <c r="BH229" s="459"/>
      <c r="BI229" s="460"/>
      <c r="BJ229" s="459"/>
      <c r="BK229" s="459"/>
      <c r="BL229" s="459">
        <f t="shared" si="1271"/>
        <v>239.292</v>
      </c>
      <c r="BM229" s="459"/>
      <c r="BN229" s="459">
        <v>239.292</v>
      </c>
      <c r="BO229" s="459"/>
      <c r="BP229" s="459"/>
      <c r="BQ229" s="459">
        <f t="shared" si="1272"/>
        <v>239.292</v>
      </c>
      <c r="BR229" s="459"/>
      <c r="BS229" s="459">
        <v>239.292</v>
      </c>
      <c r="BT229" s="459"/>
      <c r="BU229" s="459"/>
      <c r="BV229" s="459">
        <f t="shared" si="1273"/>
        <v>18.232859999999999</v>
      </c>
      <c r="BW229" s="459"/>
      <c r="BX229" s="459">
        <v>18.232859999999999</v>
      </c>
      <c r="BY229" s="459"/>
      <c r="BZ229" s="459"/>
      <c r="CA229" s="464">
        <f t="shared" si="1274"/>
        <v>257.52485999999999</v>
      </c>
      <c r="CB229" s="459">
        <f t="shared" si="1275"/>
        <v>257.52485999999999</v>
      </c>
      <c r="CC229" s="459">
        <f t="shared" si="1276"/>
        <v>0</v>
      </c>
      <c r="CD229" s="459">
        <f t="shared" si="1276"/>
        <v>257.52485999999999</v>
      </c>
      <c r="CE229" s="459">
        <f t="shared" si="1276"/>
        <v>0</v>
      </c>
      <c r="CF229" s="459">
        <f t="shared" si="1276"/>
        <v>0</v>
      </c>
      <c r="CG229" s="459">
        <f t="shared" si="1277"/>
        <v>0</v>
      </c>
      <c r="CH229" s="459">
        <f t="shared" si="1278"/>
        <v>0</v>
      </c>
      <c r="CI229" s="459">
        <f t="shared" si="1278"/>
        <v>0</v>
      </c>
      <c r="CJ229" s="459">
        <f t="shared" si="1278"/>
        <v>0</v>
      </c>
      <c r="CK229" s="459">
        <f t="shared" si="1278"/>
        <v>0</v>
      </c>
      <c r="CL229" s="465"/>
      <c r="CM229" s="466"/>
      <c r="CN229" s="466"/>
      <c r="CO229" s="459">
        <f t="shared" si="1279"/>
        <v>0</v>
      </c>
      <c r="CP229" s="459"/>
      <c r="CQ229" s="460"/>
      <c r="CR229" s="459"/>
      <c r="CS229" s="459"/>
      <c r="CT229" s="459">
        <f t="shared" si="1280"/>
        <v>0</v>
      </c>
      <c r="CU229" s="459"/>
      <c r="CV229" s="460"/>
      <c r="CW229" s="459"/>
      <c r="CX229" s="459"/>
      <c r="CY229" s="459">
        <f t="shared" si="1281"/>
        <v>0</v>
      </c>
      <c r="CZ229" s="459">
        <f t="shared" si="1295"/>
        <v>0</v>
      </c>
      <c r="DA229" s="459">
        <f t="shared" si="1295"/>
        <v>0</v>
      </c>
      <c r="DB229" s="459">
        <f t="shared" si="1295"/>
        <v>0</v>
      </c>
      <c r="DC229" s="459">
        <f t="shared" si="1295"/>
        <v>0</v>
      </c>
      <c r="DD229" s="459"/>
      <c r="DE229" s="459"/>
      <c r="DF229" s="459"/>
      <c r="DG229" s="459">
        <f t="shared" si="1282"/>
        <v>0</v>
      </c>
      <c r="DH229" s="467"/>
      <c r="DI229" s="459">
        <f t="shared" si="1283"/>
        <v>239.292</v>
      </c>
      <c r="DJ229" s="459">
        <f t="shared" si="1284"/>
        <v>239.292</v>
      </c>
      <c r="DK229" s="467"/>
      <c r="DL229" s="459"/>
      <c r="DM229" s="459"/>
      <c r="DN229" s="467"/>
      <c r="DO229" s="459"/>
      <c r="DP229" s="467"/>
      <c r="DQ229" s="467"/>
      <c r="DR229" s="459">
        <f t="shared" si="1100"/>
        <v>239.292</v>
      </c>
      <c r="DS229" s="459"/>
      <c r="DT229" s="459">
        <v>239.292</v>
      </c>
      <c r="DU229" s="459"/>
      <c r="DV229" s="459"/>
      <c r="DW229" s="459">
        <f t="shared" si="1119"/>
        <v>18.232859999999999</v>
      </c>
      <c r="DX229" s="459"/>
      <c r="DY229" s="459">
        <v>18.232859999999999</v>
      </c>
      <c r="DZ229" s="459"/>
      <c r="EA229" s="146"/>
      <c r="EB229" s="279"/>
      <c r="EC229" s="279"/>
      <c r="ED229" s="279"/>
      <c r="EE229" s="366"/>
      <c r="EF229" s="366"/>
      <c r="EG229" s="279"/>
      <c r="EH229" s="279"/>
      <c r="EI229" s="279"/>
      <c r="EJ229" s="366"/>
      <c r="EK229" s="366"/>
      <c r="EL229" s="366">
        <v>2.12E-2</v>
      </c>
      <c r="EM229" s="280"/>
      <c r="EN229" s="279"/>
      <c r="EO229" s="265" t="e">
        <f t="shared" si="1287"/>
        <v>#DIV/0!</v>
      </c>
      <c r="EP229" s="323">
        <f t="shared" si="1121"/>
        <v>257.52486000000005</v>
      </c>
      <c r="EQ229" s="323">
        <f t="shared" si="1175"/>
        <v>239.29200000000003</v>
      </c>
      <c r="ER229" s="323">
        <v>18.232859999999999</v>
      </c>
      <c r="ES229" s="358">
        <f t="shared" si="1288"/>
        <v>0.92919961202968904</v>
      </c>
      <c r="ET229" s="358">
        <f t="shared" si="1289"/>
        <v>7.0800387970310893E-2</v>
      </c>
      <c r="EU229" s="323">
        <f t="shared" si="1122"/>
        <v>257.52485999999999</v>
      </c>
      <c r="EV229" s="323">
        <f t="shared" si="1290"/>
        <v>239.292</v>
      </c>
      <c r="EW229" s="323">
        <f t="shared" si="1291"/>
        <v>18.232859999999999</v>
      </c>
      <c r="EX229" s="358">
        <f t="shared" si="1292"/>
        <v>0.92919961202968915</v>
      </c>
      <c r="EY229" s="358">
        <f t="shared" si="1293"/>
        <v>7.0800387970310907E-2</v>
      </c>
      <c r="EZ229" s="358">
        <v>7.0800000000000002E-2</v>
      </c>
      <c r="FA229" s="323">
        <f t="shared" si="1294"/>
        <v>239.29199999999997</v>
      </c>
      <c r="FB229" s="323">
        <f t="shared" si="1123"/>
        <v>0</v>
      </c>
      <c r="FC229" s="279"/>
      <c r="FD229" s="279"/>
      <c r="FE229" s="279"/>
      <c r="FF229" s="366"/>
      <c r="FG229" s="366"/>
      <c r="FH229" s="279"/>
      <c r="FI229" s="279"/>
      <c r="FJ229" s="279"/>
      <c r="FK229" s="366"/>
      <c r="FL229" s="366"/>
      <c r="FM229" s="366">
        <v>7.0800000000000002E-2</v>
      </c>
      <c r="FN229" s="280"/>
      <c r="FO229" s="279"/>
    </row>
    <row r="230" spans="2:171" s="119" customFormat="1" ht="15.6" customHeight="1" x14ac:dyDescent="0.2">
      <c r="B230" s="113"/>
      <c r="C230" s="114"/>
      <c r="D230" s="114"/>
      <c r="E230" s="115"/>
      <c r="F230" s="113"/>
      <c r="G230" s="114"/>
      <c r="H230" s="114"/>
      <c r="I230" s="437"/>
      <c r="J230" s="437"/>
      <c r="K230" s="437"/>
      <c r="L230" s="572"/>
      <c r="M230" s="115"/>
      <c r="N230" s="118" t="s">
        <v>11</v>
      </c>
      <c r="O230" s="118"/>
      <c r="P230" s="68">
        <f t="shared" si="1120"/>
        <v>0</v>
      </c>
      <c r="Q230" s="118"/>
      <c r="R230" s="118"/>
      <c r="S230" s="118"/>
      <c r="T230" s="118"/>
      <c r="U230" s="163">
        <f t="shared" ref="U230:AA230" si="1311">SUM(U231:U241)-U232</f>
        <v>6</v>
      </c>
      <c r="V230" s="163">
        <f>V231+V232+V233+V234+V235+V236+V237+V238+V239+V240+V241</f>
        <v>8</v>
      </c>
      <c r="W230" s="452">
        <f t="shared" si="1311"/>
        <v>69679.716</v>
      </c>
      <c r="X230" s="452">
        <f t="shared" si="1311"/>
        <v>0</v>
      </c>
      <c r="Y230" s="452">
        <f t="shared" si="1311"/>
        <v>12061</v>
      </c>
      <c r="Z230" s="452">
        <f t="shared" si="1311"/>
        <v>57618.716</v>
      </c>
      <c r="AA230" s="452">
        <f t="shared" si="1311"/>
        <v>0</v>
      </c>
      <c r="AB230" s="452">
        <f t="shared" ref="AB230:AF230" si="1312">SUM(AB231:AB241)-AB232</f>
        <v>88039.540000000008</v>
      </c>
      <c r="AC230" s="452">
        <f t="shared" si="1312"/>
        <v>75867.94</v>
      </c>
      <c r="AD230" s="452">
        <f t="shared" si="1312"/>
        <v>12171.6</v>
      </c>
      <c r="AE230" s="452">
        <f t="shared" si="1312"/>
        <v>0</v>
      </c>
      <c r="AF230" s="452">
        <f t="shared" si="1312"/>
        <v>0</v>
      </c>
      <c r="AG230" s="452">
        <f t="shared" ref="AG230:AK230" si="1313">SUM(AG231:AG241)-AG232</f>
        <v>88039.540000000008</v>
      </c>
      <c r="AH230" s="452">
        <f t="shared" si="1313"/>
        <v>75867.94</v>
      </c>
      <c r="AI230" s="452">
        <f t="shared" si="1313"/>
        <v>12171.6</v>
      </c>
      <c r="AJ230" s="452">
        <f t="shared" si="1313"/>
        <v>0</v>
      </c>
      <c r="AK230" s="452">
        <f t="shared" si="1313"/>
        <v>0</v>
      </c>
      <c r="AL230" s="454">
        <f t="shared" ref="AL230:AP230" si="1314">SUM(AL231:AL241)-AL232</f>
        <v>81159.94</v>
      </c>
      <c r="AM230" s="452">
        <f t="shared" si="1314"/>
        <v>75867.94</v>
      </c>
      <c r="AN230" s="452">
        <f t="shared" si="1314"/>
        <v>5292</v>
      </c>
      <c r="AO230" s="452">
        <f t="shared" si="1314"/>
        <v>0</v>
      </c>
      <c r="AP230" s="452">
        <f t="shared" si="1314"/>
        <v>0</v>
      </c>
      <c r="AQ230" s="453"/>
      <c r="AR230" s="452">
        <f t="shared" ref="AR230:AU230" si="1315">SUM(AR231:AR241)-AR232</f>
        <v>69440.92396</v>
      </c>
      <c r="AS230" s="452">
        <f t="shared" si="1315"/>
        <v>0</v>
      </c>
      <c r="AT230" s="452">
        <f t="shared" si="1315"/>
        <v>11822.20796</v>
      </c>
      <c r="AU230" s="452">
        <f t="shared" si="1315"/>
        <v>57618.716</v>
      </c>
      <c r="AV230" s="452">
        <f>SUM(AV231:AV241)-AV232</f>
        <v>0</v>
      </c>
      <c r="AW230" s="452" t="e">
        <f t="shared" ref="AW230:BF230" si="1316">SUM(AW231:AW241)-AW232</f>
        <v>#REF!</v>
      </c>
      <c r="AX230" s="452" t="e">
        <f t="shared" si="1316"/>
        <v>#REF!</v>
      </c>
      <c r="AY230" s="452" t="e">
        <f t="shared" si="1316"/>
        <v>#REF!</v>
      </c>
      <c r="AZ230" s="452" t="e">
        <f t="shared" si="1316"/>
        <v>#REF!</v>
      </c>
      <c r="BA230" s="452" t="e">
        <f t="shared" si="1316"/>
        <v>#REF!</v>
      </c>
      <c r="BB230" s="452">
        <f t="shared" si="1316"/>
        <v>63248.998610000002</v>
      </c>
      <c r="BC230" s="452">
        <f t="shared" si="1316"/>
        <v>51717.507610000001</v>
      </c>
      <c r="BD230" s="452">
        <f t="shared" si="1316"/>
        <v>11531.491</v>
      </c>
      <c r="BE230" s="452">
        <f t="shared" si="1316"/>
        <v>0</v>
      </c>
      <c r="BF230" s="452">
        <f t="shared" si="1316"/>
        <v>0</v>
      </c>
      <c r="BG230" s="452">
        <f t="shared" ref="BG230:CK230" si="1317">SUM(BG231:BG241)-BG232</f>
        <v>0</v>
      </c>
      <c r="BH230" s="452">
        <f t="shared" si="1317"/>
        <v>0</v>
      </c>
      <c r="BI230" s="452">
        <f t="shared" si="1317"/>
        <v>0</v>
      </c>
      <c r="BJ230" s="452">
        <f t="shared" si="1317"/>
        <v>0</v>
      </c>
      <c r="BK230" s="452">
        <f t="shared" si="1317"/>
        <v>0</v>
      </c>
      <c r="BL230" s="452">
        <f t="shared" si="1317"/>
        <v>69440.92396</v>
      </c>
      <c r="BM230" s="452">
        <f t="shared" si="1317"/>
        <v>0</v>
      </c>
      <c r="BN230" s="452">
        <f t="shared" si="1317"/>
        <v>11822.20796</v>
      </c>
      <c r="BO230" s="452">
        <f t="shared" si="1317"/>
        <v>57618.716</v>
      </c>
      <c r="BP230" s="452">
        <f t="shared" si="1317"/>
        <v>0</v>
      </c>
      <c r="BQ230" s="452">
        <f t="shared" si="1317"/>
        <v>69440.92396</v>
      </c>
      <c r="BR230" s="452">
        <f t="shared" si="1317"/>
        <v>0</v>
      </c>
      <c r="BS230" s="452">
        <f t="shared" si="1317"/>
        <v>11822.20796</v>
      </c>
      <c r="BT230" s="452">
        <f t="shared" si="1317"/>
        <v>57618.716</v>
      </c>
      <c r="BU230" s="452">
        <f t="shared" si="1317"/>
        <v>0</v>
      </c>
      <c r="BV230" s="454">
        <f t="shared" si="1317"/>
        <v>7443.909169999999</v>
      </c>
      <c r="BW230" s="452">
        <f t="shared" si="1317"/>
        <v>0</v>
      </c>
      <c r="BX230" s="452">
        <f t="shared" si="1317"/>
        <v>1960.31817</v>
      </c>
      <c r="BY230" s="452">
        <f t="shared" si="1317"/>
        <v>5483.5909999999994</v>
      </c>
      <c r="BZ230" s="452">
        <f t="shared" si="1317"/>
        <v>0</v>
      </c>
      <c r="CA230" s="452">
        <f t="shared" si="1317"/>
        <v>76884.833129999999</v>
      </c>
      <c r="CB230" s="452">
        <f t="shared" si="1317"/>
        <v>76884.833129999999</v>
      </c>
      <c r="CC230" s="452">
        <f t="shared" si="1317"/>
        <v>0</v>
      </c>
      <c r="CD230" s="452">
        <f t="shared" si="1317"/>
        <v>13782.52613</v>
      </c>
      <c r="CE230" s="452">
        <f t="shared" si="1317"/>
        <v>63102.307000000001</v>
      </c>
      <c r="CF230" s="452">
        <f t="shared" si="1317"/>
        <v>0</v>
      </c>
      <c r="CG230" s="452">
        <f t="shared" si="1317"/>
        <v>0</v>
      </c>
      <c r="CH230" s="452">
        <f t="shared" si="1317"/>
        <v>0</v>
      </c>
      <c r="CI230" s="452">
        <f t="shared" si="1317"/>
        <v>0</v>
      </c>
      <c r="CJ230" s="452">
        <f t="shared" si="1317"/>
        <v>0</v>
      </c>
      <c r="CK230" s="452">
        <f t="shared" si="1317"/>
        <v>0</v>
      </c>
      <c r="CL230" s="455">
        <f>CM230+CO230-BG230</f>
        <v>72496.437609999994</v>
      </c>
      <c r="CM230" s="456">
        <f t="shared" ref="CM230:DG230" si="1318">SUM(CM231:CM241)-CM232</f>
        <v>72496.437609999994</v>
      </c>
      <c r="CN230" s="456">
        <f t="shared" si="1318"/>
        <v>72496.437609999994</v>
      </c>
      <c r="CO230" s="452">
        <f t="shared" si="1318"/>
        <v>0</v>
      </c>
      <c r="CP230" s="452">
        <f t="shared" si="1318"/>
        <v>0</v>
      </c>
      <c r="CQ230" s="452">
        <f t="shared" si="1318"/>
        <v>0</v>
      </c>
      <c r="CR230" s="452">
        <f t="shared" si="1318"/>
        <v>0</v>
      </c>
      <c r="CS230" s="452">
        <f t="shared" si="1318"/>
        <v>0</v>
      </c>
      <c r="CT230" s="452">
        <f t="shared" si="1318"/>
        <v>0</v>
      </c>
      <c r="CU230" s="452">
        <f t="shared" si="1318"/>
        <v>0</v>
      </c>
      <c r="CV230" s="452">
        <f t="shared" si="1318"/>
        <v>0</v>
      </c>
      <c r="CW230" s="452">
        <f t="shared" si="1318"/>
        <v>0</v>
      </c>
      <c r="CX230" s="452">
        <f t="shared" si="1318"/>
        <v>0</v>
      </c>
      <c r="CY230" s="452">
        <f t="shared" si="1318"/>
        <v>0</v>
      </c>
      <c r="CZ230" s="452">
        <f t="shared" si="1318"/>
        <v>0</v>
      </c>
      <c r="DA230" s="452">
        <f t="shared" si="1318"/>
        <v>0</v>
      </c>
      <c r="DB230" s="452">
        <f t="shared" si="1318"/>
        <v>0</v>
      </c>
      <c r="DC230" s="452">
        <f t="shared" si="1318"/>
        <v>0</v>
      </c>
      <c r="DD230" s="452">
        <f t="shared" si="1318"/>
        <v>0</v>
      </c>
      <c r="DE230" s="452">
        <f t="shared" si="1318"/>
        <v>0</v>
      </c>
      <c r="DF230" s="452">
        <f t="shared" si="1318"/>
        <v>0</v>
      </c>
      <c r="DG230" s="452">
        <f t="shared" si="1318"/>
        <v>0</v>
      </c>
      <c r="DH230" s="457"/>
      <c r="DI230" s="452">
        <f>SUM(DI231:DI241)-DI232</f>
        <v>69440.92396</v>
      </c>
      <c r="DJ230" s="452">
        <f>SUM(DJ231:DJ241)-DJ232</f>
        <v>69440.92396</v>
      </c>
      <c r="DK230" s="457"/>
      <c r="DL230" s="452">
        <f>SUM(DL231:DL241)-DL232</f>
        <v>69440.92396</v>
      </c>
      <c r="DM230" s="452">
        <f>SUM(DM231:DM241)-DM232</f>
        <v>0</v>
      </c>
      <c r="DN230" s="457"/>
      <c r="DO230" s="452">
        <f>SUM(DO231:DO241)-DO232</f>
        <v>3055.5136500000026</v>
      </c>
      <c r="DP230" s="457">
        <f>DG230-DO230</f>
        <v>-3055.5136500000026</v>
      </c>
      <c r="DQ230" s="457"/>
      <c r="DR230" s="452">
        <f t="shared" si="1100"/>
        <v>69440.92396</v>
      </c>
      <c r="DS230" s="452">
        <f t="shared" ref="DS230:DU230" si="1319">SUM(DS231:DS241)-DS232</f>
        <v>0</v>
      </c>
      <c r="DT230" s="452">
        <f t="shared" si="1319"/>
        <v>11822.20796</v>
      </c>
      <c r="DU230" s="452">
        <f t="shared" si="1319"/>
        <v>57618.716</v>
      </c>
      <c r="DV230" s="452">
        <f t="shared" ref="DV230" si="1320">SUM(DV231:DV241)-DV232</f>
        <v>0</v>
      </c>
      <c r="DW230" s="452">
        <f t="shared" si="1119"/>
        <v>7443.9091700000008</v>
      </c>
      <c r="DX230" s="452">
        <f t="shared" ref="DX230:DZ230" si="1321">SUM(DX231:DX241)-DX232</f>
        <v>0</v>
      </c>
      <c r="DY230" s="452">
        <f t="shared" si="1321"/>
        <v>1960.31817</v>
      </c>
      <c r="DZ230" s="452">
        <f t="shared" si="1321"/>
        <v>5483.5910000000003</v>
      </c>
      <c r="EA230" s="145">
        <f t="shared" ref="EA230" si="1322">SUM(EA231:EA241)-EA232</f>
        <v>0</v>
      </c>
      <c r="EB230" s="57">
        <f t="shared" si="1169"/>
        <v>0</v>
      </c>
      <c r="EC230" s="57">
        <f t="shared" si="1170"/>
        <v>0</v>
      </c>
      <c r="ED230" s="57">
        <f t="shared" ref="ED230" si="1323">SUM(ED231:ED241)-ED232</f>
        <v>0</v>
      </c>
      <c r="EE230" s="360"/>
      <c r="EF230" s="360"/>
      <c r="EG230" s="57">
        <f t="shared" si="1172"/>
        <v>0</v>
      </c>
      <c r="EH230" s="57">
        <f>SUM(EH231:EH241)</f>
        <v>0</v>
      </c>
      <c r="EI230" s="57">
        <f>SUM(EI231:EI241)</f>
        <v>0</v>
      </c>
      <c r="EJ230" s="360"/>
      <c r="EK230" s="360"/>
      <c r="EL230" s="360"/>
      <c r="EM230" s="273" t="e">
        <f t="shared" ref="EM230" si="1324">SUM(EM231:EM241)</f>
        <v>#DIV/0!</v>
      </c>
      <c r="EN230" s="57" t="e">
        <f t="shared" si="1174"/>
        <v>#DIV/0!</v>
      </c>
      <c r="EO230" s="264"/>
      <c r="EP230" s="57">
        <f t="shared" si="1121"/>
        <v>13782.52613</v>
      </c>
      <c r="EQ230" s="57">
        <f t="shared" si="1175"/>
        <v>11822.20796</v>
      </c>
      <c r="ER230" s="57">
        <f t="shared" ref="ER230" si="1325">SUM(ER231:ER241)-ER232</f>
        <v>1960.31817</v>
      </c>
      <c r="ES230" s="360"/>
      <c r="ET230" s="360"/>
      <c r="EU230" s="57">
        <f t="shared" si="1122"/>
        <v>13782.52613</v>
      </c>
      <c r="EV230" s="57">
        <f>SUM(EV231:EV241)</f>
        <v>11822.20796</v>
      </c>
      <c r="EW230" s="57">
        <f>SUM(EW231:EW241)</f>
        <v>1960.31817</v>
      </c>
      <c r="EX230" s="360"/>
      <c r="EY230" s="360"/>
      <c r="EZ230" s="360"/>
      <c r="FA230" s="57">
        <f t="shared" ref="FA230" si="1326">SUM(FA231:FA241)</f>
        <v>11822.20796</v>
      </c>
      <c r="FB230" s="57">
        <f t="shared" si="1123"/>
        <v>0</v>
      </c>
      <c r="FC230" s="57">
        <f t="shared" ref="FC230" si="1327">FD230+FE230+FF230</f>
        <v>63102.307000000001</v>
      </c>
      <c r="FD230" s="57">
        <f t="shared" si="1179"/>
        <v>57618.716</v>
      </c>
      <c r="FE230" s="57">
        <f t="shared" ref="FE230" si="1328">SUM(FE231:FE241)-FE232</f>
        <v>5483.5910000000003</v>
      </c>
      <c r="FF230" s="360"/>
      <c r="FG230" s="360"/>
      <c r="FH230" s="57">
        <f t="shared" si="1181"/>
        <v>63102.307000000001</v>
      </c>
      <c r="FI230" s="57">
        <f t="shared" si="1230"/>
        <v>57618.716</v>
      </c>
      <c r="FJ230" s="57">
        <f t="shared" si="1231"/>
        <v>5483.5910000000003</v>
      </c>
      <c r="FK230" s="360"/>
      <c r="FL230" s="360"/>
      <c r="FM230" s="360"/>
      <c r="FN230" s="273">
        <f t="shared" si="998"/>
        <v>0</v>
      </c>
      <c r="FO230" s="57">
        <f t="shared" si="1182"/>
        <v>57618.716</v>
      </c>
    </row>
    <row r="231" spans="2:171" s="40" customFormat="1" ht="15.6" customHeight="1" x14ac:dyDescent="0.25">
      <c r="B231" s="32">
        <v>1</v>
      </c>
      <c r="C231" s="33"/>
      <c r="D231" s="33"/>
      <c r="E231" s="434">
        <v>194</v>
      </c>
      <c r="F231" s="32">
        <v>1</v>
      </c>
      <c r="G231" s="33"/>
      <c r="H231" s="33"/>
      <c r="I231" s="434"/>
      <c r="J231" s="435"/>
      <c r="K231" s="435"/>
      <c r="L231" s="53"/>
      <c r="M231" s="434">
        <v>190</v>
      </c>
      <c r="N231" s="435" t="s">
        <v>245</v>
      </c>
      <c r="O231" s="435" t="s">
        <v>343</v>
      </c>
      <c r="P231" s="24">
        <f t="shared" si="1120"/>
        <v>0</v>
      </c>
      <c r="Q231" s="435" t="s">
        <v>490</v>
      </c>
      <c r="R231" s="435" t="s">
        <v>570</v>
      </c>
      <c r="S231" s="435" t="s">
        <v>491</v>
      </c>
      <c r="T231" s="435" t="s">
        <v>488</v>
      </c>
      <c r="U231" s="161">
        <v>1</v>
      </c>
      <c r="V231" s="434">
        <v>2</v>
      </c>
      <c r="W231" s="459">
        <f t="shared" ref="W231:W241" si="1329">X231+Y231+Z231+AA231</f>
        <v>5370.4</v>
      </c>
      <c r="X231" s="459"/>
      <c r="Y231" s="460">
        <f>4783+587.4</f>
        <v>5370.4</v>
      </c>
      <c r="Z231" s="459"/>
      <c r="AA231" s="464"/>
      <c r="AB231" s="459">
        <f t="shared" ref="AB231:AB241" si="1330">AC231+AD231+AE231+AF231</f>
        <v>5721</v>
      </c>
      <c r="AC231" s="459"/>
      <c r="AD231" s="460">
        <v>5721</v>
      </c>
      <c r="AE231" s="459"/>
      <c r="AF231" s="464"/>
      <c r="AG231" s="459">
        <f t="shared" ref="AG231:AG241" si="1331">AH231+AI231+AJ231+AK231</f>
        <v>5721</v>
      </c>
      <c r="AH231" s="459"/>
      <c r="AI231" s="460">
        <v>5721</v>
      </c>
      <c r="AJ231" s="459"/>
      <c r="AK231" s="464"/>
      <c r="AL231" s="459">
        <f t="shared" ref="AL231:AL241" si="1332">AM231+AN231+AO231+AP231</f>
        <v>1572</v>
      </c>
      <c r="AM231" s="459"/>
      <c r="AN231" s="460">
        <v>1572</v>
      </c>
      <c r="AO231" s="459"/>
      <c r="AP231" s="459"/>
      <c r="AQ231" s="398" t="s">
        <v>505</v>
      </c>
      <c r="AR231" s="459">
        <f t="shared" ref="AR231:AR241" si="1333">AS231+AT231+AU231+AV231</f>
        <v>5363.4439999999995</v>
      </c>
      <c r="AS231" s="459"/>
      <c r="AT231" s="460">
        <f>4783+587.4-6.956</f>
        <v>5363.4439999999995</v>
      </c>
      <c r="AU231" s="459"/>
      <c r="AV231" s="459"/>
      <c r="AW231" s="459" t="e">
        <f t="shared" ref="AW231:AW241" si="1334">AX231+AY231+AZ231+BA231</f>
        <v>#REF!</v>
      </c>
      <c r="AX231" s="459" t="e">
        <f>#REF!-AS231</f>
        <v>#REF!</v>
      </c>
      <c r="AY231" s="459" t="e">
        <f>#REF!-AT231</f>
        <v>#REF!</v>
      </c>
      <c r="AZ231" s="459" t="e">
        <f>#REF!-AU231</f>
        <v>#REF!</v>
      </c>
      <c r="BA231" s="459" t="e">
        <f>#REF!-AV231</f>
        <v>#REF!</v>
      </c>
      <c r="BB231" s="459">
        <f t="shared" ref="BB231:BB241" si="1335">BC231+BD231+BE231+BF231</f>
        <v>5315.3220000000001</v>
      </c>
      <c r="BC231" s="459"/>
      <c r="BD231" s="460">
        <f>1572+2376.869+1366.453</f>
        <v>5315.3220000000001</v>
      </c>
      <c r="BE231" s="459"/>
      <c r="BF231" s="459"/>
      <c r="BG231" s="459">
        <f t="shared" ref="BG231:BG241" si="1336">BH231+BI231+BJ231+BK231</f>
        <v>0</v>
      </c>
      <c r="BH231" s="459"/>
      <c r="BI231" s="459"/>
      <c r="BJ231" s="459"/>
      <c r="BK231" s="459"/>
      <c r="BL231" s="459">
        <f t="shared" ref="BL231:BL241" si="1337">BM231+BN231+BO231+BP231</f>
        <v>5363.4439999999995</v>
      </c>
      <c r="BM231" s="459"/>
      <c r="BN231" s="460">
        <f>1310.029+1384.079+2669.336</f>
        <v>5363.4439999999995</v>
      </c>
      <c r="BO231" s="459"/>
      <c r="BP231" s="459"/>
      <c r="BQ231" s="459">
        <f t="shared" ref="BQ231:BQ241" si="1338">BR231+BS231+BT231+BU231</f>
        <v>5363.4439999999995</v>
      </c>
      <c r="BR231" s="459"/>
      <c r="BS231" s="460">
        <f>1310.029+1384.079+2669.336</f>
        <v>5363.4439999999995</v>
      </c>
      <c r="BT231" s="459"/>
      <c r="BU231" s="459"/>
      <c r="BV231" s="459">
        <f t="shared" ref="BV231:BV241" si="1339">BW231+BX231+BY231+BZ231</f>
        <v>786.68901000000005</v>
      </c>
      <c r="BW231" s="459"/>
      <c r="BX231" s="459">
        <f>203.01167+192.1495+391.52784</f>
        <v>786.68901000000005</v>
      </c>
      <c r="BY231" s="459"/>
      <c r="BZ231" s="459"/>
      <c r="CA231" s="464">
        <f t="shared" ref="CA231:CA241" si="1340">CB231</f>
        <v>6150.1330099999996</v>
      </c>
      <c r="CB231" s="459">
        <f t="shared" ref="CB231:CB241" si="1341">CC231+CD231+CE231+CF231</f>
        <v>6150.1330099999996</v>
      </c>
      <c r="CC231" s="459">
        <f t="shared" ref="CC231:CF241" si="1342">BR231+BW231</f>
        <v>0</v>
      </c>
      <c r="CD231" s="459">
        <f t="shared" si="1342"/>
        <v>6150.1330099999996</v>
      </c>
      <c r="CE231" s="459">
        <f t="shared" si="1342"/>
        <v>0</v>
      </c>
      <c r="CF231" s="459">
        <f t="shared" si="1342"/>
        <v>0</v>
      </c>
      <c r="CG231" s="459">
        <f t="shared" ref="CG231:CG241" si="1343">CH231+CI231+CJ231+CK231</f>
        <v>0</v>
      </c>
      <c r="CH231" s="459">
        <f t="shared" ref="CH231:CK241" si="1344">BM231-BR231</f>
        <v>0</v>
      </c>
      <c r="CI231" s="459">
        <f t="shared" si="1344"/>
        <v>0</v>
      </c>
      <c r="CJ231" s="459">
        <f t="shared" si="1344"/>
        <v>0</v>
      </c>
      <c r="CK231" s="459">
        <f t="shared" si="1344"/>
        <v>0</v>
      </c>
      <c r="CL231" s="465"/>
      <c r="CM231" s="466">
        <f>BD231</f>
        <v>5315.3220000000001</v>
      </c>
      <c r="CN231" s="466">
        <f>CM231</f>
        <v>5315.3220000000001</v>
      </c>
      <c r="CO231" s="459">
        <f t="shared" ref="CO231:CO241" si="1345">CP231+CQ231+CR231+CS231</f>
        <v>0</v>
      </c>
      <c r="CP231" s="459"/>
      <c r="CQ231" s="459"/>
      <c r="CR231" s="459"/>
      <c r="CS231" s="459"/>
      <c r="CT231" s="459">
        <f t="shared" ref="CT231:CT241" si="1346">CU231+CV231+CW231+CX231</f>
        <v>0</v>
      </c>
      <c r="CU231" s="459"/>
      <c r="CV231" s="459"/>
      <c r="CW231" s="459"/>
      <c r="CX231" s="459"/>
      <c r="CY231" s="459">
        <f t="shared" ref="CY231:CY241" si="1347">CZ231+DA231+DB231+DC231</f>
        <v>0</v>
      </c>
      <c r="CZ231" s="459">
        <f t="shared" ref="CZ231:DC241" si="1348">CP231-CU231</f>
        <v>0</v>
      </c>
      <c r="DA231" s="459">
        <f t="shared" si="1348"/>
        <v>0</v>
      </c>
      <c r="DB231" s="459">
        <f t="shared" si="1348"/>
        <v>0</v>
      </c>
      <c r="DC231" s="459">
        <f t="shared" si="1348"/>
        <v>0</v>
      </c>
      <c r="DD231" s="459"/>
      <c r="DE231" s="459"/>
      <c r="DF231" s="459">
        <f>DD231-DE231</f>
        <v>0</v>
      </c>
      <c r="DG231" s="459">
        <f t="shared" ref="DG231:DG241" si="1349">CG231+CY231+DF231</f>
        <v>0</v>
      </c>
      <c r="DH231" s="467"/>
      <c r="DI231" s="459">
        <f t="shared" ref="DI231:DI241" si="1350">BL231+CO231+DD231</f>
        <v>5363.4439999999995</v>
      </c>
      <c r="DJ231" s="459">
        <f t="shared" ref="DJ231:DJ241" si="1351">BQ231+CT231+DE231</f>
        <v>5363.4439999999995</v>
      </c>
      <c r="DK231" s="467"/>
      <c r="DL231" s="459">
        <f t="shared" ref="DL231:DL232" si="1352">DJ231</f>
        <v>5363.4439999999995</v>
      </c>
      <c r="DM231" s="459">
        <f t="shared" ref="DM231:DM232" si="1353">DG231</f>
        <v>0</v>
      </c>
      <c r="DN231" s="467"/>
      <c r="DO231" s="459">
        <f>CN231-DL231</f>
        <v>-48.121999999999389</v>
      </c>
      <c r="DP231" s="467"/>
      <c r="DQ231" s="467"/>
      <c r="DR231" s="459">
        <f t="shared" si="1100"/>
        <v>5363.4440000000004</v>
      </c>
      <c r="DS231" s="459"/>
      <c r="DT231" s="460">
        <v>5363.4440000000004</v>
      </c>
      <c r="DU231" s="459"/>
      <c r="DV231" s="459"/>
      <c r="DW231" s="459">
        <f t="shared" si="1119"/>
        <v>786.68901000000005</v>
      </c>
      <c r="DX231" s="459"/>
      <c r="DY231" s="459">
        <v>786.68901000000005</v>
      </c>
      <c r="DZ231" s="459"/>
      <c r="EA231" s="146"/>
      <c r="EB231" s="279"/>
      <c r="EC231" s="279"/>
      <c r="ED231" s="279"/>
      <c r="EE231" s="366"/>
      <c r="EF231" s="366"/>
      <c r="EG231" s="279"/>
      <c r="EH231" s="279"/>
      <c r="EI231" s="279"/>
      <c r="EJ231" s="366"/>
      <c r="EK231" s="366"/>
      <c r="EL231" s="366">
        <v>2.9700000000000001E-2</v>
      </c>
      <c r="EM231" s="280"/>
      <c r="EN231" s="279"/>
      <c r="EO231" s="265" t="e">
        <f t="shared" ref="EO231:EO241" si="1354">EM231/EJ231</f>
        <v>#DIV/0!</v>
      </c>
      <c r="EP231" s="323">
        <f t="shared" si="1121"/>
        <v>6150.1330099999996</v>
      </c>
      <c r="EQ231" s="323">
        <f t="shared" si="1175"/>
        <v>5363.4439999999995</v>
      </c>
      <c r="ER231" s="323">
        <v>786.68901000000005</v>
      </c>
      <c r="ES231" s="358">
        <f t="shared" ref="ES231:ES241" si="1355">EQ231/EP231</f>
        <v>0.87208585428626362</v>
      </c>
      <c r="ET231" s="358">
        <f t="shared" ref="ET231:ET241" si="1356">ER231/EP231</f>
        <v>0.12791414571373638</v>
      </c>
      <c r="EU231" s="323">
        <f t="shared" si="1122"/>
        <v>6150.1330100000005</v>
      </c>
      <c r="EV231" s="323">
        <f t="shared" ref="EV231:EV241" si="1357">DT231</f>
        <v>5363.4440000000004</v>
      </c>
      <c r="EW231" s="323">
        <f t="shared" ref="EW231:EW241" si="1358">DY231</f>
        <v>786.68901000000005</v>
      </c>
      <c r="EX231" s="358">
        <f t="shared" ref="EX231:EX241" si="1359">EV231/EU231</f>
        <v>0.87208585428626362</v>
      </c>
      <c r="EY231" s="358">
        <f t="shared" ref="EY231:EY241" si="1360">EW231/EU231</f>
        <v>0.12791414571373635</v>
      </c>
      <c r="EZ231" s="358">
        <v>0.1</v>
      </c>
      <c r="FA231" s="323">
        <f t="shared" ref="FA231:FA241" si="1361">EU231*ES231</f>
        <v>5363.4440000000004</v>
      </c>
      <c r="FB231" s="323">
        <f t="shared" si="1123"/>
        <v>0</v>
      </c>
      <c r="FC231" s="279"/>
      <c r="FD231" s="279"/>
      <c r="FE231" s="279"/>
      <c r="FF231" s="366"/>
      <c r="FG231" s="366"/>
      <c r="FH231" s="279"/>
      <c r="FI231" s="279"/>
      <c r="FJ231" s="279"/>
      <c r="FK231" s="366"/>
      <c r="FL231" s="366"/>
      <c r="FM231" s="366">
        <v>0.1</v>
      </c>
      <c r="FN231" s="280"/>
      <c r="FO231" s="279"/>
    </row>
    <row r="232" spans="2:171" s="40" customFormat="1" ht="15.75" customHeight="1" x14ac:dyDescent="0.25">
      <c r="B232" s="32"/>
      <c r="C232" s="33"/>
      <c r="D232" s="33"/>
      <c r="E232" s="434"/>
      <c r="F232" s="32"/>
      <c r="G232" s="33"/>
      <c r="H232" s="33"/>
      <c r="I232" s="434"/>
      <c r="J232" s="435"/>
      <c r="K232" s="435"/>
      <c r="L232" s="53"/>
      <c r="M232" s="434"/>
      <c r="N232" s="19" t="s">
        <v>251</v>
      </c>
      <c r="O232" s="133"/>
      <c r="P232" s="2">
        <f t="shared" si="1120"/>
        <v>0</v>
      </c>
      <c r="Q232" s="133"/>
      <c r="R232" s="133"/>
      <c r="S232" s="133"/>
      <c r="T232" s="133"/>
      <c r="U232" s="133"/>
      <c r="V232" s="133"/>
      <c r="W232" s="459">
        <f t="shared" si="1329"/>
        <v>0</v>
      </c>
      <c r="X232" s="459"/>
      <c r="Y232" s="468"/>
      <c r="Z232" s="459"/>
      <c r="AA232" s="464"/>
      <c r="AB232" s="459">
        <f t="shared" si="1330"/>
        <v>0</v>
      </c>
      <c r="AC232" s="459"/>
      <c r="AD232" s="468"/>
      <c r="AE232" s="459"/>
      <c r="AF232" s="464"/>
      <c r="AG232" s="459">
        <f t="shared" si="1331"/>
        <v>0</v>
      </c>
      <c r="AH232" s="459"/>
      <c r="AI232" s="468"/>
      <c r="AJ232" s="459"/>
      <c r="AK232" s="464"/>
      <c r="AL232" s="459">
        <f t="shared" si="1332"/>
        <v>0</v>
      </c>
      <c r="AM232" s="459"/>
      <c r="AN232" s="468"/>
      <c r="AO232" s="459"/>
      <c r="AP232" s="459"/>
      <c r="AQ232" s="383"/>
      <c r="AR232" s="459">
        <f t="shared" si="1333"/>
        <v>0</v>
      </c>
      <c r="AS232" s="459"/>
      <c r="AT232" s="469"/>
      <c r="AU232" s="459"/>
      <c r="AV232" s="459"/>
      <c r="AW232" s="459" t="e">
        <f t="shared" si="1334"/>
        <v>#REF!</v>
      </c>
      <c r="AX232" s="459" t="e">
        <f>#REF!-AS232</f>
        <v>#REF!</v>
      </c>
      <c r="AY232" s="459" t="e">
        <f>#REF!-AT232</f>
        <v>#REF!</v>
      </c>
      <c r="AZ232" s="459" t="e">
        <f>#REF!-AU232</f>
        <v>#REF!</v>
      </c>
      <c r="BA232" s="459" t="e">
        <f>#REF!-AV232</f>
        <v>#REF!</v>
      </c>
      <c r="BB232" s="459">
        <f t="shared" si="1335"/>
        <v>0</v>
      </c>
      <c r="BC232" s="459"/>
      <c r="BD232" s="459"/>
      <c r="BE232" s="459"/>
      <c r="BF232" s="459"/>
      <c r="BG232" s="459">
        <f t="shared" si="1336"/>
        <v>0</v>
      </c>
      <c r="BH232" s="459"/>
      <c r="BI232" s="459"/>
      <c r="BJ232" s="459"/>
      <c r="BK232" s="459"/>
      <c r="BL232" s="459">
        <f t="shared" si="1337"/>
        <v>0</v>
      </c>
      <c r="BM232" s="459"/>
      <c r="BN232" s="459"/>
      <c r="BO232" s="459"/>
      <c r="BP232" s="459"/>
      <c r="BQ232" s="459">
        <f t="shared" si="1338"/>
        <v>0</v>
      </c>
      <c r="BR232" s="459"/>
      <c r="BS232" s="459"/>
      <c r="BT232" s="459"/>
      <c r="BU232" s="459"/>
      <c r="BV232" s="459">
        <f t="shared" si="1339"/>
        <v>0</v>
      </c>
      <c r="BW232" s="459"/>
      <c r="BX232" s="459"/>
      <c r="BY232" s="459"/>
      <c r="BZ232" s="459"/>
      <c r="CA232" s="464">
        <f t="shared" si="1340"/>
        <v>0</v>
      </c>
      <c r="CB232" s="459">
        <f t="shared" si="1341"/>
        <v>0</v>
      </c>
      <c r="CC232" s="459">
        <f t="shared" si="1342"/>
        <v>0</v>
      </c>
      <c r="CD232" s="459">
        <f t="shared" si="1342"/>
        <v>0</v>
      </c>
      <c r="CE232" s="459">
        <f t="shared" si="1342"/>
        <v>0</v>
      </c>
      <c r="CF232" s="459">
        <f t="shared" si="1342"/>
        <v>0</v>
      </c>
      <c r="CG232" s="459">
        <f t="shared" si="1343"/>
        <v>0</v>
      </c>
      <c r="CH232" s="459">
        <f t="shared" si="1344"/>
        <v>0</v>
      </c>
      <c r="CI232" s="459">
        <f t="shared" si="1344"/>
        <v>0</v>
      </c>
      <c r="CJ232" s="459">
        <f t="shared" si="1344"/>
        <v>0</v>
      </c>
      <c r="CK232" s="459">
        <f t="shared" si="1344"/>
        <v>0</v>
      </c>
      <c r="CL232" s="465"/>
      <c r="CM232" s="466"/>
      <c r="CN232" s="466"/>
      <c r="CO232" s="459">
        <f t="shared" si="1345"/>
        <v>0</v>
      </c>
      <c r="CP232" s="459"/>
      <c r="CQ232" s="459"/>
      <c r="CR232" s="459"/>
      <c r="CS232" s="459"/>
      <c r="CT232" s="459">
        <f t="shared" si="1346"/>
        <v>0</v>
      </c>
      <c r="CU232" s="459"/>
      <c r="CV232" s="459"/>
      <c r="CW232" s="459"/>
      <c r="CX232" s="459"/>
      <c r="CY232" s="459">
        <f t="shared" si="1347"/>
        <v>0</v>
      </c>
      <c r="CZ232" s="459">
        <f t="shared" si="1348"/>
        <v>0</v>
      </c>
      <c r="DA232" s="459">
        <f t="shared" si="1348"/>
        <v>0</v>
      </c>
      <c r="DB232" s="459">
        <f t="shared" si="1348"/>
        <v>0</v>
      </c>
      <c r="DC232" s="459">
        <f t="shared" si="1348"/>
        <v>0</v>
      </c>
      <c r="DD232" s="459"/>
      <c r="DE232" s="459"/>
      <c r="DF232" s="459"/>
      <c r="DG232" s="459">
        <f t="shared" si="1349"/>
        <v>0</v>
      </c>
      <c r="DH232" s="467"/>
      <c r="DI232" s="459">
        <f t="shared" si="1350"/>
        <v>0</v>
      </c>
      <c r="DJ232" s="459">
        <f t="shared" si="1351"/>
        <v>0</v>
      </c>
      <c r="DK232" s="467"/>
      <c r="DL232" s="459">
        <f t="shared" si="1352"/>
        <v>0</v>
      </c>
      <c r="DM232" s="459">
        <f t="shared" si="1353"/>
        <v>0</v>
      </c>
      <c r="DN232" s="467"/>
      <c r="DO232" s="459"/>
      <c r="DP232" s="467"/>
      <c r="DQ232" s="467"/>
      <c r="DR232" s="459">
        <f t="shared" si="1100"/>
        <v>0</v>
      </c>
      <c r="DS232" s="459"/>
      <c r="DT232" s="459"/>
      <c r="DU232" s="459"/>
      <c r="DV232" s="459"/>
      <c r="DW232" s="459">
        <f t="shared" si="1119"/>
        <v>0</v>
      </c>
      <c r="DX232" s="459"/>
      <c r="DY232" s="459"/>
      <c r="DZ232" s="459"/>
      <c r="EA232" s="146"/>
      <c r="EB232" s="279"/>
      <c r="EC232" s="279"/>
      <c r="ED232" s="279"/>
      <c r="EE232" s="366"/>
      <c r="EF232" s="366"/>
      <c r="EG232" s="279"/>
      <c r="EH232" s="279"/>
      <c r="EI232" s="279"/>
      <c r="EJ232" s="366"/>
      <c r="EK232" s="366"/>
      <c r="EL232" s="366"/>
      <c r="EM232" s="280"/>
      <c r="EN232" s="279"/>
      <c r="EO232" s="265" t="e">
        <f t="shared" si="1354"/>
        <v>#DIV/0!</v>
      </c>
      <c r="EP232" s="323"/>
      <c r="EQ232" s="323"/>
      <c r="ER232" s="323"/>
      <c r="ES232" s="358"/>
      <c r="ET232" s="358"/>
      <c r="EU232" s="323"/>
      <c r="EV232" s="323"/>
      <c r="EW232" s="323"/>
      <c r="EX232" s="358"/>
      <c r="EY232" s="358"/>
      <c r="EZ232" s="358"/>
      <c r="FA232" s="323"/>
      <c r="FB232" s="323">
        <f t="shared" si="1123"/>
        <v>0</v>
      </c>
      <c r="FC232" s="279"/>
      <c r="FD232" s="279"/>
      <c r="FE232" s="279"/>
      <c r="FF232" s="366"/>
      <c r="FG232" s="366"/>
      <c r="FH232" s="279"/>
      <c r="FI232" s="279"/>
      <c r="FJ232" s="279"/>
      <c r="FK232" s="366"/>
      <c r="FL232" s="366"/>
      <c r="FM232" s="366"/>
      <c r="FN232" s="280"/>
      <c r="FO232" s="279"/>
    </row>
    <row r="233" spans="2:171" s="40" customFormat="1" ht="15.75" customHeight="1" x14ac:dyDescent="0.25">
      <c r="B233" s="32"/>
      <c r="C233" s="33"/>
      <c r="D233" s="33">
        <v>1</v>
      </c>
      <c r="E233" s="434">
        <v>195</v>
      </c>
      <c r="F233" s="32"/>
      <c r="G233" s="33"/>
      <c r="H233" s="33">
        <v>1</v>
      </c>
      <c r="I233" s="434"/>
      <c r="J233" s="435"/>
      <c r="K233" s="435"/>
      <c r="L233" s="53"/>
      <c r="M233" s="434">
        <v>191</v>
      </c>
      <c r="N233" s="435" t="s">
        <v>72</v>
      </c>
      <c r="O233" s="435"/>
      <c r="P233" s="24">
        <f t="shared" si="1120"/>
        <v>0</v>
      </c>
      <c r="Q233" s="435" t="s">
        <v>491</v>
      </c>
      <c r="R233" s="435" t="s">
        <v>488</v>
      </c>
      <c r="S233" s="435" t="s">
        <v>491</v>
      </c>
      <c r="T233" s="435" t="s">
        <v>488</v>
      </c>
      <c r="U233" s="161">
        <v>1</v>
      </c>
      <c r="V233" s="434">
        <v>1</v>
      </c>
      <c r="W233" s="459">
        <f t="shared" si="1329"/>
        <v>419.6</v>
      </c>
      <c r="X233" s="459"/>
      <c r="Y233" s="460">
        <v>419.6</v>
      </c>
      <c r="Z233" s="459"/>
      <c r="AA233" s="464"/>
      <c r="AB233" s="459">
        <f t="shared" si="1330"/>
        <v>0</v>
      </c>
      <c r="AC233" s="459"/>
      <c r="AD233" s="460">
        <v>0</v>
      </c>
      <c r="AE233" s="459"/>
      <c r="AF233" s="464"/>
      <c r="AG233" s="459">
        <f t="shared" si="1331"/>
        <v>0</v>
      </c>
      <c r="AH233" s="459"/>
      <c r="AI233" s="460">
        <v>0</v>
      </c>
      <c r="AJ233" s="459"/>
      <c r="AK233" s="464"/>
      <c r="AL233" s="459">
        <f t="shared" si="1332"/>
        <v>184</v>
      </c>
      <c r="AM233" s="459"/>
      <c r="AN233" s="460">
        <v>184</v>
      </c>
      <c r="AO233" s="459"/>
      <c r="AP233" s="459"/>
      <c r="AQ233" s="383" t="s">
        <v>438</v>
      </c>
      <c r="AR233" s="459">
        <f t="shared" si="1333"/>
        <v>419.6</v>
      </c>
      <c r="AS233" s="459"/>
      <c r="AT233" s="462">
        <v>419.6</v>
      </c>
      <c r="AU233" s="459"/>
      <c r="AV233" s="459"/>
      <c r="AW233" s="459" t="e">
        <f t="shared" si="1334"/>
        <v>#REF!</v>
      </c>
      <c r="AX233" s="459" t="e">
        <f>#REF!-AS233</f>
        <v>#REF!</v>
      </c>
      <c r="AY233" s="459" t="e">
        <f>#REF!-AT233</f>
        <v>#REF!</v>
      </c>
      <c r="AZ233" s="459" t="e">
        <f>#REF!-AU233</f>
        <v>#REF!</v>
      </c>
      <c r="BA233" s="459" t="e">
        <f>#REF!-AV233</f>
        <v>#REF!</v>
      </c>
      <c r="BB233" s="459">
        <f t="shared" si="1335"/>
        <v>0</v>
      </c>
      <c r="BC233" s="459"/>
      <c r="BD233" s="460"/>
      <c r="BE233" s="459"/>
      <c r="BF233" s="459"/>
      <c r="BG233" s="459">
        <f t="shared" si="1336"/>
        <v>0</v>
      </c>
      <c r="BH233" s="459"/>
      <c r="BI233" s="460"/>
      <c r="BJ233" s="459"/>
      <c r="BK233" s="459"/>
      <c r="BL233" s="459">
        <f t="shared" si="1337"/>
        <v>419.6</v>
      </c>
      <c r="BM233" s="459"/>
      <c r="BN233" s="460">
        <v>419.6</v>
      </c>
      <c r="BO233" s="459"/>
      <c r="BP233" s="459"/>
      <c r="BQ233" s="459">
        <f t="shared" si="1338"/>
        <v>419.6</v>
      </c>
      <c r="BR233" s="459"/>
      <c r="BS233" s="460">
        <v>419.6</v>
      </c>
      <c r="BT233" s="459"/>
      <c r="BU233" s="459"/>
      <c r="BV233" s="459">
        <f t="shared" si="1339"/>
        <v>138.5343</v>
      </c>
      <c r="BW233" s="459"/>
      <c r="BX233" s="459">
        <v>138.5343</v>
      </c>
      <c r="BY233" s="459"/>
      <c r="BZ233" s="459"/>
      <c r="CA233" s="464">
        <f t="shared" si="1340"/>
        <v>558.13430000000005</v>
      </c>
      <c r="CB233" s="459">
        <f t="shared" si="1341"/>
        <v>558.13430000000005</v>
      </c>
      <c r="CC233" s="459">
        <f t="shared" si="1342"/>
        <v>0</v>
      </c>
      <c r="CD233" s="459">
        <f t="shared" si="1342"/>
        <v>558.13430000000005</v>
      </c>
      <c r="CE233" s="459">
        <f t="shared" si="1342"/>
        <v>0</v>
      </c>
      <c r="CF233" s="459">
        <f t="shared" si="1342"/>
        <v>0</v>
      </c>
      <c r="CG233" s="459">
        <f t="shared" si="1343"/>
        <v>0</v>
      </c>
      <c r="CH233" s="459">
        <f t="shared" si="1344"/>
        <v>0</v>
      </c>
      <c r="CI233" s="459">
        <f t="shared" si="1344"/>
        <v>0</v>
      </c>
      <c r="CJ233" s="459">
        <f t="shared" si="1344"/>
        <v>0</v>
      </c>
      <c r="CK233" s="459">
        <f t="shared" si="1344"/>
        <v>0</v>
      </c>
      <c r="CL233" s="465"/>
      <c r="CM233" s="466"/>
      <c r="CN233" s="466"/>
      <c r="CO233" s="459">
        <f t="shared" si="1345"/>
        <v>0</v>
      </c>
      <c r="CP233" s="459"/>
      <c r="CQ233" s="460"/>
      <c r="CR233" s="459"/>
      <c r="CS233" s="459"/>
      <c r="CT233" s="459">
        <f t="shared" si="1346"/>
        <v>0</v>
      </c>
      <c r="CU233" s="459"/>
      <c r="CV233" s="460"/>
      <c r="CW233" s="459"/>
      <c r="CX233" s="459"/>
      <c r="CY233" s="459">
        <f t="shared" si="1347"/>
        <v>0</v>
      </c>
      <c r="CZ233" s="459">
        <f t="shared" si="1348"/>
        <v>0</v>
      </c>
      <c r="DA233" s="459">
        <f t="shared" si="1348"/>
        <v>0</v>
      </c>
      <c r="DB233" s="459">
        <f t="shared" si="1348"/>
        <v>0</v>
      </c>
      <c r="DC233" s="459">
        <f t="shared" si="1348"/>
        <v>0</v>
      </c>
      <c r="DD233" s="459"/>
      <c r="DE233" s="459"/>
      <c r="DF233" s="459"/>
      <c r="DG233" s="459">
        <f t="shared" si="1349"/>
        <v>0</v>
      </c>
      <c r="DH233" s="467"/>
      <c r="DI233" s="459">
        <f t="shared" si="1350"/>
        <v>419.6</v>
      </c>
      <c r="DJ233" s="459">
        <f t="shared" si="1351"/>
        <v>419.6</v>
      </c>
      <c r="DK233" s="467"/>
      <c r="DL233" s="459"/>
      <c r="DM233" s="459"/>
      <c r="DN233" s="467"/>
      <c r="DO233" s="459"/>
      <c r="DP233" s="467"/>
      <c r="DQ233" s="467"/>
      <c r="DR233" s="459">
        <f t="shared" si="1100"/>
        <v>419.6</v>
      </c>
      <c r="DS233" s="459"/>
      <c r="DT233" s="459">
        <v>419.6</v>
      </c>
      <c r="DU233" s="459"/>
      <c r="DV233" s="459"/>
      <c r="DW233" s="459">
        <f t="shared" si="1119"/>
        <v>138.5343</v>
      </c>
      <c r="DX233" s="459"/>
      <c r="DY233" s="459">
        <v>138.5343</v>
      </c>
      <c r="DZ233" s="459"/>
      <c r="EA233" s="146"/>
      <c r="EB233" s="279"/>
      <c r="EC233" s="279"/>
      <c r="ED233" s="279"/>
      <c r="EE233" s="366"/>
      <c r="EF233" s="366"/>
      <c r="EG233" s="279"/>
      <c r="EH233" s="279"/>
      <c r="EI233" s="279"/>
      <c r="EJ233" s="366"/>
      <c r="EK233" s="366"/>
      <c r="EL233" s="366">
        <v>2.01E-2</v>
      </c>
      <c r="EM233" s="280"/>
      <c r="EN233" s="279"/>
      <c r="EO233" s="265" t="e">
        <f t="shared" si="1354"/>
        <v>#DIV/0!</v>
      </c>
      <c r="EP233" s="323">
        <f t="shared" si="1121"/>
        <v>558.13430000000005</v>
      </c>
      <c r="EQ233" s="323">
        <f t="shared" si="1175"/>
        <v>419.6</v>
      </c>
      <c r="ER233" s="323">
        <v>138.5343</v>
      </c>
      <c r="ES233" s="358">
        <f t="shared" si="1355"/>
        <v>0.75179038450064795</v>
      </c>
      <c r="ET233" s="358">
        <f t="shared" si="1356"/>
        <v>0.24820961549935203</v>
      </c>
      <c r="EU233" s="323">
        <f t="shared" si="1122"/>
        <v>558.13430000000005</v>
      </c>
      <c r="EV233" s="323">
        <f t="shared" si="1357"/>
        <v>419.6</v>
      </c>
      <c r="EW233" s="323">
        <f t="shared" si="1358"/>
        <v>138.5343</v>
      </c>
      <c r="EX233" s="358">
        <f t="shared" si="1359"/>
        <v>0.75179038450064795</v>
      </c>
      <c r="EY233" s="358">
        <f t="shared" si="1360"/>
        <v>0.24820961549935203</v>
      </c>
      <c r="EZ233" s="358">
        <v>6.6900000000000001E-2</v>
      </c>
      <c r="FA233" s="323">
        <f t="shared" si="1361"/>
        <v>419.6</v>
      </c>
      <c r="FB233" s="323">
        <f t="shared" si="1123"/>
        <v>0</v>
      </c>
      <c r="FC233" s="279"/>
      <c r="FD233" s="279"/>
      <c r="FE233" s="279"/>
      <c r="FF233" s="366"/>
      <c r="FG233" s="366"/>
      <c r="FH233" s="279"/>
      <c r="FI233" s="279"/>
      <c r="FJ233" s="279"/>
      <c r="FK233" s="366"/>
      <c r="FL233" s="366"/>
      <c r="FM233" s="366">
        <v>6.6900000000000001E-2</v>
      </c>
      <c r="FN233" s="280"/>
      <c r="FO233" s="279"/>
    </row>
    <row r="234" spans="2:171" s="40" customFormat="1" ht="15.75" customHeight="1" x14ac:dyDescent="0.25">
      <c r="B234" s="32"/>
      <c r="C234" s="33"/>
      <c r="D234" s="33">
        <v>1</v>
      </c>
      <c r="E234" s="434">
        <v>196</v>
      </c>
      <c r="F234" s="32"/>
      <c r="G234" s="33"/>
      <c r="H234" s="33">
        <v>1</v>
      </c>
      <c r="I234" s="434"/>
      <c r="J234" s="435"/>
      <c r="K234" s="435"/>
      <c r="L234" s="53"/>
      <c r="M234" s="434">
        <v>192</v>
      </c>
      <c r="N234" s="435" t="s">
        <v>176</v>
      </c>
      <c r="O234" s="435"/>
      <c r="P234" s="24">
        <f t="shared" si="1120"/>
        <v>0</v>
      </c>
      <c r="Q234" s="435" t="s">
        <v>491</v>
      </c>
      <c r="R234" s="435" t="s">
        <v>488</v>
      </c>
      <c r="S234" s="435" t="s">
        <v>491</v>
      </c>
      <c r="T234" s="435" t="s">
        <v>488</v>
      </c>
      <c r="U234" s="161">
        <v>1</v>
      </c>
      <c r="V234" s="434">
        <v>1</v>
      </c>
      <c r="W234" s="459">
        <f t="shared" si="1329"/>
        <v>1076.5</v>
      </c>
      <c r="X234" s="459"/>
      <c r="Y234" s="460">
        <v>1076.5</v>
      </c>
      <c r="Z234" s="459"/>
      <c r="AA234" s="464"/>
      <c r="AB234" s="459">
        <f t="shared" si="1330"/>
        <v>1085.5999999999999</v>
      </c>
      <c r="AC234" s="459"/>
      <c r="AD234" s="460">
        <v>1085.5999999999999</v>
      </c>
      <c r="AE234" s="459"/>
      <c r="AF234" s="464"/>
      <c r="AG234" s="459">
        <f t="shared" si="1331"/>
        <v>1085.5999999999999</v>
      </c>
      <c r="AH234" s="459"/>
      <c r="AI234" s="460">
        <v>1085.5999999999999</v>
      </c>
      <c r="AJ234" s="459"/>
      <c r="AK234" s="464"/>
      <c r="AL234" s="459">
        <f t="shared" si="1332"/>
        <v>472</v>
      </c>
      <c r="AM234" s="459"/>
      <c r="AN234" s="460">
        <v>472</v>
      </c>
      <c r="AO234" s="459"/>
      <c r="AP234" s="459"/>
      <c r="AQ234" s="383" t="s">
        <v>542</v>
      </c>
      <c r="AR234" s="459">
        <f t="shared" si="1333"/>
        <v>917.78096000000005</v>
      </c>
      <c r="AS234" s="459"/>
      <c r="AT234" s="462">
        <f>1076.5-158.71904</f>
        <v>917.78096000000005</v>
      </c>
      <c r="AU234" s="459"/>
      <c r="AV234" s="459"/>
      <c r="AW234" s="459" t="e">
        <f t="shared" si="1334"/>
        <v>#REF!</v>
      </c>
      <c r="AX234" s="459" t="e">
        <f>#REF!-AS234</f>
        <v>#REF!</v>
      </c>
      <c r="AY234" s="459" t="e">
        <f>#REF!-AT234</f>
        <v>#REF!</v>
      </c>
      <c r="AZ234" s="459" t="e">
        <f>#REF!-AU234</f>
        <v>#REF!</v>
      </c>
      <c r="BA234" s="459" t="e">
        <f>#REF!-AV234</f>
        <v>#REF!</v>
      </c>
      <c r="BB234" s="459">
        <f t="shared" si="1335"/>
        <v>1085.5999999999999</v>
      </c>
      <c r="BC234" s="459"/>
      <c r="BD234" s="460">
        <f>472+613.6</f>
        <v>1085.5999999999999</v>
      </c>
      <c r="BE234" s="459"/>
      <c r="BF234" s="459"/>
      <c r="BG234" s="459">
        <f t="shared" si="1336"/>
        <v>0</v>
      </c>
      <c r="BH234" s="459"/>
      <c r="BI234" s="460"/>
      <c r="BJ234" s="459"/>
      <c r="BK234" s="459"/>
      <c r="BL234" s="459">
        <f t="shared" si="1337"/>
        <v>917.78096000000005</v>
      </c>
      <c r="BM234" s="459"/>
      <c r="BN234" s="460">
        <v>917.78096000000005</v>
      </c>
      <c r="BO234" s="459"/>
      <c r="BP234" s="459"/>
      <c r="BQ234" s="459">
        <f t="shared" si="1338"/>
        <v>917.78096000000005</v>
      </c>
      <c r="BR234" s="459"/>
      <c r="BS234" s="460">
        <v>917.78096000000005</v>
      </c>
      <c r="BT234" s="459"/>
      <c r="BU234" s="459"/>
      <c r="BV234" s="459">
        <f t="shared" si="1339"/>
        <v>67.279640000000001</v>
      </c>
      <c r="BW234" s="459"/>
      <c r="BX234" s="459">
        <v>67.279640000000001</v>
      </c>
      <c r="BY234" s="459"/>
      <c r="BZ234" s="459"/>
      <c r="CA234" s="464">
        <f t="shared" si="1340"/>
        <v>985.06060000000002</v>
      </c>
      <c r="CB234" s="459">
        <f t="shared" si="1341"/>
        <v>985.06060000000002</v>
      </c>
      <c r="CC234" s="459">
        <f t="shared" si="1342"/>
        <v>0</v>
      </c>
      <c r="CD234" s="459">
        <f t="shared" si="1342"/>
        <v>985.06060000000002</v>
      </c>
      <c r="CE234" s="459">
        <f t="shared" si="1342"/>
        <v>0</v>
      </c>
      <c r="CF234" s="459">
        <f t="shared" si="1342"/>
        <v>0</v>
      </c>
      <c r="CG234" s="459">
        <f t="shared" si="1343"/>
        <v>0</v>
      </c>
      <c r="CH234" s="459">
        <f t="shared" si="1344"/>
        <v>0</v>
      </c>
      <c r="CI234" s="459">
        <f t="shared" si="1344"/>
        <v>0</v>
      </c>
      <c r="CJ234" s="459">
        <f t="shared" si="1344"/>
        <v>0</v>
      </c>
      <c r="CK234" s="459">
        <f t="shared" si="1344"/>
        <v>0</v>
      </c>
      <c r="CL234" s="465"/>
      <c r="CM234" s="466"/>
      <c r="CN234" s="466"/>
      <c r="CO234" s="459">
        <f t="shared" si="1345"/>
        <v>0</v>
      </c>
      <c r="CP234" s="459"/>
      <c r="CQ234" s="460"/>
      <c r="CR234" s="459"/>
      <c r="CS234" s="459"/>
      <c r="CT234" s="459">
        <f t="shared" si="1346"/>
        <v>0</v>
      </c>
      <c r="CU234" s="459"/>
      <c r="CV234" s="460"/>
      <c r="CW234" s="459"/>
      <c r="CX234" s="459"/>
      <c r="CY234" s="459">
        <f t="shared" si="1347"/>
        <v>0</v>
      </c>
      <c r="CZ234" s="459">
        <f t="shared" si="1348"/>
        <v>0</v>
      </c>
      <c r="DA234" s="459">
        <f t="shared" si="1348"/>
        <v>0</v>
      </c>
      <c r="DB234" s="459">
        <f t="shared" si="1348"/>
        <v>0</v>
      </c>
      <c r="DC234" s="459">
        <f t="shared" si="1348"/>
        <v>0</v>
      </c>
      <c r="DD234" s="459"/>
      <c r="DE234" s="459"/>
      <c r="DF234" s="459"/>
      <c r="DG234" s="459">
        <f t="shared" si="1349"/>
        <v>0</v>
      </c>
      <c r="DH234" s="467"/>
      <c r="DI234" s="459">
        <f t="shared" si="1350"/>
        <v>917.78096000000005</v>
      </c>
      <c r="DJ234" s="459">
        <f t="shared" si="1351"/>
        <v>917.78096000000005</v>
      </c>
      <c r="DK234" s="467"/>
      <c r="DL234" s="459"/>
      <c r="DM234" s="459"/>
      <c r="DN234" s="467"/>
      <c r="DO234" s="459"/>
      <c r="DP234" s="467"/>
      <c r="DQ234" s="467"/>
      <c r="DR234" s="459">
        <f t="shared" si="1100"/>
        <v>917.78096000000005</v>
      </c>
      <c r="DS234" s="459"/>
      <c r="DT234" s="460">
        <v>917.78096000000005</v>
      </c>
      <c r="DU234" s="459"/>
      <c r="DV234" s="459"/>
      <c r="DW234" s="459">
        <f t="shared" si="1119"/>
        <v>67.279640000000001</v>
      </c>
      <c r="DX234" s="459"/>
      <c r="DY234" s="459">
        <v>67.279640000000001</v>
      </c>
      <c r="DZ234" s="459"/>
      <c r="EA234" s="146"/>
      <c r="EB234" s="279"/>
      <c r="EC234" s="279"/>
      <c r="ED234" s="279"/>
      <c r="EE234" s="366"/>
      <c r="EF234" s="366"/>
      <c r="EG234" s="279"/>
      <c r="EH234" s="279"/>
      <c r="EI234" s="279"/>
      <c r="EJ234" s="366"/>
      <c r="EK234" s="366"/>
      <c r="EL234" s="366">
        <v>2.0500000000000001E-2</v>
      </c>
      <c r="EM234" s="280"/>
      <c r="EN234" s="279"/>
      <c r="EO234" s="265" t="e">
        <f t="shared" si="1354"/>
        <v>#DIV/0!</v>
      </c>
      <c r="EP234" s="323">
        <f t="shared" si="1121"/>
        <v>985.06060000000002</v>
      </c>
      <c r="EQ234" s="323">
        <f t="shared" si="1175"/>
        <v>917.78096000000005</v>
      </c>
      <c r="ER234" s="323">
        <v>67.279640000000001</v>
      </c>
      <c r="ES234" s="358">
        <f t="shared" si="1355"/>
        <v>0.93169999896453071</v>
      </c>
      <c r="ET234" s="358">
        <f t="shared" si="1356"/>
        <v>6.8300001035469293E-2</v>
      </c>
      <c r="EU234" s="323">
        <f t="shared" si="1122"/>
        <v>985.06060000000002</v>
      </c>
      <c r="EV234" s="323">
        <f t="shared" si="1357"/>
        <v>917.78096000000005</v>
      </c>
      <c r="EW234" s="323">
        <f t="shared" si="1358"/>
        <v>67.279640000000001</v>
      </c>
      <c r="EX234" s="358">
        <f t="shared" si="1359"/>
        <v>0.93169999896453071</v>
      </c>
      <c r="EY234" s="358">
        <f t="shared" si="1360"/>
        <v>6.8300001035469293E-2</v>
      </c>
      <c r="EZ234" s="358">
        <v>6.83E-2</v>
      </c>
      <c r="FA234" s="323">
        <f t="shared" si="1361"/>
        <v>917.78096000000005</v>
      </c>
      <c r="FB234" s="323">
        <f t="shared" si="1123"/>
        <v>0</v>
      </c>
      <c r="FC234" s="279"/>
      <c r="FD234" s="279"/>
      <c r="FE234" s="279"/>
      <c r="FF234" s="366"/>
      <c r="FG234" s="366"/>
      <c r="FH234" s="279"/>
      <c r="FI234" s="279"/>
      <c r="FJ234" s="279"/>
      <c r="FK234" s="366"/>
      <c r="FL234" s="366"/>
      <c r="FM234" s="366">
        <v>6.83E-2</v>
      </c>
      <c r="FN234" s="280"/>
      <c r="FO234" s="279"/>
    </row>
    <row r="235" spans="2:171" s="40" customFormat="1" ht="15.75" customHeight="1" x14ac:dyDescent="0.25">
      <c r="B235" s="32"/>
      <c r="C235" s="33"/>
      <c r="D235" s="33">
        <v>1</v>
      </c>
      <c r="E235" s="434">
        <v>197</v>
      </c>
      <c r="F235" s="32"/>
      <c r="G235" s="33"/>
      <c r="H235" s="33"/>
      <c r="I235" s="434"/>
      <c r="J235" s="435"/>
      <c r="K235" s="435"/>
      <c r="L235" s="53"/>
      <c r="M235" s="434">
        <v>193</v>
      </c>
      <c r="N235" s="435" t="s">
        <v>247</v>
      </c>
      <c r="O235" s="435"/>
      <c r="P235" s="24">
        <f t="shared" si="1120"/>
        <v>0</v>
      </c>
      <c r="Q235" s="435"/>
      <c r="R235" s="435"/>
      <c r="S235" s="435"/>
      <c r="T235" s="435"/>
      <c r="U235" s="161"/>
      <c r="V235" s="434"/>
      <c r="W235" s="459">
        <f t="shared" si="1329"/>
        <v>0</v>
      </c>
      <c r="X235" s="459"/>
      <c r="Y235" s="460">
        <v>0</v>
      </c>
      <c r="Z235" s="459"/>
      <c r="AA235" s="464"/>
      <c r="AB235" s="459">
        <f t="shared" si="1330"/>
        <v>0</v>
      </c>
      <c r="AC235" s="459"/>
      <c r="AD235" s="460">
        <v>0</v>
      </c>
      <c r="AE235" s="459"/>
      <c r="AF235" s="464"/>
      <c r="AG235" s="459">
        <f t="shared" si="1331"/>
        <v>0</v>
      </c>
      <c r="AH235" s="459"/>
      <c r="AI235" s="460">
        <v>0</v>
      </c>
      <c r="AJ235" s="459"/>
      <c r="AK235" s="464"/>
      <c r="AL235" s="459">
        <f t="shared" si="1332"/>
        <v>230</v>
      </c>
      <c r="AM235" s="459"/>
      <c r="AN235" s="460">
        <v>230</v>
      </c>
      <c r="AO235" s="459"/>
      <c r="AP235" s="459"/>
      <c r="AQ235" s="383"/>
      <c r="AR235" s="459">
        <f t="shared" si="1333"/>
        <v>0</v>
      </c>
      <c r="AS235" s="459"/>
      <c r="AT235" s="462"/>
      <c r="AU235" s="459"/>
      <c r="AV235" s="459"/>
      <c r="AW235" s="459" t="e">
        <f t="shared" si="1334"/>
        <v>#REF!</v>
      </c>
      <c r="AX235" s="459" t="e">
        <f>#REF!-AS235</f>
        <v>#REF!</v>
      </c>
      <c r="AY235" s="459" t="e">
        <f>#REF!-AT235</f>
        <v>#REF!</v>
      </c>
      <c r="AZ235" s="459" t="e">
        <f>#REF!-AU235</f>
        <v>#REF!</v>
      </c>
      <c r="BA235" s="459" t="e">
        <f>#REF!-AV235</f>
        <v>#REF!</v>
      </c>
      <c r="BB235" s="459">
        <f t="shared" si="1335"/>
        <v>0</v>
      </c>
      <c r="BC235" s="459"/>
      <c r="BD235" s="460"/>
      <c r="BE235" s="459"/>
      <c r="BF235" s="459"/>
      <c r="BG235" s="459">
        <f t="shared" si="1336"/>
        <v>0</v>
      </c>
      <c r="BH235" s="459"/>
      <c r="BI235" s="459"/>
      <c r="BJ235" s="459"/>
      <c r="BK235" s="459"/>
      <c r="BL235" s="459">
        <f t="shared" si="1337"/>
        <v>0</v>
      </c>
      <c r="BM235" s="459"/>
      <c r="BN235" s="470"/>
      <c r="BO235" s="459"/>
      <c r="BP235" s="459"/>
      <c r="BQ235" s="459">
        <f t="shared" si="1338"/>
        <v>0</v>
      </c>
      <c r="BR235" s="459"/>
      <c r="BS235" s="459"/>
      <c r="BT235" s="459"/>
      <c r="BU235" s="459"/>
      <c r="BV235" s="459">
        <f t="shared" si="1339"/>
        <v>0</v>
      </c>
      <c r="BW235" s="459"/>
      <c r="BX235" s="459"/>
      <c r="BY235" s="459"/>
      <c r="BZ235" s="459"/>
      <c r="CA235" s="464">
        <f t="shared" si="1340"/>
        <v>0</v>
      </c>
      <c r="CB235" s="459">
        <f t="shared" si="1341"/>
        <v>0</v>
      </c>
      <c r="CC235" s="459">
        <f t="shared" si="1342"/>
        <v>0</v>
      </c>
      <c r="CD235" s="459">
        <f t="shared" si="1342"/>
        <v>0</v>
      </c>
      <c r="CE235" s="459">
        <f t="shared" si="1342"/>
        <v>0</v>
      </c>
      <c r="CF235" s="459">
        <f t="shared" si="1342"/>
        <v>0</v>
      </c>
      <c r="CG235" s="459">
        <f t="shared" si="1343"/>
        <v>0</v>
      </c>
      <c r="CH235" s="459">
        <f t="shared" si="1344"/>
        <v>0</v>
      </c>
      <c r="CI235" s="459">
        <f t="shared" si="1344"/>
        <v>0</v>
      </c>
      <c r="CJ235" s="459">
        <f t="shared" si="1344"/>
        <v>0</v>
      </c>
      <c r="CK235" s="459">
        <f t="shared" si="1344"/>
        <v>0</v>
      </c>
      <c r="CL235" s="465"/>
      <c r="CM235" s="466"/>
      <c r="CN235" s="466"/>
      <c r="CO235" s="459">
        <f t="shared" si="1345"/>
        <v>0</v>
      </c>
      <c r="CP235" s="459"/>
      <c r="CQ235" s="459"/>
      <c r="CR235" s="459"/>
      <c r="CS235" s="459"/>
      <c r="CT235" s="459">
        <f t="shared" si="1346"/>
        <v>0</v>
      </c>
      <c r="CU235" s="459"/>
      <c r="CV235" s="459"/>
      <c r="CW235" s="459"/>
      <c r="CX235" s="459"/>
      <c r="CY235" s="459">
        <f t="shared" si="1347"/>
        <v>0</v>
      </c>
      <c r="CZ235" s="459">
        <f t="shared" si="1348"/>
        <v>0</v>
      </c>
      <c r="DA235" s="459">
        <f t="shared" si="1348"/>
        <v>0</v>
      </c>
      <c r="DB235" s="459">
        <f t="shared" si="1348"/>
        <v>0</v>
      </c>
      <c r="DC235" s="459">
        <f t="shared" si="1348"/>
        <v>0</v>
      </c>
      <c r="DD235" s="459"/>
      <c r="DE235" s="459"/>
      <c r="DF235" s="459"/>
      <c r="DG235" s="459">
        <f t="shared" si="1349"/>
        <v>0</v>
      </c>
      <c r="DH235" s="467"/>
      <c r="DI235" s="459">
        <f t="shared" si="1350"/>
        <v>0</v>
      </c>
      <c r="DJ235" s="459">
        <f t="shared" si="1351"/>
        <v>0</v>
      </c>
      <c r="DK235" s="467"/>
      <c r="DL235" s="459"/>
      <c r="DM235" s="459"/>
      <c r="DN235" s="467"/>
      <c r="DO235" s="459"/>
      <c r="DP235" s="467"/>
      <c r="DQ235" s="467"/>
      <c r="DR235" s="459">
        <f t="shared" si="1100"/>
        <v>0</v>
      </c>
      <c r="DS235" s="459"/>
      <c r="DT235" s="459"/>
      <c r="DU235" s="459"/>
      <c r="DV235" s="459"/>
      <c r="DW235" s="459">
        <f t="shared" si="1119"/>
        <v>0</v>
      </c>
      <c r="DX235" s="459"/>
      <c r="DY235" s="459"/>
      <c r="DZ235" s="459"/>
      <c r="EA235" s="146"/>
      <c r="EB235" s="279"/>
      <c r="EC235" s="279"/>
      <c r="ED235" s="279"/>
      <c r="EE235" s="366"/>
      <c r="EF235" s="366"/>
      <c r="EG235" s="279"/>
      <c r="EH235" s="279"/>
      <c r="EI235" s="279"/>
      <c r="EJ235" s="366"/>
      <c r="EK235" s="366"/>
      <c r="EL235" s="366">
        <v>2.0199999999999999E-2</v>
      </c>
      <c r="EM235" s="280"/>
      <c r="EN235" s="279"/>
      <c r="EO235" s="265" t="e">
        <f t="shared" si="1354"/>
        <v>#DIV/0!</v>
      </c>
      <c r="EP235" s="323"/>
      <c r="EQ235" s="323"/>
      <c r="ER235" s="323"/>
      <c r="ES235" s="358"/>
      <c r="ET235" s="358"/>
      <c r="EU235" s="323"/>
      <c r="EV235" s="323"/>
      <c r="EW235" s="323"/>
      <c r="EX235" s="358"/>
      <c r="EY235" s="358"/>
      <c r="EZ235" s="358">
        <v>6.7299999999999999E-2</v>
      </c>
      <c r="FA235" s="323"/>
      <c r="FB235" s="323">
        <f t="shared" si="1123"/>
        <v>0</v>
      </c>
      <c r="FC235" s="279"/>
      <c r="FD235" s="279"/>
      <c r="FE235" s="279"/>
      <c r="FF235" s="366"/>
      <c r="FG235" s="366"/>
      <c r="FH235" s="279"/>
      <c r="FI235" s="279"/>
      <c r="FJ235" s="279"/>
      <c r="FK235" s="366"/>
      <c r="FL235" s="366"/>
      <c r="FM235" s="366">
        <v>6.7299999999999999E-2</v>
      </c>
      <c r="FN235" s="280"/>
      <c r="FO235" s="279"/>
    </row>
    <row r="236" spans="2:171" s="40" customFormat="1" ht="15.75" customHeight="1" x14ac:dyDescent="0.25">
      <c r="B236" s="32"/>
      <c r="C236" s="33"/>
      <c r="D236" s="33">
        <v>1</v>
      </c>
      <c r="E236" s="434">
        <v>198</v>
      </c>
      <c r="F236" s="32"/>
      <c r="G236" s="33"/>
      <c r="H236" s="33"/>
      <c r="I236" s="434"/>
      <c r="J236" s="435"/>
      <c r="K236" s="435"/>
      <c r="L236" s="53"/>
      <c r="M236" s="434">
        <v>194</v>
      </c>
      <c r="N236" s="435" t="s">
        <v>246</v>
      </c>
      <c r="O236" s="435"/>
      <c r="P236" s="24">
        <f t="shared" si="1120"/>
        <v>0</v>
      </c>
      <c r="Q236" s="435"/>
      <c r="R236" s="435"/>
      <c r="S236" s="435"/>
      <c r="T236" s="435"/>
      <c r="U236" s="161"/>
      <c r="V236" s="434"/>
      <c r="W236" s="459">
        <f t="shared" si="1329"/>
        <v>0</v>
      </c>
      <c r="X236" s="459"/>
      <c r="Y236" s="460">
        <v>0</v>
      </c>
      <c r="Z236" s="459"/>
      <c r="AA236" s="464"/>
      <c r="AB236" s="459">
        <f t="shared" si="1330"/>
        <v>0</v>
      </c>
      <c r="AC236" s="459"/>
      <c r="AD236" s="460">
        <v>0</v>
      </c>
      <c r="AE236" s="459"/>
      <c r="AF236" s="464"/>
      <c r="AG236" s="459">
        <f t="shared" si="1331"/>
        <v>0</v>
      </c>
      <c r="AH236" s="459"/>
      <c r="AI236" s="460">
        <v>0</v>
      </c>
      <c r="AJ236" s="459"/>
      <c r="AK236" s="464"/>
      <c r="AL236" s="459">
        <f t="shared" si="1332"/>
        <v>175</v>
      </c>
      <c r="AM236" s="459"/>
      <c r="AN236" s="460">
        <v>175</v>
      </c>
      <c r="AO236" s="459"/>
      <c r="AP236" s="459"/>
      <c r="AQ236" s="383"/>
      <c r="AR236" s="459">
        <f t="shared" si="1333"/>
        <v>0</v>
      </c>
      <c r="AS236" s="459"/>
      <c r="AT236" s="460"/>
      <c r="AU236" s="459"/>
      <c r="AV236" s="459"/>
      <c r="AW236" s="459" t="e">
        <f t="shared" si="1334"/>
        <v>#REF!</v>
      </c>
      <c r="AX236" s="459" t="e">
        <f>#REF!-AS236</f>
        <v>#REF!</v>
      </c>
      <c r="AY236" s="459" t="e">
        <f>#REF!-AT236</f>
        <v>#REF!</v>
      </c>
      <c r="AZ236" s="459" t="e">
        <f>#REF!-AU236</f>
        <v>#REF!</v>
      </c>
      <c r="BA236" s="459" t="e">
        <f>#REF!-AV236</f>
        <v>#REF!</v>
      </c>
      <c r="BB236" s="459">
        <f t="shared" si="1335"/>
        <v>0</v>
      </c>
      <c r="BC236" s="459"/>
      <c r="BD236" s="460"/>
      <c r="BE236" s="459"/>
      <c r="BF236" s="459"/>
      <c r="BG236" s="459">
        <f t="shared" si="1336"/>
        <v>0</v>
      </c>
      <c r="BH236" s="459"/>
      <c r="BI236" s="459"/>
      <c r="BJ236" s="459"/>
      <c r="BK236" s="459"/>
      <c r="BL236" s="459">
        <f t="shared" si="1337"/>
        <v>0</v>
      </c>
      <c r="BM236" s="459"/>
      <c r="BN236" s="470"/>
      <c r="BO236" s="459"/>
      <c r="BP236" s="459"/>
      <c r="BQ236" s="459">
        <f t="shared" si="1338"/>
        <v>0</v>
      </c>
      <c r="BR236" s="459"/>
      <c r="BS236" s="459"/>
      <c r="BT236" s="459"/>
      <c r="BU236" s="459"/>
      <c r="BV236" s="459">
        <f t="shared" si="1339"/>
        <v>0</v>
      </c>
      <c r="BW236" s="459"/>
      <c r="BX236" s="459"/>
      <c r="BY236" s="459"/>
      <c r="BZ236" s="459"/>
      <c r="CA236" s="464">
        <f t="shared" si="1340"/>
        <v>0</v>
      </c>
      <c r="CB236" s="459">
        <f t="shared" si="1341"/>
        <v>0</v>
      </c>
      <c r="CC236" s="459">
        <f t="shared" si="1342"/>
        <v>0</v>
      </c>
      <c r="CD236" s="459">
        <f t="shared" si="1342"/>
        <v>0</v>
      </c>
      <c r="CE236" s="459">
        <f t="shared" si="1342"/>
        <v>0</v>
      </c>
      <c r="CF236" s="459">
        <f t="shared" si="1342"/>
        <v>0</v>
      </c>
      <c r="CG236" s="459">
        <f t="shared" si="1343"/>
        <v>0</v>
      </c>
      <c r="CH236" s="459">
        <f t="shared" si="1344"/>
        <v>0</v>
      </c>
      <c r="CI236" s="459">
        <f t="shared" si="1344"/>
        <v>0</v>
      </c>
      <c r="CJ236" s="459">
        <f t="shared" si="1344"/>
        <v>0</v>
      </c>
      <c r="CK236" s="459">
        <f t="shared" si="1344"/>
        <v>0</v>
      </c>
      <c r="CL236" s="465"/>
      <c r="CM236" s="466"/>
      <c r="CN236" s="466"/>
      <c r="CO236" s="459">
        <f t="shared" si="1345"/>
        <v>0</v>
      </c>
      <c r="CP236" s="459"/>
      <c r="CQ236" s="459"/>
      <c r="CR236" s="459"/>
      <c r="CS236" s="459"/>
      <c r="CT236" s="459">
        <f t="shared" si="1346"/>
        <v>0</v>
      </c>
      <c r="CU236" s="459"/>
      <c r="CV236" s="459"/>
      <c r="CW236" s="459"/>
      <c r="CX236" s="459"/>
      <c r="CY236" s="459">
        <f t="shared" si="1347"/>
        <v>0</v>
      </c>
      <c r="CZ236" s="459">
        <f t="shared" si="1348"/>
        <v>0</v>
      </c>
      <c r="DA236" s="459">
        <f t="shared" si="1348"/>
        <v>0</v>
      </c>
      <c r="DB236" s="459">
        <f t="shared" si="1348"/>
        <v>0</v>
      </c>
      <c r="DC236" s="459">
        <f t="shared" si="1348"/>
        <v>0</v>
      </c>
      <c r="DD236" s="459"/>
      <c r="DE236" s="459"/>
      <c r="DF236" s="459"/>
      <c r="DG236" s="459">
        <f t="shared" si="1349"/>
        <v>0</v>
      </c>
      <c r="DH236" s="467"/>
      <c r="DI236" s="459">
        <f t="shared" si="1350"/>
        <v>0</v>
      </c>
      <c r="DJ236" s="459">
        <f t="shared" si="1351"/>
        <v>0</v>
      </c>
      <c r="DK236" s="467"/>
      <c r="DL236" s="459"/>
      <c r="DM236" s="459"/>
      <c r="DN236" s="467"/>
      <c r="DO236" s="459"/>
      <c r="DP236" s="467"/>
      <c r="DQ236" s="467"/>
      <c r="DR236" s="459">
        <f t="shared" si="1100"/>
        <v>0</v>
      </c>
      <c r="DS236" s="459"/>
      <c r="DT236" s="459"/>
      <c r="DU236" s="459"/>
      <c r="DV236" s="459"/>
      <c r="DW236" s="459">
        <f t="shared" si="1119"/>
        <v>0</v>
      </c>
      <c r="DX236" s="459"/>
      <c r="DY236" s="459"/>
      <c r="DZ236" s="459"/>
      <c r="EA236" s="146"/>
      <c r="EB236" s="279"/>
      <c r="EC236" s="279"/>
      <c r="ED236" s="279"/>
      <c r="EE236" s="366"/>
      <c r="EF236" s="366"/>
      <c r="EG236" s="279"/>
      <c r="EH236" s="279"/>
      <c r="EI236" s="279"/>
      <c r="EJ236" s="366"/>
      <c r="EK236" s="366"/>
      <c r="EL236" s="366">
        <v>1.9400000000000001E-2</v>
      </c>
      <c r="EM236" s="280"/>
      <c r="EN236" s="279"/>
      <c r="EO236" s="265" t="e">
        <f t="shared" si="1354"/>
        <v>#DIV/0!</v>
      </c>
      <c r="EP236" s="323"/>
      <c r="EQ236" s="323"/>
      <c r="ER236" s="323"/>
      <c r="ES236" s="358"/>
      <c r="ET236" s="358"/>
      <c r="EU236" s="323"/>
      <c r="EV236" s="323"/>
      <c r="EW236" s="323"/>
      <c r="EX236" s="358"/>
      <c r="EY236" s="358"/>
      <c r="EZ236" s="358">
        <v>6.4600000000000005E-2</v>
      </c>
      <c r="FA236" s="323"/>
      <c r="FB236" s="323">
        <f t="shared" si="1123"/>
        <v>0</v>
      </c>
      <c r="FC236" s="279"/>
      <c r="FD236" s="279"/>
      <c r="FE236" s="279"/>
      <c r="FF236" s="366"/>
      <c r="FG236" s="366"/>
      <c r="FH236" s="279"/>
      <c r="FI236" s="279"/>
      <c r="FJ236" s="279"/>
      <c r="FK236" s="366"/>
      <c r="FL236" s="366"/>
      <c r="FM236" s="366">
        <v>6.4600000000000005E-2</v>
      </c>
      <c r="FN236" s="280"/>
      <c r="FO236" s="279"/>
    </row>
    <row r="237" spans="2:171" s="40" customFormat="1" ht="15.75" customHeight="1" x14ac:dyDescent="0.25">
      <c r="B237" s="32"/>
      <c r="C237" s="33"/>
      <c r="D237" s="33">
        <v>1</v>
      </c>
      <c r="E237" s="434">
        <v>199</v>
      </c>
      <c r="F237" s="32"/>
      <c r="G237" s="33"/>
      <c r="H237" s="33"/>
      <c r="I237" s="434"/>
      <c r="J237" s="435"/>
      <c r="K237" s="435"/>
      <c r="L237" s="53"/>
      <c r="M237" s="434">
        <v>195</v>
      </c>
      <c r="N237" s="435" t="s">
        <v>177</v>
      </c>
      <c r="O237" s="435"/>
      <c r="P237" s="24">
        <f t="shared" si="1120"/>
        <v>0</v>
      </c>
      <c r="Q237" s="435"/>
      <c r="R237" s="435"/>
      <c r="S237" s="435"/>
      <c r="T237" s="435"/>
      <c r="U237" s="161"/>
      <c r="V237" s="434"/>
      <c r="W237" s="459">
        <f t="shared" si="1329"/>
        <v>0</v>
      </c>
      <c r="X237" s="459"/>
      <c r="Y237" s="460">
        <f>587.4-587.4</f>
        <v>0</v>
      </c>
      <c r="Z237" s="459"/>
      <c r="AA237" s="464"/>
      <c r="AB237" s="459">
        <f t="shared" si="1330"/>
        <v>0</v>
      </c>
      <c r="AC237" s="459"/>
      <c r="AD237" s="460">
        <v>0</v>
      </c>
      <c r="AE237" s="459"/>
      <c r="AF237" s="464"/>
      <c r="AG237" s="459">
        <f t="shared" si="1331"/>
        <v>0</v>
      </c>
      <c r="AH237" s="459"/>
      <c r="AI237" s="460">
        <v>0</v>
      </c>
      <c r="AJ237" s="459"/>
      <c r="AK237" s="464"/>
      <c r="AL237" s="459">
        <f t="shared" si="1332"/>
        <v>258</v>
      </c>
      <c r="AM237" s="459"/>
      <c r="AN237" s="460">
        <v>258</v>
      </c>
      <c r="AO237" s="459"/>
      <c r="AP237" s="459"/>
      <c r="AQ237" s="383"/>
      <c r="AR237" s="459">
        <f t="shared" si="1333"/>
        <v>0</v>
      </c>
      <c r="AS237" s="459"/>
      <c r="AT237" s="460"/>
      <c r="AU237" s="459"/>
      <c r="AV237" s="459"/>
      <c r="AW237" s="459" t="e">
        <f t="shared" si="1334"/>
        <v>#REF!</v>
      </c>
      <c r="AX237" s="459" t="e">
        <f>#REF!-AS237</f>
        <v>#REF!</v>
      </c>
      <c r="AY237" s="459" t="e">
        <f>#REF!-AT237</f>
        <v>#REF!</v>
      </c>
      <c r="AZ237" s="459" t="e">
        <f>#REF!-AU237</f>
        <v>#REF!</v>
      </c>
      <c r="BA237" s="459" t="e">
        <f>#REF!-AV237</f>
        <v>#REF!</v>
      </c>
      <c r="BB237" s="459">
        <f t="shared" si="1335"/>
        <v>0</v>
      </c>
      <c r="BC237" s="459"/>
      <c r="BD237" s="460"/>
      <c r="BE237" s="459"/>
      <c r="BF237" s="459"/>
      <c r="BG237" s="459">
        <f t="shared" si="1336"/>
        <v>0</v>
      </c>
      <c r="BH237" s="459"/>
      <c r="BI237" s="459"/>
      <c r="BJ237" s="459"/>
      <c r="BK237" s="459"/>
      <c r="BL237" s="459">
        <f t="shared" si="1337"/>
        <v>0</v>
      </c>
      <c r="BM237" s="459"/>
      <c r="BN237" s="470"/>
      <c r="BO237" s="459"/>
      <c r="BP237" s="459"/>
      <c r="BQ237" s="459">
        <f t="shared" si="1338"/>
        <v>0</v>
      </c>
      <c r="BR237" s="459"/>
      <c r="BS237" s="459"/>
      <c r="BT237" s="459"/>
      <c r="BU237" s="459"/>
      <c r="BV237" s="459">
        <f t="shared" si="1339"/>
        <v>0</v>
      </c>
      <c r="BW237" s="459"/>
      <c r="BX237" s="459"/>
      <c r="BY237" s="459"/>
      <c r="BZ237" s="459"/>
      <c r="CA237" s="464">
        <f t="shared" si="1340"/>
        <v>0</v>
      </c>
      <c r="CB237" s="459">
        <f t="shared" si="1341"/>
        <v>0</v>
      </c>
      <c r="CC237" s="459">
        <f t="shared" si="1342"/>
        <v>0</v>
      </c>
      <c r="CD237" s="459">
        <f t="shared" si="1342"/>
        <v>0</v>
      </c>
      <c r="CE237" s="459">
        <f t="shared" si="1342"/>
        <v>0</v>
      </c>
      <c r="CF237" s="459">
        <f t="shared" si="1342"/>
        <v>0</v>
      </c>
      <c r="CG237" s="459">
        <f t="shared" si="1343"/>
        <v>0</v>
      </c>
      <c r="CH237" s="459">
        <f t="shared" si="1344"/>
        <v>0</v>
      </c>
      <c r="CI237" s="459">
        <f t="shared" si="1344"/>
        <v>0</v>
      </c>
      <c r="CJ237" s="459">
        <f t="shared" si="1344"/>
        <v>0</v>
      </c>
      <c r="CK237" s="459">
        <f t="shared" si="1344"/>
        <v>0</v>
      </c>
      <c r="CL237" s="465"/>
      <c r="CM237" s="466"/>
      <c r="CN237" s="466"/>
      <c r="CO237" s="459">
        <f t="shared" si="1345"/>
        <v>0</v>
      </c>
      <c r="CP237" s="459"/>
      <c r="CQ237" s="459"/>
      <c r="CR237" s="459"/>
      <c r="CS237" s="459"/>
      <c r="CT237" s="459">
        <f t="shared" si="1346"/>
        <v>0</v>
      </c>
      <c r="CU237" s="459"/>
      <c r="CV237" s="459"/>
      <c r="CW237" s="459"/>
      <c r="CX237" s="459"/>
      <c r="CY237" s="459">
        <f t="shared" si="1347"/>
        <v>0</v>
      </c>
      <c r="CZ237" s="459">
        <f t="shared" si="1348"/>
        <v>0</v>
      </c>
      <c r="DA237" s="459">
        <f t="shared" si="1348"/>
        <v>0</v>
      </c>
      <c r="DB237" s="459">
        <f t="shared" si="1348"/>
        <v>0</v>
      </c>
      <c r="DC237" s="459">
        <f t="shared" si="1348"/>
        <v>0</v>
      </c>
      <c r="DD237" s="459"/>
      <c r="DE237" s="459"/>
      <c r="DF237" s="459"/>
      <c r="DG237" s="459">
        <f t="shared" si="1349"/>
        <v>0</v>
      </c>
      <c r="DH237" s="467"/>
      <c r="DI237" s="459">
        <f t="shared" si="1350"/>
        <v>0</v>
      </c>
      <c r="DJ237" s="459">
        <f t="shared" si="1351"/>
        <v>0</v>
      </c>
      <c r="DK237" s="467"/>
      <c r="DL237" s="459"/>
      <c r="DM237" s="459"/>
      <c r="DN237" s="467"/>
      <c r="DO237" s="459"/>
      <c r="DP237" s="467"/>
      <c r="DQ237" s="467"/>
      <c r="DR237" s="459">
        <f t="shared" si="1100"/>
        <v>0</v>
      </c>
      <c r="DS237" s="459"/>
      <c r="DT237" s="459"/>
      <c r="DU237" s="459"/>
      <c r="DV237" s="459"/>
      <c r="DW237" s="459">
        <f t="shared" si="1119"/>
        <v>0</v>
      </c>
      <c r="DX237" s="459"/>
      <c r="DY237" s="459"/>
      <c r="DZ237" s="459"/>
      <c r="EA237" s="146"/>
      <c r="EB237" s="279"/>
      <c r="EC237" s="279"/>
      <c r="ED237" s="279"/>
      <c r="EE237" s="366"/>
      <c r="EF237" s="366"/>
      <c r="EG237" s="279"/>
      <c r="EH237" s="279"/>
      <c r="EI237" s="279"/>
      <c r="EJ237" s="366"/>
      <c r="EK237" s="366"/>
      <c r="EL237" s="366">
        <v>2.0899999999999998E-2</v>
      </c>
      <c r="EM237" s="280"/>
      <c r="EN237" s="279"/>
      <c r="EO237" s="265" t="e">
        <f t="shared" si="1354"/>
        <v>#DIV/0!</v>
      </c>
      <c r="EP237" s="323"/>
      <c r="EQ237" s="323"/>
      <c r="ER237" s="323"/>
      <c r="ES237" s="358"/>
      <c r="ET237" s="358"/>
      <c r="EU237" s="323"/>
      <c r="EV237" s="323"/>
      <c r="EW237" s="323"/>
      <c r="EX237" s="358"/>
      <c r="EY237" s="358"/>
      <c r="EZ237" s="358">
        <v>6.9500000000000006E-2</v>
      </c>
      <c r="FA237" s="323"/>
      <c r="FB237" s="323">
        <f t="shared" si="1123"/>
        <v>0</v>
      </c>
      <c r="FC237" s="279"/>
      <c r="FD237" s="279"/>
      <c r="FE237" s="279"/>
      <c r="FF237" s="366"/>
      <c r="FG237" s="366"/>
      <c r="FH237" s="279"/>
      <c r="FI237" s="279"/>
      <c r="FJ237" s="279"/>
      <c r="FK237" s="366"/>
      <c r="FL237" s="366"/>
      <c r="FM237" s="366">
        <v>6.9500000000000006E-2</v>
      </c>
      <c r="FN237" s="280"/>
      <c r="FO237" s="279"/>
    </row>
    <row r="238" spans="2:171" s="40" customFormat="1" ht="15.6" customHeight="1" x14ac:dyDescent="0.25">
      <c r="B238" s="32"/>
      <c r="C238" s="33"/>
      <c r="D238" s="33">
        <v>1</v>
      </c>
      <c r="E238" s="434">
        <v>200</v>
      </c>
      <c r="F238" s="32"/>
      <c r="G238" s="33"/>
      <c r="H238" s="33"/>
      <c r="I238" s="434"/>
      <c r="J238" s="435"/>
      <c r="K238" s="435"/>
      <c r="L238" s="53"/>
      <c r="M238" s="434">
        <v>196</v>
      </c>
      <c r="N238" s="435" t="s">
        <v>150</v>
      </c>
      <c r="O238" s="435"/>
      <c r="P238" s="24">
        <f t="shared" si="1120"/>
        <v>0</v>
      </c>
      <c r="Q238" s="435"/>
      <c r="R238" s="435"/>
      <c r="S238" s="435"/>
      <c r="T238" s="435"/>
      <c r="U238" s="161"/>
      <c r="V238" s="434"/>
      <c r="W238" s="459">
        <f t="shared" si="1329"/>
        <v>0</v>
      </c>
      <c r="X238" s="459"/>
      <c r="Y238" s="460">
        <v>0</v>
      </c>
      <c r="Z238" s="459"/>
      <c r="AA238" s="464"/>
      <c r="AB238" s="459">
        <f t="shared" si="1330"/>
        <v>0</v>
      </c>
      <c r="AC238" s="459"/>
      <c r="AD238" s="460">
        <v>0</v>
      </c>
      <c r="AE238" s="459"/>
      <c r="AF238" s="464"/>
      <c r="AG238" s="459">
        <f t="shared" si="1331"/>
        <v>0</v>
      </c>
      <c r="AH238" s="459"/>
      <c r="AI238" s="460">
        <v>0</v>
      </c>
      <c r="AJ238" s="459"/>
      <c r="AK238" s="464"/>
      <c r="AL238" s="459">
        <f t="shared" si="1332"/>
        <v>121</v>
      </c>
      <c r="AM238" s="459"/>
      <c r="AN238" s="460">
        <v>121</v>
      </c>
      <c r="AO238" s="459"/>
      <c r="AP238" s="459"/>
      <c r="AQ238" s="383"/>
      <c r="AR238" s="459">
        <f t="shared" si="1333"/>
        <v>0</v>
      </c>
      <c r="AS238" s="459"/>
      <c r="AT238" s="460"/>
      <c r="AU238" s="459"/>
      <c r="AV238" s="459"/>
      <c r="AW238" s="459" t="e">
        <f t="shared" si="1334"/>
        <v>#REF!</v>
      </c>
      <c r="AX238" s="459" t="e">
        <f>#REF!-AS238</f>
        <v>#REF!</v>
      </c>
      <c r="AY238" s="459" t="e">
        <f>#REF!-AT238</f>
        <v>#REF!</v>
      </c>
      <c r="AZ238" s="459" t="e">
        <f>#REF!-AU238</f>
        <v>#REF!</v>
      </c>
      <c r="BA238" s="459" t="e">
        <f>#REF!-AV238</f>
        <v>#REF!</v>
      </c>
      <c r="BB238" s="459">
        <f t="shared" si="1335"/>
        <v>0</v>
      </c>
      <c r="BC238" s="459"/>
      <c r="BD238" s="460"/>
      <c r="BE238" s="459"/>
      <c r="BF238" s="459"/>
      <c r="BG238" s="459">
        <f t="shared" si="1336"/>
        <v>0</v>
      </c>
      <c r="BH238" s="459"/>
      <c r="BI238" s="460"/>
      <c r="BJ238" s="459"/>
      <c r="BK238" s="459"/>
      <c r="BL238" s="459">
        <f t="shared" si="1337"/>
        <v>0</v>
      </c>
      <c r="BM238" s="459"/>
      <c r="BN238" s="470"/>
      <c r="BO238" s="459"/>
      <c r="BP238" s="459"/>
      <c r="BQ238" s="459">
        <f t="shared" si="1338"/>
        <v>0</v>
      </c>
      <c r="BR238" s="459"/>
      <c r="BS238" s="470"/>
      <c r="BT238" s="459"/>
      <c r="BU238" s="459"/>
      <c r="BV238" s="459">
        <f t="shared" si="1339"/>
        <v>0</v>
      </c>
      <c r="BW238" s="459"/>
      <c r="BX238" s="459"/>
      <c r="BY238" s="459"/>
      <c r="BZ238" s="459"/>
      <c r="CA238" s="464">
        <f t="shared" si="1340"/>
        <v>0</v>
      </c>
      <c r="CB238" s="459">
        <f t="shared" si="1341"/>
        <v>0</v>
      </c>
      <c r="CC238" s="459">
        <f t="shared" si="1342"/>
        <v>0</v>
      </c>
      <c r="CD238" s="459">
        <f t="shared" si="1342"/>
        <v>0</v>
      </c>
      <c r="CE238" s="459">
        <f t="shared" si="1342"/>
        <v>0</v>
      </c>
      <c r="CF238" s="459">
        <f t="shared" si="1342"/>
        <v>0</v>
      </c>
      <c r="CG238" s="459">
        <f t="shared" si="1343"/>
        <v>0</v>
      </c>
      <c r="CH238" s="459">
        <f t="shared" si="1344"/>
        <v>0</v>
      </c>
      <c r="CI238" s="459">
        <f t="shared" si="1344"/>
        <v>0</v>
      </c>
      <c r="CJ238" s="459">
        <f t="shared" si="1344"/>
        <v>0</v>
      </c>
      <c r="CK238" s="459">
        <f t="shared" si="1344"/>
        <v>0</v>
      </c>
      <c r="CL238" s="465"/>
      <c r="CM238" s="466"/>
      <c r="CN238" s="466"/>
      <c r="CO238" s="459">
        <f t="shared" si="1345"/>
        <v>0</v>
      </c>
      <c r="CP238" s="459"/>
      <c r="CQ238" s="460"/>
      <c r="CR238" s="459"/>
      <c r="CS238" s="459"/>
      <c r="CT238" s="459">
        <f t="shared" si="1346"/>
        <v>0</v>
      </c>
      <c r="CU238" s="459"/>
      <c r="CV238" s="460"/>
      <c r="CW238" s="459"/>
      <c r="CX238" s="459"/>
      <c r="CY238" s="459">
        <f t="shared" si="1347"/>
        <v>0</v>
      </c>
      <c r="CZ238" s="459">
        <f t="shared" si="1348"/>
        <v>0</v>
      </c>
      <c r="DA238" s="459">
        <f t="shared" si="1348"/>
        <v>0</v>
      </c>
      <c r="DB238" s="459">
        <f t="shared" si="1348"/>
        <v>0</v>
      </c>
      <c r="DC238" s="459">
        <f t="shared" si="1348"/>
        <v>0</v>
      </c>
      <c r="DD238" s="459"/>
      <c r="DE238" s="459"/>
      <c r="DF238" s="459"/>
      <c r="DG238" s="459">
        <f t="shared" si="1349"/>
        <v>0</v>
      </c>
      <c r="DH238" s="467"/>
      <c r="DI238" s="459">
        <f t="shared" si="1350"/>
        <v>0</v>
      </c>
      <c r="DJ238" s="459">
        <f t="shared" si="1351"/>
        <v>0</v>
      </c>
      <c r="DK238" s="467"/>
      <c r="DL238" s="459"/>
      <c r="DM238" s="459"/>
      <c r="DN238" s="467"/>
      <c r="DO238" s="459"/>
      <c r="DP238" s="467"/>
      <c r="DQ238" s="467"/>
      <c r="DR238" s="459">
        <f t="shared" si="1100"/>
        <v>0</v>
      </c>
      <c r="DS238" s="459"/>
      <c r="DT238" s="470"/>
      <c r="DU238" s="459"/>
      <c r="DV238" s="459"/>
      <c r="DW238" s="459">
        <f t="shared" si="1119"/>
        <v>0</v>
      </c>
      <c r="DX238" s="459"/>
      <c r="DY238" s="459"/>
      <c r="DZ238" s="459"/>
      <c r="EA238" s="146"/>
      <c r="EB238" s="279"/>
      <c r="EC238" s="279"/>
      <c r="ED238" s="279"/>
      <c r="EE238" s="366"/>
      <c r="EF238" s="366"/>
      <c r="EG238" s="279"/>
      <c r="EH238" s="279"/>
      <c r="EI238" s="279"/>
      <c r="EJ238" s="366"/>
      <c r="EK238" s="366"/>
      <c r="EL238" s="366">
        <v>2.3599999999999999E-2</v>
      </c>
      <c r="EM238" s="280"/>
      <c r="EN238" s="279"/>
      <c r="EO238" s="265" t="e">
        <f t="shared" si="1354"/>
        <v>#DIV/0!</v>
      </c>
      <c r="EP238" s="323"/>
      <c r="EQ238" s="323"/>
      <c r="ER238" s="323"/>
      <c r="ES238" s="358"/>
      <c r="ET238" s="358"/>
      <c r="EU238" s="323"/>
      <c r="EV238" s="323"/>
      <c r="EW238" s="323"/>
      <c r="EX238" s="358"/>
      <c r="EY238" s="358"/>
      <c r="EZ238" s="358">
        <v>7.85E-2</v>
      </c>
      <c r="FA238" s="323"/>
      <c r="FB238" s="323">
        <f t="shared" si="1123"/>
        <v>0</v>
      </c>
      <c r="FC238" s="279"/>
      <c r="FD238" s="279"/>
      <c r="FE238" s="279"/>
      <c r="FF238" s="366"/>
      <c r="FG238" s="366"/>
      <c r="FH238" s="279"/>
      <c r="FI238" s="279"/>
      <c r="FJ238" s="279"/>
      <c r="FK238" s="366"/>
      <c r="FL238" s="366"/>
      <c r="FM238" s="366">
        <v>7.85E-2</v>
      </c>
      <c r="FN238" s="280"/>
      <c r="FO238" s="279"/>
    </row>
    <row r="239" spans="2:171" s="40" customFormat="1" ht="15.6" customHeight="1" x14ac:dyDescent="0.25">
      <c r="B239" s="32"/>
      <c r="C239" s="33">
        <v>1</v>
      </c>
      <c r="D239" s="33"/>
      <c r="E239" s="434">
        <v>201</v>
      </c>
      <c r="F239" s="32"/>
      <c r="G239" s="33">
        <v>1</v>
      </c>
      <c r="H239" s="33"/>
      <c r="I239" s="434"/>
      <c r="J239" s="435"/>
      <c r="K239" s="435"/>
      <c r="L239" s="53"/>
      <c r="M239" s="434">
        <v>197</v>
      </c>
      <c r="N239" s="435" t="s">
        <v>66</v>
      </c>
      <c r="O239" s="435" t="s">
        <v>343</v>
      </c>
      <c r="P239" s="24">
        <f t="shared" si="1120"/>
        <v>0</v>
      </c>
      <c r="Q239" s="435" t="s">
        <v>490</v>
      </c>
      <c r="R239" s="435" t="s">
        <v>488</v>
      </c>
      <c r="S239" s="435" t="s">
        <v>491</v>
      </c>
      <c r="T239" s="435" t="s">
        <v>488</v>
      </c>
      <c r="U239" s="161">
        <v>1</v>
      </c>
      <c r="V239" s="161">
        <v>3</v>
      </c>
      <c r="W239" s="459">
        <f t="shared" si="1329"/>
        <v>60762.415999999997</v>
      </c>
      <c r="X239" s="459"/>
      <c r="Y239" s="460">
        <v>3143.7</v>
      </c>
      <c r="Z239" s="459">
        <f>56857.45+793.213-31.947</f>
        <v>57618.716</v>
      </c>
      <c r="AA239" s="461"/>
      <c r="AB239" s="459">
        <f t="shared" si="1330"/>
        <v>79162.94</v>
      </c>
      <c r="AC239" s="459">
        <v>75867.94</v>
      </c>
      <c r="AD239" s="460">
        <v>3295</v>
      </c>
      <c r="AE239" s="459"/>
      <c r="AF239" s="461"/>
      <c r="AG239" s="459">
        <f t="shared" si="1331"/>
        <v>79162.94</v>
      </c>
      <c r="AH239" s="459">
        <v>75867.94</v>
      </c>
      <c r="AI239" s="460">
        <v>3295</v>
      </c>
      <c r="AJ239" s="459"/>
      <c r="AK239" s="461"/>
      <c r="AL239" s="459">
        <f t="shared" si="1332"/>
        <v>77247.94</v>
      </c>
      <c r="AM239" s="459">
        <v>75867.94</v>
      </c>
      <c r="AN239" s="460">
        <v>1380</v>
      </c>
      <c r="AO239" s="459"/>
      <c r="AP239" s="461"/>
      <c r="AQ239" s="383" t="s">
        <v>508</v>
      </c>
      <c r="AR239" s="459">
        <f t="shared" si="1333"/>
        <v>60743.866999999998</v>
      </c>
      <c r="AS239" s="459"/>
      <c r="AT239" s="460">
        <f>3143.7-18.549</f>
        <v>3125.1509999999998</v>
      </c>
      <c r="AU239" s="459">
        <f>56689.819+928.897</f>
        <v>57618.716</v>
      </c>
      <c r="AV239" s="459"/>
      <c r="AW239" s="459" t="e">
        <f t="shared" si="1334"/>
        <v>#REF!</v>
      </c>
      <c r="AX239" s="459" t="e">
        <f>#REF!-AS239</f>
        <v>#REF!</v>
      </c>
      <c r="AY239" s="459" t="e">
        <f>#REF!-AT239</f>
        <v>#REF!</v>
      </c>
      <c r="AZ239" s="459" t="e">
        <f>#REF!-AU239</f>
        <v>#REF!</v>
      </c>
      <c r="BA239" s="459" t="e">
        <f>#REF!-AV239</f>
        <v>#REF!</v>
      </c>
      <c r="BB239" s="459">
        <f t="shared" si="1335"/>
        <v>54824.257610000001</v>
      </c>
      <c r="BC239" s="459">
        <f>6123.21653+22760.382+22833.90908</f>
        <v>51717.507610000001</v>
      </c>
      <c r="BD239" s="460">
        <f>1380+1726.75</f>
        <v>3106.75</v>
      </c>
      <c r="BE239" s="459"/>
      <c r="BF239" s="459"/>
      <c r="BG239" s="459">
        <f t="shared" si="1336"/>
        <v>0</v>
      </c>
      <c r="BH239" s="459"/>
      <c r="BI239" s="459"/>
      <c r="BJ239" s="459"/>
      <c r="BK239" s="459"/>
      <c r="BL239" s="459">
        <f t="shared" si="1337"/>
        <v>60743.866999999998</v>
      </c>
      <c r="BM239" s="459"/>
      <c r="BN239" s="460">
        <f>560.207+2564.944</f>
        <v>3125.1509999999998</v>
      </c>
      <c r="BO239" s="459">
        <f>3012.96868+7529.60595+9022.94819+6965.4921+9162.70819+6862.18739+15062.8055</f>
        <v>57618.716</v>
      </c>
      <c r="BP239" s="459"/>
      <c r="BQ239" s="459">
        <f t="shared" si="1338"/>
        <v>60743.866999999998</v>
      </c>
      <c r="BR239" s="459"/>
      <c r="BS239" s="460">
        <f>560.207+2564.944</f>
        <v>3125.1509999999998</v>
      </c>
      <c r="BT239" s="459">
        <f>3012.96868+7529.60595+9022.94819+6965.49204+9162.70825+15062.8055+6862.18739</f>
        <v>57618.716</v>
      </c>
      <c r="BU239" s="459"/>
      <c r="BV239" s="459">
        <f t="shared" si="1339"/>
        <v>6279.8652699999993</v>
      </c>
      <c r="BW239" s="459"/>
      <c r="BX239" s="459">
        <f>142.73854+653.53573</f>
        <v>796.27426999999989</v>
      </c>
      <c r="BY239" s="459">
        <f>286.74513+716.59485+858.71668+662.90803+872.01776+1433.53226+653.07643-0.00014</f>
        <v>5483.5909999999994</v>
      </c>
      <c r="BZ239" s="459"/>
      <c r="CA239" s="464">
        <f t="shared" si="1340"/>
        <v>67023.732270000008</v>
      </c>
      <c r="CB239" s="459">
        <f t="shared" si="1341"/>
        <v>67023.732270000008</v>
      </c>
      <c r="CC239" s="459">
        <f t="shared" si="1342"/>
        <v>0</v>
      </c>
      <c r="CD239" s="459">
        <f t="shared" si="1342"/>
        <v>3921.4252699999997</v>
      </c>
      <c r="CE239" s="459">
        <f t="shared" si="1342"/>
        <v>63102.307000000001</v>
      </c>
      <c r="CF239" s="459">
        <f t="shared" si="1342"/>
        <v>0</v>
      </c>
      <c r="CG239" s="459">
        <f t="shared" si="1343"/>
        <v>0</v>
      </c>
      <c r="CH239" s="459">
        <f t="shared" si="1344"/>
        <v>0</v>
      </c>
      <c r="CI239" s="459">
        <f t="shared" si="1344"/>
        <v>0</v>
      </c>
      <c r="CJ239" s="459">
        <f t="shared" si="1344"/>
        <v>0</v>
      </c>
      <c r="CK239" s="459">
        <f t="shared" si="1344"/>
        <v>0</v>
      </c>
      <c r="CL239" s="465"/>
      <c r="CM239" s="559">
        <f>BB239</f>
        <v>54824.257610000001</v>
      </c>
      <c r="CN239" s="559">
        <f>CM239</f>
        <v>54824.257610000001</v>
      </c>
      <c r="CO239" s="459">
        <f t="shared" si="1345"/>
        <v>0</v>
      </c>
      <c r="CP239" s="459"/>
      <c r="CQ239" s="459"/>
      <c r="CR239" s="459"/>
      <c r="CS239" s="459"/>
      <c r="CT239" s="459">
        <f t="shared" si="1346"/>
        <v>0</v>
      </c>
      <c r="CU239" s="459"/>
      <c r="CV239" s="459"/>
      <c r="CW239" s="459"/>
      <c r="CX239" s="459"/>
      <c r="CY239" s="459">
        <f t="shared" si="1347"/>
        <v>0</v>
      </c>
      <c r="CZ239" s="459">
        <f t="shared" si="1348"/>
        <v>0</v>
      </c>
      <c r="DA239" s="459">
        <f t="shared" si="1348"/>
        <v>0</v>
      </c>
      <c r="DB239" s="459">
        <f t="shared" si="1348"/>
        <v>0</v>
      </c>
      <c r="DC239" s="459">
        <f t="shared" si="1348"/>
        <v>0</v>
      </c>
      <c r="DD239" s="459"/>
      <c r="DE239" s="459"/>
      <c r="DF239" s="459"/>
      <c r="DG239" s="459">
        <f t="shared" si="1349"/>
        <v>0</v>
      </c>
      <c r="DH239" s="467"/>
      <c r="DI239" s="459">
        <f t="shared" si="1350"/>
        <v>60743.866999999998</v>
      </c>
      <c r="DJ239" s="459">
        <f t="shared" si="1351"/>
        <v>60743.866999999998</v>
      </c>
      <c r="DK239" s="467"/>
      <c r="DL239" s="560">
        <f>DJ239</f>
        <v>60743.866999999998</v>
      </c>
      <c r="DM239" s="560">
        <f>DG239</f>
        <v>0</v>
      </c>
      <c r="DN239" s="467"/>
      <c r="DO239" s="459">
        <f>CN239-DL239</f>
        <v>-5919.6093899999978</v>
      </c>
      <c r="DP239" s="467"/>
      <c r="DQ239" s="467"/>
      <c r="DR239" s="459">
        <f>DS239+DT239+DU239</f>
        <v>60743.866999999998</v>
      </c>
      <c r="DS239" s="459"/>
      <c r="DT239" s="460">
        <v>3125.1509999999998</v>
      </c>
      <c r="DU239" s="459">
        <f>3012.96868+7529.60595+9022.94819+6965.4921+9162.70819+6862.18739+15062.8055</f>
        <v>57618.716</v>
      </c>
      <c r="DV239" s="459"/>
      <c r="DW239" s="459">
        <f t="shared" si="1119"/>
        <v>6279.8652700000002</v>
      </c>
      <c r="DX239" s="459"/>
      <c r="DY239" s="459">
        <v>796.27427</v>
      </c>
      <c r="DZ239" s="459">
        <f>286.74513+716.59485+858.71668+662.90797+872.01768+653.07643+1433.53226</f>
        <v>5483.5910000000003</v>
      </c>
      <c r="EA239" s="146"/>
      <c r="EB239" s="279">
        <f t="shared" ref="EB239" si="1362">EC239+ED239</f>
        <v>0</v>
      </c>
      <c r="EC239" s="279">
        <f t="shared" si="1170"/>
        <v>0</v>
      </c>
      <c r="ED239" s="279"/>
      <c r="EE239" s="366" t="e">
        <f t="shared" ref="EE239" si="1363">EC239/EB239</f>
        <v>#DIV/0!</v>
      </c>
      <c r="EF239" s="366" t="e">
        <f t="shared" ref="EF239" si="1364">ED239/EB239</f>
        <v>#DIV/0!</v>
      </c>
      <c r="EG239" s="279">
        <f t="shared" si="1172"/>
        <v>0</v>
      </c>
      <c r="EH239" s="279">
        <f t="shared" ref="EH239" si="1365">DS239</f>
        <v>0</v>
      </c>
      <c r="EI239" s="279">
        <f t="shared" ref="EI239" si="1366">DX239</f>
        <v>0</v>
      </c>
      <c r="EJ239" s="366" t="e">
        <f t="shared" ref="EJ239" si="1367">EH239/EG239</f>
        <v>#DIV/0!</v>
      </c>
      <c r="EK239" s="366" t="e">
        <f t="shared" ref="EK239" si="1368">EI239/EG239</f>
        <v>#DIV/0!</v>
      </c>
      <c r="EL239" s="366">
        <v>2.6100000000000002E-2</v>
      </c>
      <c r="EM239" s="280" t="e">
        <f>EG239*EE239</f>
        <v>#DIV/0!</v>
      </c>
      <c r="EN239" s="279" t="e">
        <f>EH239-EM239</f>
        <v>#DIV/0!</v>
      </c>
      <c r="EO239" s="265" t="e">
        <f t="shared" si="1354"/>
        <v>#DIV/0!</v>
      </c>
      <c r="EP239" s="323">
        <f t="shared" si="1121"/>
        <v>3921.4252699999997</v>
      </c>
      <c r="EQ239" s="323">
        <f t="shared" si="1175"/>
        <v>3125.1509999999998</v>
      </c>
      <c r="ER239" s="323">
        <v>796.27427</v>
      </c>
      <c r="ES239" s="358">
        <f t="shared" si="1355"/>
        <v>0.79694263815462174</v>
      </c>
      <c r="ET239" s="358">
        <f t="shared" si="1356"/>
        <v>0.20305736184537823</v>
      </c>
      <c r="EU239" s="323">
        <f t="shared" si="1122"/>
        <v>3921.4252699999997</v>
      </c>
      <c r="EV239" s="323">
        <f t="shared" si="1357"/>
        <v>3125.1509999999998</v>
      </c>
      <c r="EW239" s="323">
        <f t="shared" si="1358"/>
        <v>796.27427</v>
      </c>
      <c r="EX239" s="358">
        <f t="shared" si="1359"/>
        <v>0.79694263815462174</v>
      </c>
      <c r="EY239" s="358">
        <f t="shared" si="1360"/>
        <v>0.20305736184537823</v>
      </c>
      <c r="EZ239" s="358">
        <v>8.6900000000000005E-2</v>
      </c>
      <c r="FA239" s="323">
        <f t="shared" si="1361"/>
        <v>3125.1509999999998</v>
      </c>
      <c r="FB239" s="323">
        <f t="shared" si="1123"/>
        <v>0</v>
      </c>
      <c r="FC239" s="279">
        <f t="shared" ref="FC239" si="1369">FD239+FE239</f>
        <v>63102.307000000001</v>
      </c>
      <c r="FD239" s="279">
        <f t="shared" si="1179"/>
        <v>57618.716</v>
      </c>
      <c r="FE239" s="279">
        <v>5483.5910000000003</v>
      </c>
      <c r="FF239" s="366">
        <f t="shared" ref="FF239" si="1370">FD239/FC239</f>
        <v>0.91309999173247347</v>
      </c>
      <c r="FG239" s="366">
        <f t="shared" ref="FG239" si="1371">FE239/FC239</f>
        <v>8.6900008267526585E-2</v>
      </c>
      <c r="FH239" s="279">
        <f t="shared" si="1181"/>
        <v>63102.307000000001</v>
      </c>
      <c r="FI239" s="279">
        <f t="shared" si="1230"/>
        <v>57618.716</v>
      </c>
      <c r="FJ239" s="279">
        <f t="shared" si="1231"/>
        <v>5483.5910000000003</v>
      </c>
      <c r="FK239" s="366">
        <f t="shared" ref="FK239" si="1372">FI239/FH239</f>
        <v>0.91309999173247347</v>
      </c>
      <c r="FL239" s="366">
        <f t="shared" ref="FL239" si="1373">FJ239/FH239</f>
        <v>8.6900008267526585E-2</v>
      </c>
      <c r="FM239" s="366">
        <v>8.6900000000000005E-2</v>
      </c>
      <c r="FN239" s="280">
        <f t="shared" ref="FN239:FN255" si="1374">FH239*FF239</f>
        <v>57618.716</v>
      </c>
      <c r="FO239" s="279">
        <f t="shared" si="1182"/>
        <v>0</v>
      </c>
    </row>
    <row r="240" spans="2:171" s="40" customFormat="1" ht="15.75" customHeight="1" x14ac:dyDescent="0.25">
      <c r="B240" s="32"/>
      <c r="C240" s="33"/>
      <c r="D240" s="33">
        <v>1</v>
      </c>
      <c r="E240" s="434">
        <v>202</v>
      </c>
      <c r="F240" s="32"/>
      <c r="G240" s="33"/>
      <c r="H240" s="33"/>
      <c r="I240" s="434"/>
      <c r="J240" s="435"/>
      <c r="K240" s="435"/>
      <c r="L240" s="53"/>
      <c r="M240" s="434">
        <v>198</v>
      </c>
      <c r="N240" s="448" t="s">
        <v>157</v>
      </c>
      <c r="O240" s="448" t="s">
        <v>343</v>
      </c>
      <c r="P240" s="24">
        <f t="shared" si="1120"/>
        <v>0</v>
      </c>
      <c r="Q240" s="448"/>
      <c r="R240" s="448"/>
      <c r="S240" s="448"/>
      <c r="T240" s="448"/>
      <c r="U240" s="161">
        <v>1</v>
      </c>
      <c r="V240" s="434">
        <v>1</v>
      </c>
      <c r="W240" s="459">
        <f t="shared" si="1329"/>
        <v>1197.3</v>
      </c>
      <c r="X240" s="459"/>
      <c r="Y240" s="460">
        <v>1197.3</v>
      </c>
      <c r="Z240" s="459"/>
      <c r="AA240" s="464"/>
      <c r="AB240" s="459">
        <f t="shared" si="1330"/>
        <v>1207.5</v>
      </c>
      <c r="AC240" s="459"/>
      <c r="AD240" s="460">
        <v>1207.5</v>
      </c>
      <c r="AE240" s="459"/>
      <c r="AF240" s="464"/>
      <c r="AG240" s="459">
        <f t="shared" si="1331"/>
        <v>1207.5</v>
      </c>
      <c r="AH240" s="459"/>
      <c r="AI240" s="460">
        <v>1207.5</v>
      </c>
      <c r="AJ240" s="459"/>
      <c r="AK240" s="464"/>
      <c r="AL240" s="459">
        <f t="shared" si="1332"/>
        <v>525</v>
      </c>
      <c r="AM240" s="459"/>
      <c r="AN240" s="460">
        <v>525</v>
      </c>
      <c r="AO240" s="459"/>
      <c r="AP240" s="459"/>
      <c r="AQ240" s="383" t="s">
        <v>539</v>
      </c>
      <c r="AR240" s="459">
        <f t="shared" si="1333"/>
        <v>1142.732</v>
      </c>
      <c r="AS240" s="459"/>
      <c r="AT240" s="460">
        <f>1197.3-54.568</f>
        <v>1142.732</v>
      </c>
      <c r="AU240" s="459"/>
      <c r="AV240" s="459"/>
      <c r="AW240" s="459" t="e">
        <f t="shared" si="1334"/>
        <v>#REF!</v>
      </c>
      <c r="AX240" s="459" t="e">
        <f>#REF!-AS240</f>
        <v>#REF!</v>
      </c>
      <c r="AY240" s="459" t="e">
        <f>#REF!-AT240</f>
        <v>#REF!</v>
      </c>
      <c r="AZ240" s="459" t="e">
        <f>#REF!-AU240</f>
        <v>#REF!</v>
      </c>
      <c r="BA240" s="459" t="e">
        <f>#REF!-AV240</f>
        <v>#REF!</v>
      </c>
      <c r="BB240" s="459">
        <f t="shared" si="1335"/>
        <v>1207.5</v>
      </c>
      <c r="BC240" s="459"/>
      <c r="BD240" s="460">
        <f>525+682.5</f>
        <v>1207.5</v>
      </c>
      <c r="BE240" s="459"/>
      <c r="BF240" s="459"/>
      <c r="BG240" s="459">
        <f t="shared" si="1336"/>
        <v>0</v>
      </c>
      <c r="BH240" s="459"/>
      <c r="BI240" s="459"/>
      <c r="BJ240" s="459"/>
      <c r="BK240" s="459"/>
      <c r="BL240" s="459">
        <f t="shared" si="1337"/>
        <v>1142.732</v>
      </c>
      <c r="BM240" s="459"/>
      <c r="BN240" s="460">
        <v>1142.732</v>
      </c>
      <c r="BO240" s="459"/>
      <c r="BP240" s="459"/>
      <c r="BQ240" s="459">
        <f t="shared" si="1338"/>
        <v>1142.732</v>
      </c>
      <c r="BR240" s="459"/>
      <c r="BS240" s="460">
        <v>1142.732</v>
      </c>
      <c r="BT240" s="459"/>
      <c r="BU240" s="459"/>
      <c r="BV240" s="459">
        <f t="shared" si="1339"/>
        <v>99.368949999999998</v>
      </c>
      <c r="BW240" s="459"/>
      <c r="BX240" s="459">
        <v>99.368949999999998</v>
      </c>
      <c r="BY240" s="459"/>
      <c r="BZ240" s="459"/>
      <c r="CA240" s="464">
        <f t="shared" si="1340"/>
        <v>1242.10095</v>
      </c>
      <c r="CB240" s="459">
        <f t="shared" si="1341"/>
        <v>1242.10095</v>
      </c>
      <c r="CC240" s="459">
        <f t="shared" si="1342"/>
        <v>0</v>
      </c>
      <c r="CD240" s="459">
        <f t="shared" si="1342"/>
        <v>1242.10095</v>
      </c>
      <c r="CE240" s="459">
        <f t="shared" si="1342"/>
        <v>0</v>
      </c>
      <c r="CF240" s="459">
        <f t="shared" si="1342"/>
        <v>0</v>
      </c>
      <c r="CG240" s="459">
        <f t="shared" si="1343"/>
        <v>0</v>
      </c>
      <c r="CH240" s="459">
        <f t="shared" si="1344"/>
        <v>0</v>
      </c>
      <c r="CI240" s="459">
        <f t="shared" si="1344"/>
        <v>0</v>
      </c>
      <c r="CJ240" s="459">
        <f t="shared" si="1344"/>
        <v>0</v>
      </c>
      <c r="CK240" s="459">
        <f t="shared" si="1344"/>
        <v>0</v>
      </c>
      <c r="CL240" s="465"/>
      <c r="CM240" s="466">
        <f>BB233+BB234+BB235+BB236+BB237+BB238+BB240+BB241+BM281+BM282</f>
        <v>12356.858</v>
      </c>
      <c r="CN240" s="466">
        <f>CM240-BG230</f>
        <v>12356.858</v>
      </c>
      <c r="CO240" s="459">
        <f t="shared" si="1345"/>
        <v>0</v>
      </c>
      <c r="CP240" s="459"/>
      <c r="CQ240" s="459"/>
      <c r="CR240" s="459"/>
      <c r="CS240" s="459"/>
      <c r="CT240" s="459">
        <f t="shared" si="1346"/>
        <v>0</v>
      </c>
      <c r="CU240" s="459"/>
      <c r="CV240" s="459"/>
      <c r="CW240" s="459"/>
      <c r="CX240" s="459"/>
      <c r="CY240" s="459">
        <f t="shared" si="1347"/>
        <v>0</v>
      </c>
      <c r="CZ240" s="459">
        <f t="shared" si="1348"/>
        <v>0</v>
      </c>
      <c r="DA240" s="459">
        <f t="shared" si="1348"/>
        <v>0</v>
      </c>
      <c r="DB240" s="459">
        <f t="shared" si="1348"/>
        <v>0</v>
      </c>
      <c r="DC240" s="459">
        <f t="shared" si="1348"/>
        <v>0</v>
      </c>
      <c r="DD240" s="459"/>
      <c r="DE240" s="459"/>
      <c r="DF240" s="459"/>
      <c r="DG240" s="459">
        <f t="shared" si="1349"/>
        <v>0</v>
      </c>
      <c r="DH240" s="467"/>
      <c r="DI240" s="459">
        <f t="shared" si="1350"/>
        <v>1142.732</v>
      </c>
      <c r="DJ240" s="459">
        <f t="shared" si="1351"/>
        <v>1142.732</v>
      </c>
      <c r="DK240" s="467"/>
      <c r="DL240" s="459">
        <f>DJ233+DJ234+DJ235+DJ236+DJ237+DJ238+DJ240+DJ241</f>
        <v>3333.6129599999999</v>
      </c>
      <c r="DM240" s="459">
        <f>DG233+DG234+DG235+DG236+DG237+DG238+DG240+DG241</f>
        <v>0</v>
      </c>
      <c r="DN240" s="467"/>
      <c r="DO240" s="459">
        <f>CN240-DL240</f>
        <v>9023.2450399999998</v>
      </c>
      <c r="DP240" s="467"/>
      <c r="DQ240" s="467"/>
      <c r="DR240" s="459">
        <f t="shared" ref="DR240:DR258" si="1375">DS240+DT240+DU240</f>
        <v>1142.732</v>
      </c>
      <c r="DS240" s="459"/>
      <c r="DT240" s="460">
        <v>1142.732</v>
      </c>
      <c r="DU240" s="459"/>
      <c r="DV240" s="459"/>
      <c r="DW240" s="459">
        <f t="shared" si="1119"/>
        <v>99.368949999999998</v>
      </c>
      <c r="DX240" s="459"/>
      <c r="DY240" s="459">
        <v>99.368949999999998</v>
      </c>
      <c r="DZ240" s="459"/>
      <c r="EA240" s="146"/>
      <c r="EB240" s="279"/>
      <c r="EC240" s="279"/>
      <c r="ED240" s="279"/>
      <c r="EE240" s="366"/>
      <c r="EF240" s="366"/>
      <c r="EG240" s="279"/>
      <c r="EH240" s="279"/>
      <c r="EI240" s="279"/>
      <c r="EJ240" s="366"/>
      <c r="EK240" s="366"/>
      <c r="EL240" s="366">
        <v>2.1899999999999999E-2</v>
      </c>
      <c r="EM240" s="280"/>
      <c r="EN240" s="279"/>
      <c r="EO240" s="265" t="e">
        <f t="shared" si="1354"/>
        <v>#DIV/0!</v>
      </c>
      <c r="EP240" s="323">
        <f t="shared" si="1121"/>
        <v>1242.10095</v>
      </c>
      <c r="EQ240" s="323">
        <f t="shared" si="1175"/>
        <v>1142.732</v>
      </c>
      <c r="ER240" s="323">
        <v>99.368949999999998</v>
      </c>
      <c r="ES240" s="358">
        <f t="shared" si="1355"/>
        <v>0.91999929635348876</v>
      </c>
      <c r="ET240" s="358">
        <f t="shared" si="1356"/>
        <v>8.000070364651117E-2</v>
      </c>
      <c r="EU240" s="323">
        <f t="shared" si="1122"/>
        <v>1242.10095</v>
      </c>
      <c r="EV240" s="323">
        <f t="shared" si="1357"/>
        <v>1142.732</v>
      </c>
      <c r="EW240" s="323">
        <f t="shared" si="1358"/>
        <v>99.368949999999998</v>
      </c>
      <c r="EX240" s="358">
        <f t="shared" si="1359"/>
        <v>0.91999929635348876</v>
      </c>
      <c r="EY240" s="358">
        <f t="shared" si="1360"/>
        <v>8.000070364651117E-2</v>
      </c>
      <c r="EZ240" s="358">
        <v>7.3099999999999998E-2</v>
      </c>
      <c r="FA240" s="323">
        <f t="shared" si="1361"/>
        <v>1142.732</v>
      </c>
      <c r="FB240" s="323">
        <f t="shared" si="1123"/>
        <v>0</v>
      </c>
      <c r="FC240" s="279"/>
      <c r="FD240" s="279"/>
      <c r="FE240" s="279"/>
      <c r="FF240" s="366"/>
      <c r="FG240" s="366"/>
      <c r="FH240" s="279"/>
      <c r="FI240" s="279"/>
      <c r="FJ240" s="279"/>
      <c r="FK240" s="366"/>
      <c r="FL240" s="366"/>
      <c r="FM240" s="366">
        <v>7.3099999999999998E-2</v>
      </c>
      <c r="FN240" s="280"/>
      <c r="FO240" s="279"/>
    </row>
    <row r="241" spans="2:171" s="40" customFormat="1" ht="15.75" customHeight="1" x14ac:dyDescent="0.25">
      <c r="B241" s="32"/>
      <c r="C241" s="33"/>
      <c r="D241" s="33">
        <v>1</v>
      </c>
      <c r="E241" s="434">
        <v>203</v>
      </c>
      <c r="F241" s="32"/>
      <c r="G241" s="33"/>
      <c r="H241" s="33">
        <v>1</v>
      </c>
      <c r="I241" s="434"/>
      <c r="J241" s="435"/>
      <c r="K241" s="435"/>
      <c r="L241" s="53"/>
      <c r="M241" s="434">
        <v>199</v>
      </c>
      <c r="N241" s="448" t="s">
        <v>151</v>
      </c>
      <c r="O241" s="448"/>
      <c r="P241" s="24">
        <f t="shared" si="1120"/>
        <v>0</v>
      </c>
      <c r="Q241" s="448" t="s">
        <v>490</v>
      </c>
      <c r="R241" s="448" t="s">
        <v>488</v>
      </c>
      <c r="S241" s="448" t="s">
        <v>490</v>
      </c>
      <c r="T241" s="448" t="s">
        <v>488</v>
      </c>
      <c r="U241" s="161">
        <v>1</v>
      </c>
      <c r="V241" s="161"/>
      <c r="W241" s="459">
        <f t="shared" si="1329"/>
        <v>853.5</v>
      </c>
      <c r="X241" s="459"/>
      <c r="Y241" s="460">
        <v>853.5</v>
      </c>
      <c r="Z241" s="459"/>
      <c r="AA241" s="464"/>
      <c r="AB241" s="459">
        <f t="shared" si="1330"/>
        <v>862.5</v>
      </c>
      <c r="AC241" s="459"/>
      <c r="AD241" s="460">
        <v>862.5</v>
      </c>
      <c r="AE241" s="459"/>
      <c r="AF241" s="464"/>
      <c r="AG241" s="459">
        <f t="shared" si="1331"/>
        <v>862.5</v>
      </c>
      <c r="AH241" s="459"/>
      <c r="AI241" s="460">
        <v>862.5</v>
      </c>
      <c r="AJ241" s="459"/>
      <c r="AK241" s="464"/>
      <c r="AL241" s="459">
        <f t="shared" si="1332"/>
        <v>375</v>
      </c>
      <c r="AM241" s="459"/>
      <c r="AN241" s="460">
        <v>375</v>
      </c>
      <c r="AO241" s="459"/>
      <c r="AP241" s="459"/>
      <c r="AQ241" s="383" t="s">
        <v>412</v>
      </c>
      <c r="AR241" s="459">
        <f t="shared" si="1333"/>
        <v>853.5</v>
      </c>
      <c r="AS241" s="459"/>
      <c r="AT241" s="460">
        <v>853.5</v>
      </c>
      <c r="AU241" s="459"/>
      <c r="AV241" s="459"/>
      <c r="AW241" s="459" t="e">
        <f t="shared" si="1334"/>
        <v>#REF!</v>
      </c>
      <c r="AX241" s="459" t="e">
        <f>#REF!-AS241</f>
        <v>#REF!</v>
      </c>
      <c r="AY241" s="459" t="e">
        <f>#REF!-AT241</f>
        <v>#REF!</v>
      </c>
      <c r="AZ241" s="459" t="e">
        <f>#REF!-AU241</f>
        <v>#REF!</v>
      </c>
      <c r="BA241" s="459" t="e">
        <f>#REF!-AV241</f>
        <v>#REF!</v>
      </c>
      <c r="BB241" s="459">
        <f t="shared" si="1335"/>
        <v>816.31899999999996</v>
      </c>
      <c r="BC241" s="459"/>
      <c r="BD241" s="460">
        <v>816.31899999999996</v>
      </c>
      <c r="BE241" s="459"/>
      <c r="BF241" s="459"/>
      <c r="BG241" s="459">
        <f t="shared" si="1336"/>
        <v>0</v>
      </c>
      <c r="BH241" s="459"/>
      <c r="BI241" s="460"/>
      <c r="BJ241" s="459"/>
      <c r="BK241" s="459"/>
      <c r="BL241" s="459">
        <f t="shared" si="1337"/>
        <v>853.5</v>
      </c>
      <c r="BM241" s="459"/>
      <c r="BN241" s="460">
        <v>853.5</v>
      </c>
      <c r="BO241" s="459"/>
      <c r="BP241" s="459"/>
      <c r="BQ241" s="459">
        <f t="shared" si="1338"/>
        <v>853.5</v>
      </c>
      <c r="BR241" s="459"/>
      <c r="BS241" s="460">
        <v>853.5</v>
      </c>
      <c r="BT241" s="459"/>
      <c r="BU241" s="459"/>
      <c r="BV241" s="459">
        <f t="shared" si="1339"/>
        <v>72.171999999999997</v>
      </c>
      <c r="BW241" s="459"/>
      <c r="BX241" s="459">
        <v>72.171999999999997</v>
      </c>
      <c r="BY241" s="459"/>
      <c r="BZ241" s="459"/>
      <c r="CA241" s="464">
        <f t="shared" si="1340"/>
        <v>925.67200000000003</v>
      </c>
      <c r="CB241" s="459">
        <f t="shared" si="1341"/>
        <v>925.67200000000003</v>
      </c>
      <c r="CC241" s="459">
        <f t="shared" si="1342"/>
        <v>0</v>
      </c>
      <c r="CD241" s="459">
        <f t="shared" si="1342"/>
        <v>925.67200000000003</v>
      </c>
      <c r="CE241" s="459">
        <f t="shared" si="1342"/>
        <v>0</v>
      </c>
      <c r="CF241" s="459">
        <f t="shared" si="1342"/>
        <v>0</v>
      </c>
      <c r="CG241" s="459">
        <f t="shared" si="1343"/>
        <v>0</v>
      </c>
      <c r="CH241" s="459">
        <f t="shared" si="1344"/>
        <v>0</v>
      </c>
      <c r="CI241" s="459">
        <f t="shared" si="1344"/>
        <v>0</v>
      </c>
      <c r="CJ241" s="459">
        <f t="shared" si="1344"/>
        <v>0</v>
      </c>
      <c r="CK241" s="459">
        <f t="shared" si="1344"/>
        <v>0</v>
      </c>
      <c r="CL241" s="465"/>
      <c r="CM241" s="466"/>
      <c r="CN241" s="466"/>
      <c r="CO241" s="459">
        <f t="shared" si="1345"/>
        <v>0</v>
      </c>
      <c r="CP241" s="459"/>
      <c r="CQ241" s="460"/>
      <c r="CR241" s="459"/>
      <c r="CS241" s="459"/>
      <c r="CT241" s="459">
        <f t="shared" si="1346"/>
        <v>0</v>
      </c>
      <c r="CU241" s="459"/>
      <c r="CV241" s="460"/>
      <c r="CW241" s="459"/>
      <c r="CX241" s="459"/>
      <c r="CY241" s="459">
        <f t="shared" si="1347"/>
        <v>0</v>
      </c>
      <c r="CZ241" s="459">
        <f t="shared" si="1348"/>
        <v>0</v>
      </c>
      <c r="DA241" s="459">
        <f t="shared" si="1348"/>
        <v>0</v>
      </c>
      <c r="DB241" s="459">
        <f t="shared" si="1348"/>
        <v>0</v>
      </c>
      <c r="DC241" s="459">
        <f t="shared" si="1348"/>
        <v>0</v>
      </c>
      <c r="DD241" s="459"/>
      <c r="DE241" s="459"/>
      <c r="DF241" s="459"/>
      <c r="DG241" s="459">
        <f t="shared" si="1349"/>
        <v>0</v>
      </c>
      <c r="DH241" s="467"/>
      <c r="DI241" s="459">
        <f t="shared" si="1350"/>
        <v>853.5</v>
      </c>
      <c r="DJ241" s="459">
        <f t="shared" si="1351"/>
        <v>853.5</v>
      </c>
      <c r="DK241" s="467"/>
      <c r="DL241" s="459"/>
      <c r="DM241" s="459"/>
      <c r="DN241" s="467"/>
      <c r="DO241" s="459"/>
      <c r="DP241" s="467"/>
      <c r="DQ241" s="467"/>
      <c r="DR241" s="459">
        <f t="shared" si="1375"/>
        <v>853.5</v>
      </c>
      <c r="DS241" s="459"/>
      <c r="DT241" s="460">
        <v>853.5</v>
      </c>
      <c r="DU241" s="459"/>
      <c r="DV241" s="459"/>
      <c r="DW241" s="459">
        <f t="shared" si="1119"/>
        <v>72.171999999999997</v>
      </c>
      <c r="DX241" s="459"/>
      <c r="DY241" s="459">
        <v>72.171999999999997</v>
      </c>
      <c r="DZ241" s="459"/>
      <c r="EA241" s="146"/>
      <c r="EB241" s="279"/>
      <c r="EC241" s="279"/>
      <c r="ED241" s="279"/>
      <c r="EE241" s="366"/>
      <c r="EF241" s="366"/>
      <c r="EG241" s="279"/>
      <c r="EH241" s="279"/>
      <c r="EI241" s="279"/>
      <c r="EJ241" s="366"/>
      <c r="EK241" s="366"/>
      <c r="EL241" s="366">
        <v>2.0400000000000001E-2</v>
      </c>
      <c r="EM241" s="280"/>
      <c r="EN241" s="279"/>
      <c r="EO241" s="265" t="e">
        <f t="shared" si="1354"/>
        <v>#DIV/0!</v>
      </c>
      <c r="EP241" s="323">
        <f t="shared" si="1121"/>
        <v>925.67200000000003</v>
      </c>
      <c r="EQ241" s="323">
        <f t="shared" si="1175"/>
        <v>853.5</v>
      </c>
      <c r="ER241" s="323">
        <v>72.171999999999997</v>
      </c>
      <c r="ES241" s="358">
        <f t="shared" si="1355"/>
        <v>0.92203285829105774</v>
      </c>
      <c r="ET241" s="358">
        <f t="shared" si="1356"/>
        <v>7.7967141708942256E-2</v>
      </c>
      <c r="EU241" s="323">
        <f t="shared" si="1122"/>
        <v>925.67200000000003</v>
      </c>
      <c r="EV241" s="323">
        <f t="shared" si="1357"/>
        <v>853.5</v>
      </c>
      <c r="EW241" s="323">
        <f t="shared" si="1358"/>
        <v>72.171999999999997</v>
      </c>
      <c r="EX241" s="358">
        <f t="shared" si="1359"/>
        <v>0.92203285829105774</v>
      </c>
      <c r="EY241" s="358">
        <f t="shared" si="1360"/>
        <v>7.7967141708942256E-2</v>
      </c>
      <c r="EZ241" s="358">
        <v>6.7900000000000002E-2</v>
      </c>
      <c r="FA241" s="323">
        <f t="shared" si="1361"/>
        <v>853.5</v>
      </c>
      <c r="FB241" s="323">
        <f t="shared" si="1123"/>
        <v>0</v>
      </c>
      <c r="FC241" s="279"/>
      <c r="FD241" s="279"/>
      <c r="FE241" s="279"/>
      <c r="FF241" s="366"/>
      <c r="FG241" s="366"/>
      <c r="FH241" s="279"/>
      <c r="FI241" s="279"/>
      <c r="FJ241" s="279"/>
      <c r="FK241" s="366"/>
      <c r="FL241" s="366"/>
      <c r="FM241" s="366">
        <v>6.7900000000000002E-2</v>
      </c>
      <c r="FN241" s="280"/>
      <c r="FO241" s="279"/>
    </row>
    <row r="242" spans="2:171" s="119" customFormat="1" ht="15.75" customHeight="1" x14ac:dyDescent="0.2">
      <c r="B242" s="113"/>
      <c r="C242" s="114"/>
      <c r="D242" s="114"/>
      <c r="E242" s="115"/>
      <c r="F242" s="113"/>
      <c r="G242" s="114"/>
      <c r="H242" s="114"/>
      <c r="I242" s="437"/>
      <c r="J242" s="437"/>
      <c r="K242" s="437"/>
      <c r="L242" s="572"/>
      <c r="M242" s="115"/>
      <c r="N242" s="118" t="s">
        <v>4</v>
      </c>
      <c r="O242" s="118"/>
      <c r="P242" s="68">
        <f t="shared" si="1120"/>
        <v>0</v>
      </c>
      <c r="Q242" s="118"/>
      <c r="R242" s="118"/>
      <c r="S242" s="118"/>
      <c r="T242" s="118"/>
      <c r="U242" s="163">
        <f t="shared" ref="U242:AA242" si="1376">SUM(U243:U257)-U244</f>
        <v>11</v>
      </c>
      <c r="V242" s="163">
        <f>V245+V246+V247+V248+V249+V250+V251+V252+V253+V254+V255+V256+V257</f>
        <v>11</v>
      </c>
      <c r="W242" s="452">
        <f t="shared" si="1376"/>
        <v>40534.044000000002</v>
      </c>
      <c r="X242" s="452">
        <f t="shared" si="1376"/>
        <v>0</v>
      </c>
      <c r="Y242" s="452">
        <f t="shared" si="1376"/>
        <v>13755.599999999999</v>
      </c>
      <c r="Z242" s="452">
        <f t="shared" si="1376"/>
        <v>26778.444000000003</v>
      </c>
      <c r="AA242" s="452">
        <f t="shared" si="1376"/>
        <v>0</v>
      </c>
      <c r="AB242" s="452">
        <f t="shared" ref="AB242:AF242" si="1377">SUM(AB243:AB257)-AB244</f>
        <v>50194.339999999989</v>
      </c>
      <c r="AC242" s="452">
        <f t="shared" si="1377"/>
        <v>27000</v>
      </c>
      <c r="AD242" s="452">
        <f t="shared" si="1377"/>
        <v>13602.2</v>
      </c>
      <c r="AE242" s="452">
        <f t="shared" si="1377"/>
        <v>9592.14</v>
      </c>
      <c r="AF242" s="452">
        <f t="shared" si="1377"/>
        <v>0</v>
      </c>
      <c r="AG242" s="452">
        <f t="shared" ref="AG242:AK242" si="1378">SUM(AG243:AG257)-AG244</f>
        <v>13602.2</v>
      </c>
      <c r="AH242" s="452">
        <f t="shared" si="1378"/>
        <v>0</v>
      </c>
      <c r="AI242" s="452">
        <f t="shared" si="1378"/>
        <v>13602.2</v>
      </c>
      <c r="AJ242" s="452">
        <f t="shared" si="1378"/>
        <v>0</v>
      </c>
      <c r="AK242" s="452">
        <f t="shared" si="1378"/>
        <v>0</v>
      </c>
      <c r="AL242" s="454">
        <f t="shared" ref="AL242:AP242" si="1379">SUM(AL243:AL257)-AL244</f>
        <v>5914</v>
      </c>
      <c r="AM242" s="452">
        <f t="shared" si="1379"/>
        <v>0</v>
      </c>
      <c r="AN242" s="452">
        <f t="shared" si="1379"/>
        <v>5914</v>
      </c>
      <c r="AO242" s="452">
        <f t="shared" si="1379"/>
        <v>0</v>
      </c>
      <c r="AP242" s="452">
        <f t="shared" si="1379"/>
        <v>0</v>
      </c>
      <c r="AQ242" s="453"/>
      <c r="AR242" s="452">
        <f t="shared" ref="AR242:AU242" si="1380">SUM(AR243:AR257)-AR244</f>
        <v>36529.47724</v>
      </c>
      <c r="AS242" s="452">
        <f t="shared" si="1380"/>
        <v>0</v>
      </c>
      <c r="AT242" s="452">
        <f t="shared" si="1380"/>
        <v>12691.385679999999</v>
      </c>
      <c r="AU242" s="452">
        <f t="shared" si="1380"/>
        <v>23838.091560000001</v>
      </c>
      <c r="AV242" s="452">
        <f>SUM(AV243:AV257)-AV244</f>
        <v>0</v>
      </c>
      <c r="AW242" s="452" t="e">
        <f t="shared" ref="AW242:BF242" si="1381">SUM(AW243:AW257)-AW244</f>
        <v>#REF!</v>
      </c>
      <c r="AX242" s="452" t="e">
        <f t="shared" si="1381"/>
        <v>#REF!</v>
      </c>
      <c r="AY242" s="452" t="e">
        <f t="shared" si="1381"/>
        <v>#REF!</v>
      </c>
      <c r="AZ242" s="452" t="e">
        <f t="shared" si="1381"/>
        <v>#REF!</v>
      </c>
      <c r="BA242" s="452" t="e">
        <f t="shared" si="1381"/>
        <v>#REF!</v>
      </c>
      <c r="BB242" s="452">
        <f t="shared" si="1381"/>
        <v>49600.939999999988</v>
      </c>
      <c r="BC242" s="452">
        <f t="shared" si="1381"/>
        <v>27000</v>
      </c>
      <c r="BD242" s="452">
        <f t="shared" si="1381"/>
        <v>13008.800000000001</v>
      </c>
      <c r="BE242" s="452">
        <f t="shared" si="1381"/>
        <v>9592.14</v>
      </c>
      <c r="BF242" s="452">
        <f t="shared" si="1381"/>
        <v>0</v>
      </c>
      <c r="BG242" s="452">
        <f t="shared" ref="BG242:CK242" si="1382">SUM(BG243:BG257)-BG244</f>
        <v>0</v>
      </c>
      <c r="BH242" s="452">
        <f t="shared" si="1382"/>
        <v>0</v>
      </c>
      <c r="BI242" s="452">
        <f t="shared" si="1382"/>
        <v>0</v>
      </c>
      <c r="BJ242" s="452">
        <f t="shared" si="1382"/>
        <v>0</v>
      </c>
      <c r="BK242" s="452">
        <f t="shared" si="1382"/>
        <v>0</v>
      </c>
      <c r="BL242" s="452">
        <f t="shared" si="1382"/>
        <v>36529.47724</v>
      </c>
      <c r="BM242" s="452">
        <f t="shared" si="1382"/>
        <v>0</v>
      </c>
      <c r="BN242" s="452">
        <f t="shared" si="1382"/>
        <v>12691.385679999999</v>
      </c>
      <c r="BO242" s="452">
        <f t="shared" si="1382"/>
        <v>23838.091560000001</v>
      </c>
      <c r="BP242" s="452">
        <f t="shared" si="1382"/>
        <v>0</v>
      </c>
      <c r="BQ242" s="452">
        <f t="shared" si="1382"/>
        <v>36529.47724</v>
      </c>
      <c r="BR242" s="452">
        <f t="shared" si="1382"/>
        <v>0</v>
      </c>
      <c r="BS242" s="452">
        <f t="shared" si="1382"/>
        <v>12691.385679999999</v>
      </c>
      <c r="BT242" s="452">
        <f t="shared" si="1382"/>
        <v>23838.091560000001</v>
      </c>
      <c r="BU242" s="452">
        <f t="shared" si="1382"/>
        <v>0</v>
      </c>
      <c r="BV242" s="454">
        <f t="shared" si="1382"/>
        <v>14210.118759999999</v>
      </c>
      <c r="BW242" s="452">
        <f t="shared" si="1382"/>
        <v>0</v>
      </c>
      <c r="BX242" s="452">
        <f t="shared" si="1382"/>
        <v>4338.5515999999998</v>
      </c>
      <c r="BY242" s="452">
        <f t="shared" si="1382"/>
        <v>9871.5671600000005</v>
      </c>
      <c r="BZ242" s="452">
        <f t="shared" si="1382"/>
        <v>0</v>
      </c>
      <c r="CA242" s="452">
        <f t="shared" si="1382"/>
        <v>50739.596000000005</v>
      </c>
      <c r="CB242" s="452">
        <f t="shared" si="1382"/>
        <v>50739.596000000005</v>
      </c>
      <c r="CC242" s="452">
        <f t="shared" si="1382"/>
        <v>0</v>
      </c>
      <c r="CD242" s="452">
        <f t="shared" si="1382"/>
        <v>17029.937279999998</v>
      </c>
      <c r="CE242" s="452">
        <f t="shared" si="1382"/>
        <v>33709.658719999999</v>
      </c>
      <c r="CF242" s="452">
        <f t="shared" si="1382"/>
        <v>0</v>
      </c>
      <c r="CG242" s="452">
        <f t="shared" si="1382"/>
        <v>0</v>
      </c>
      <c r="CH242" s="452">
        <f t="shared" si="1382"/>
        <v>0</v>
      </c>
      <c r="CI242" s="452">
        <f t="shared" si="1382"/>
        <v>0</v>
      </c>
      <c r="CJ242" s="452">
        <f t="shared" si="1382"/>
        <v>0</v>
      </c>
      <c r="CK242" s="452">
        <f t="shared" si="1382"/>
        <v>0</v>
      </c>
      <c r="CL242" s="455">
        <f>CM242+CO242-BG242</f>
        <v>49600.939999999988</v>
      </c>
      <c r="CM242" s="456">
        <f t="shared" ref="CM242:DG242" si="1383">SUM(CM243:CM257)-CM244</f>
        <v>49600.939999999988</v>
      </c>
      <c r="CN242" s="456">
        <f t="shared" si="1383"/>
        <v>49600.939999999988</v>
      </c>
      <c r="CO242" s="452">
        <f t="shared" si="1383"/>
        <v>0</v>
      </c>
      <c r="CP242" s="452">
        <f t="shared" si="1383"/>
        <v>0</v>
      </c>
      <c r="CQ242" s="452">
        <f t="shared" si="1383"/>
        <v>0</v>
      </c>
      <c r="CR242" s="452">
        <f t="shared" si="1383"/>
        <v>0</v>
      </c>
      <c r="CS242" s="452">
        <f t="shared" si="1383"/>
        <v>0</v>
      </c>
      <c r="CT242" s="452">
        <f t="shared" si="1383"/>
        <v>0</v>
      </c>
      <c r="CU242" s="452">
        <f t="shared" si="1383"/>
        <v>0</v>
      </c>
      <c r="CV242" s="452">
        <f t="shared" si="1383"/>
        <v>0</v>
      </c>
      <c r="CW242" s="452">
        <f t="shared" si="1383"/>
        <v>0</v>
      </c>
      <c r="CX242" s="452">
        <f t="shared" si="1383"/>
        <v>0</v>
      </c>
      <c r="CY242" s="452">
        <f t="shared" si="1383"/>
        <v>0</v>
      </c>
      <c r="CZ242" s="452">
        <f t="shared" si="1383"/>
        <v>0</v>
      </c>
      <c r="DA242" s="452">
        <f t="shared" si="1383"/>
        <v>0</v>
      </c>
      <c r="DB242" s="452">
        <f t="shared" si="1383"/>
        <v>0</v>
      </c>
      <c r="DC242" s="452">
        <f t="shared" si="1383"/>
        <v>0</v>
      </c>
      <c r="DD242" s="452">
        <f t="shared" si="1383"/>
        <v>0</v>
      </c>
      <c r="DE242" s="452">
        <f t="shared" si="1383"/>
        <v>0</v>
      </c>
      <c r="DF242" s="452">
        <f t="shared" si="1383"/>
        <v>0</v>
      </c>
      <c r="DG242" s="452">
        <f t="shared" si="1383"/>
        <v>0</v>
      </c>
      <c r="DH242" s="457"/>
      <c r="DI242" s="452">
        <f>SUM(DI243:DI257)-DI244</f>
        <v>36529.47724</v>
      </c>
      <c r="DJ242" s="452">
        <f>SUM(DJ243:DJ257)-DJ244</f>
        <v>36529.47724</v>
      </c>
      <c r="DK242" s="457"/>
      <c r="DL242" s="452">
        <f>SUM(DL243:DL257)-DL244</f>
        <v>36529.47724</v>
      </c>
      <c r="DM242" s="452">
        <f>SUM(DM243:DM257)-DM244</f>
        <v>0</v>
      </c>
      <c r="DN242" s="457"/>
      <c r="DO242" s="452">
        <f>SUM(DO243:DO257)-DO244</f>
        <v>13071.462759999988</v>
      </c>
      <c r="DP242" s="457">
        <f>DG242-DO242</f>
        <v>-13071.462759999988</v>
      </c>
      <c r="DQ242" s="457"/>
      <c r="DR242" s="452">
        <f t="shared" si="1375"/>
        <v>36529.47724</v>
      </c>
      <c r="DS242" s="452">
        <f t="shared" ref="DS242:DU242" si="1384">SUM(DS243:DS257)-DS244</f>
        <v>0</v>
      </c>
      <c r="DT242" s="452">
        <f t="shared" si="1384"/>
        <v>12691.385679999999</v>
      </c>
      <c r="DU242" s="452">
        <f t="shared" si="1384"/>
        <v>23838.091560000001</v>
      </c>
      <c r="DV242" s="452">
        <f t="shared" ref="DV242" si="1385">SUM(DV243:DV257)-DV244</f>
        <v>0</v>
      </c>
      <c r="DW242" s="452">
        <f t="shared" si="1119"/>
        <v>14210.118760000001</v>
      </c>
      <c r="DX242" s="452">
        <f t="shared" ref="DX242:DZ242" si="1386">SUM(DX243:DX257)-DX244</f>
        <v>0</v>
      </c>
      <c r="DY242" s="452">
        <f t="shared" si="1386"/>
        <v>4338.5515999999998</v>
      </c>
      <c r="DZ242" s="452">
        <f t="shared" si="1386"/>
        <v>9871.5671600000005</v>
      </c>
      <c r="EA242" s="145">
        <f t="shared" ref="EA242" si="1387">SUM(EA243:EA257)-EA244</f>
        <v>0</v>
      </c>
      <c r="EB242" s="57">
        <f t="shared" si="1169"/>
        <v>0</v>
      </c>
      <c r="EC242" s="57">
        <f t="shared" si="1170"/>
        <v>0</v>
      </c>
      <c r="ED242" s="57">
        <f t="shared" ref="ED242" si="1388">SUM(ED243:ED257)-ED244</f>
        <v>0</v>
      </c>
      <c r="EE242" s="360"/>
      <c r="EF242" s="360"/>
      <c r="EG242" s="57">
        <f t="shared" si="1172"/>
        <v>0</v>
      </c>
      <c r="EH242" s="57">
        <f>SUM(EH243:EH257)</f>
        <v>0</v>
      </c>
      <c r="EI242" s="57">
        <f>SUM(EI243:EI257)</f>
        <v>0</v>
      </c>
      <c r="EJ242" s="360"/>
      <c r="EK242" s="360"/>
      <c r="EL242" s="360"/>
      <c r="EM242" s="273">
        <f t="shared" ref="EM242" si="1389">SUM(EM243:EM257)</f>
        <v>0</v>
      </c>
      <c r="EN242" s="57">
        <f t="shared" si="1174"/>
        <v>0</v>
      </c>
      <c r="EO242" s="264"/>
      <c r="EP242" s="57">
        <f t="shared" si="1121"/>
        <v>17029.937279999998</v>
      </c>
      <c r="EQ242" s="57">
        <f t="shared" si="1175"/>
        <v>12691.385679999999</v>
      </c>
      <c r="ER242" s="57">
        <f>ER243+ER245+ER246+ER247+ER248+ER249+ER250+ER251+ER252+ER253+ER254+ER255+ER256+ER257</f>
        <v>4338.5515999999998</v>
      </c>
      <c r="ES242" s="360"/>
      <c r="ET242" s="360"/>
      <c r="EU242" s="57">
        <f t="shared" si="1122"/>
        <v>17029.937279999998</v>
      </c>
      <c r="EV242" s="57">
        <f>SUM(EV243:EV257)</f>
        <v>12691.385679999999</v>
      </c>
      <c r="EW242" s="57">
        <f>SUM(EW243:EW257)</f>
        <v>4338.5515999999998</v>
      </c>
      <c r="EX242" s="360"/>
      <c r="EY242" s="360"/>
      <c r="EZ242" s="360"/>
      <c r="FA242" s="57">
        <f t="shared" ref="FA242" si="1390">SUM(FA243:FA257)</f>
        <v>12691.385679999999</v>
      </c>
      <c r="FB242" s="57">
        <f t="shared" si="1123"/>
        <v>0</v>
      </c>
      <c r="FC242" s="57">
        <f t="shared" ref="FC242" si="1391">FD242+FE242+FF242</f>
        <v>33709.658719999999</v>
      </c>
      <c r="FD242" s="57">
        <f t="shared" si="1179"/>
        <v>23838.091560000001</v>
      </c>
      <c r="FE242" s="57">
        <f t="shared" ref="FE242" si="1392">SUM(FE243:FE257)-FE244</f>
        <v>9871.5671600000005</v>
      </c>
      <c r="FF242" s="360"/>
      <c r="FG242" s="360"/>
      <c r="FH242" s="57">
        <f t="shared" si="1181"/>
        <v>33709.658719999999</v>
      </c>
      <c r="FI242" s="57">
        <f t="shared" si="1230"/>
        <v>23838.091560000001</v>
      </c>
      <c r="FJ242" s="57">
        <f t="shared" si="1231"/>
        <v>9871.5671600000005</v>
      </c>
      <c r="FK242" s="360"/>
      <c r="FL242" s="360"/>
      <c r="FM242" s="360"/>
      <c r="FN242" s="273">
        <f t="shared" si="1374"/>
        <v>0</v>
      </c>
      <c r="FO242" s="57">
        <f t="shared" si="1182"/>
        <v>23838.091560000001</v>
      </c>
    </row>
    <row r="243" spans="2:171" s="40" customFormat="1" ht="15.75" customHeight="1" x14ac:dyDescent="0.25">
      <c r="B243" s="32">
        <v>1</v>
      </c>
      <c r="C243" s="33"/>
      <c r="D243" s="33"/>
      <c r="E243" s="434">
        <v>204</v>
      </c>
      <c r="F243" s="32"/>
      <c r="G243" s="33"/>
      <c r="H243" s="33"/>
      <c r="M243" s="434"/>
      <c r="N243" s="435" t="s">
        <v>250</v>
      </c>
      <c r="O243" s="132"/>
      <c r="P243" s="2">
        <f t="shared" si="1120"/>
        <v>0</v>
      </c>
      <c r="Q243" s="132"/>
      <c r="R243" s="132"/>
      <c r="S243" s="132"/>
      <c r="T243" s="132"/>
      <c r="U243" s="132"/>
      <c r="V243" s="132"/>
      <c r="W243" s="459">
        <f t="shared" ref="W243:W257" si="1393">X243+Y243+Z243+AA243</f>
        <v>0</v>
      </c>
      <c r="X243" s="459"/>
      <c r="Y243" s="460">
        <v>0</v>
      </c>
      <c r="Z243" s="459"/>
      <c r="AA243" s="464"/>
      <c r="AB243" s="459">
        <f t="shared" ref="AB243:AB257" si="1394">AC243+AD243+AE243+AF243</f>
        <v>0</v>
      </c>
      <c r="AC243" s="459"/>
      <c r="AD243" s="460"/>
      <c r="AE243" s="459"/>
      <c r="AF243" s="464"/>
      <c r="AG243" s="459">
        <f t="shared" ref="AG243:AG257" si="1395">AH243+AI243+AJ243+AK243</f>
        <v>0</v>
      </c>
      <c r="AH243" s="459"/>
      <c r="AI243" s="460"/>
      <c r="AJ243" s="459"/>
      <c r="AK243" s="464"/>
      <c r="AL243" s="459">
        <f t="shared" ref="AL243:AL257" si="1396">AM243+AN243+AO243+AP243</f>
        <v>0</v>
      </c>
      <c r="AM243" s="459"/>
      <c r="AN243" s="460"/>
      <c r="AO243" s="459"/>
      <c r="AP243" s="459"/>
      <c r="AQ243" s="383"/>
      <c r="AR243" s="459">
        <f t="shared" ref="AR243:AR257" si="1397">AS243+AT243+AU243+AV243</f>
        <v>0</v>
      </c>
      <c r="AS243" s="459"/>
      <c r="AT243" s="469"/>
      <c r="AU243" s="459"/>
      <c r="AV243" s="459"/>
      <c r="AW243" s="459" t="e">
        <f t="shared" ref="AW243:AW257" si="1398">AX243+AY243+AZ243+BA243</f>
        <v>#REF!</v>
      </c>
      <c r="AX243" s="459" t="e">
        <f>#REF!-AS243</f>
        <v>#REF!</v>
      </c>
      <c r="AY243" s="459" t="e">
        <f>#REF!-AT243</f>
        <v>#REF!</v>
      </c>
      <c r="AZ243" s="459" t="e">
        <f>#REF!-AU243</f>
        <v>#REF!</v>
      </c>
      <c r="BA243" s="459" t="e">
        <f>#REF!-AV243</f>
        <v>#REF!</v>
      </c>
      <c r="BB243" s="459">
        <f t="shared" ref="BB243:BB257" si="1399">BC243+BD243+BE243+BF243</f>
        <v>0</v>
      </c>
      <c r="BC243" s="459"/>
      <c r="BD243" s="459"/>
      <c r="BE243" s="459"/>
      <c r="BF243" s="459"/>
      <c r="BG243" s="459">
        <f t="shared" ref="BG243:BG257" si="1400">BH243+BI243+BJ243+BK243</f>
        <v>0</v>
      </c>
      <c r="BH243" s="459"/>
      <c r="BI243" s="459"/>
      <c r="BJ243" s="459"/>
      <c r="BK243" s="459"/>
      <c r="BL243" s="459">
        <f t="shared" ref="BL243:BL257" si="1401">BM243+BN243+BO243+BP243</f>
        <v>0</v>
      </c>
      <c r="BM243" s="459"/>
      <c r="BN243" s="459"/>
      <c r="BO243" s="459"/>
      <c r="BP243" s="497"/>
      <c r="BQ243" s="459">
        <f t="shared" ref="BQ243:BQ257" si="1402">BR243+BS243+BT243+BU243</f>
        <v>0</v>
      </c>
      <c r="BR243" s="459"/>
      <c r="BS243" s="459"/>
      <c r="BT243" s="459"/>
      <c r="BU243" s="459"/>
      <c r="BV243" s="459">
        <f t="shared" ref="BV243:BV257" si="1403">BW243+BX243+BY243+BZ243</f>
        <v>0</v>
      </c>
      <c r="BW243" s="459"/>
      <c r="BX243" s="459"/>
      <c r="BY243" s="459"/>
      <c r="BZ243" s="459"/>
      <c r="CA243" s="464">
        <f t="shared" ref="CA243:CA257" si="1404">CB243</f>
        <v>0</v>
      </c>
      <c r="CB243" s="459">
        <f t="shared" ref="CB243:CB257" si="1405">CC243+CD243+CE243+CF243</f>
        <v>0</v>
      </c>
      <c r="CC243" s="459">
        <f t="shared" ref="CC243:CF257" si="1406">BR243+BW243</f>
        <v>0</v>
      </c>
      <c r="CD243" s="459">
        <f t="shared" si="1406"/>
        <v>0</v>
      </c>
      <c r="CE243" s="459">
        <f t="shared" si="1406"/>
        <v>0</v>
      </c>
      <c r="CF243" s="459">
        <f t="shared" si="1406"/>
        <v>0</v>
      </c>
      <c r="CG243" s="459">
        <f t="shared" ref="CG243:CG257" si="1407">CH243+CI243+CJ243+CK243</f>
        <v>0</v>
      </c>
      <c r="CH243" s="459">
        <f t="shared" ref="CH243:CK257" si="1408">BM243-BR243</f>
        <v>0</v>
      </c>
      <c r="CI243" s="459">
        <f t="shared" si="1408"/>
        <v>0</v>
      </c>
      <c r="CJ243" s="459">
        <f t="shared" si="1408"/>
        <v>0</v>
      </c>
      <c r="CK243" s="459">
        <f t="shared" si="1408"/>
        <v>0</v>
      </c>
      <c r="CL243" s="465"/>
      <c r="CM243" s="466"/>
      <c r="CN243" s="466"/>
      <c r="CO243" s="459">
        <f t="shared" ref="CO243:CO257" si="1409">CP243+CQ243+CR243+CS243</f>
        <v>0</v>
      </c>
      <c r="CP243" s="459"/>
      <c r="CQ243" s="459"/>
      <c r="CR243" s="459"/>
      <c r="CS243" s="459"/>
      <c r="CT243" s="459">
        <f t="shared" ref="CT243:CT257" si="1410">CU243+CV243+CW243+CX243</f>
        <v>0</v>
      </c>
      <c r="CU243" s="459"/>
      <c r="CV243" s="459"/>
      <c r="CW243" s="459"/>
      <c r="CX243" s="459"/>
      <c r="CY243" s="459">
        <f t="shared" ref="CY243:CY257" si="1411">CZ243+DA243+DB243+DC243</f>
        <v>0</v>
      </c>
      <c r="CZ243" s="459"/>
      <c r="DA243" s="459"/>
      <c r="DB243" s="459"/>
      <c r="DC243" s="459"/>
      <c r="DD243" s="459"/>
      <c r="DE243" s="459"/>
      <c r="DF243" s="459"/>
      <c r="DG243" s="459">
        <f t="shared" ref="DG243:DG257" si="1412">CG243+CY243+DF243</f>
        <v>0</v>
      </c>
      <c r="DH243" s="467"/>
      <c r="DI243" s="459">
        <f t="shared" ref="DI243:DI257" si="1413">BL243+CO243+DD243</f>
        <v>0</v>
      </c>
      <c r="DJ243" s="459">
        <f t="shared" ref="DJ243:DJ257" si="1414">BQ243+CT243+DE243</f>
        <v>0</v>
      </c>
      <c r="DK243" s="467"/>
      <c r="DL243" s="459">
        <f t="shared" ref="DL243:DL244" si="1415">DJ243</f>
        <v>0</v>
      </c>
      <c r="DM243" s="459">
        <f t="shared" ref="DM243:DM244" si="1416">DG243</f>
        <v>0</v>
      </c>
      <c r="DN243" s="467"/>
      <c r="DO243" s="459">
        <f>CN243-DL243</f>
        <v>0</v>
      </c>
      <c r="DP243" s="467"/>
      <c r="DQ243" s="467"/>
      <c r="DR243" s="459">
        <f t="shared" si="1375"/>
        <v>0</v>
      </c>
      <c r="DS243" s="459"/>
      <c r="DT243" s="459"/>
      <c r="DU243" s="459"/>
      <c r="DV243" s="459"/>
      <c r="DW243" s="459">
        <f t="shared" si="1119"/>
        <v>0</v>
      </c>
      <c r="DX243" s="459"/>
      <c r="DY243" s="459"/>
      <c r="DZ243" s="459"/>
      <c r="EA243" s="146"/>
      <c r="EB243" s="279"/>
      <c r="EC243" s="279"/>
      <c r="ED243" s="279"/>
      <c r="EE243" s="366"/>
      <c r="EF243" s="366"/>
      <c r="EG243" s="279"/>
      <c r="EH243" s="279"/>
      <c r="EI243" s="279"/>
      <c r="EJ243" s="366"/>
      <c r="EK243" s="366"/>
      <c r="EL243" s="366">
        <v>2.9700000000000001E-2</v>
      </c>
      <c r="EM243" s="280"/>
      <c r="EN243" s="279"/>
      <c r="EO243" s="265" t="e">
        <f t="shared" ref="EO243:EO257" si="1417">EM243/EJ243</f>
        <v>#DIV/0!</v>
      </c>
      <c r="EP243" s="323"/>
      <c r="EQ243" s="323"/>
      <c r="ER243" s="323"/>
      <c r="ES243" s="358"/>
      <c r="ET243" s="358"/>
      <c r="EU243" s="323"/>
      <c r="EV243" s="323"/>
      <c r="EW243" s="323"/>
      <c r="EX243" s="358"/>
      <c r="EY243" s="358"/>
      <c r="EZ243" s="358">
        <v>0.1</v>
      </c>
      <c r="FA243" s="323"/>
      <c r="FB243" s="323">
        <f t="shared" si="1123"/>
        <v>0</v>
      </c>
      <c r="FC243" s="279"/>
      <c r="FD243" s="279"/>
      <c r="FE243" s="279"/>
      <c r="FF243" s="366"/>
      <c r="FG243" s="366"/>
      <c r="FH243" s="279"/>
      <c r="FI243" s="279"/>
      <c r="FJ243" s="279"/>
      <c r="FK243" s="366"/>
      <c r="FL243" s="366"/>
      <c r="FM243" s="366">
        <v>0.1</v>
      </c>
      <c r="FN243" s="280"/>
      <c r="FO243" s="279"/>
    </row>
    <row r="244" spans="2:171" s="40" customFormat="1" ht="15.6" customHeight="1" x14ac:dyDescent="0.25">
      <c r="B244" s="32"/>
      <c r="C244" s="33"/>
      <c r="D244" s="33"/>
      <c r="E244" s="434"/>
      <c r="F244" s="32"/>
      <c r="G244" s="33"/>
      <c r="H244" s="33"/>
      <c r="I244" s="436"/>
      <c r="J244" s="436"/>
      <c r="K244" s="436"/>
      <c r="L244" s="568"/>
      <c r="M244" s="434"/>
      <c r="N244" s="19" t="s">
        <v>251</v>
      </c>
      <c r="O244" s="133"/>
      <c r="P244" s="2">
        <f t="shared" si="1120"/>
        <v>0</v>
      </c>
      <c r="Q244" s="133"/>
      <c r="R244" s="133"/>
      <c r="S244" s="133"/>
      <c r="T244" s="133"/>
      <c r="U244" s="133"/>
      <c r="V244" s="133"/>
      <c r="W244" s="459">
        <f t="shared" si="1393"/>
        <v>0</v>
      </c>
      <c r="X244" s="459"/>
      <c r="Y244" s="460"/>
      <c r="Z244" s="459"/>
      <c r="AA244" s="464"/>
      <c r="AB244" s="459">
        <f t="shared" si="1394"/>
        <v>0</v>
      </c>
      <c r="AC244" s="459"/>
      <c r="AD244" s="460"/>
      <c r="AE244" s="459"/>
      <c r="AF244" s="464"/>
      <c r="AG244" s="459">
        <f t="shared" si="1395"/>
        <v>0</v>
      </c>
      <c r="AH244" s="459"/>
      <c r="AI244" s="460"/>
      <c r="AJ244" s="459"/>
      <c r="AK244" s="464"/>
      <c r="AL244" s="459">
        <f t="shared" si="1396"/>
        <v>0</v>
      </c>
      <c r="AM244" s="459"/>
      <c r="AN244" s="460"/>
      <c r="AO244" s="459"/>
      <c r="AP244" s="459"/>
      <c r="AQ244" s="383"/>
      <c r="AR244" s="459">
        <f t="shared" si="1397"/>
        <v>0</v>
      </c>
      <c r="AS244" s="459"/>
      <c r="AT244" s="469"/>
      <c r="AU244" s="459"/>
      <c r="AV244" s="459"/>
      <c r="AW244" s="459" t="e">
        <f t="shared" si="1398"/>
        <v>#REF!</v>
      </c>
      <c r="AX244" s="459" t="e">
        <f>#REF!-AS244</f>
        <v>#REF!</v>
      </c>
      <c r="AY244" s="459" t="e">
        <f>#REF!-AT244</f>
        <v>#REF!</v>
      </c>
      <c r="AZ244" s="459" t="e">
        <f>#REF!-AU244</f>
        <v>#REF!</v>
      </c>
      <c r="BA244" s="459" t="e">
        <f>#REF!-AV244</f>
        <v>#REF!</v>
      </c>
      <c r="BB244" s="459">
        <f t="shared" si="1399"/>
        <v>0</v>
      </c>
      <c r="BC244" s="459"/>
      <c r="BD244" s="459"/>
      <c r="BE244" s="459"/>
      <c r="BF244" s="459"/>
      <c r="BG244" s="459">
        <f t="shared" si="1400"/>
        <v>0</v>
      </c>
      <c r="BH244" s="459"/>
      <c r="BI244" s="459"/>
      <c r="BJ244" s="459"/>
      <c r="BK244" s="459"/>
      <c r="BL244" s="459">
        <f t="shared" si="1401"/>
        <v>0</v>
      </c>
      <c r="BM244" s="459"/>
      <c r="BN244" s="459"/>
      <c r="BO244" s="459"/>
      <c r="BP244" s="497"/>
      <c r="BQ244" s="459">
        <f t="shared" si="1402"/>
        <v>0</v>
      </c>
      <c r="BR244" s="459"/>
      <c r="BS244" s="459"/>
      <c r="BT244" s="459"/>
      <c r="BU244" s="459"/>
      <c r="BV244" s="459">
        <f t="shared" si="1403"/>
        <v>0</v>
      </c>
      <c r="BW244" s="459"/>
      <c r="BX244" s="459"/>
      <c r="BY244" s="459"/>
      <c r="BZ244" s="459"/>
      <c r="CA244" s="464">
        <f t="shared" si="1404"/>
        <v>0</v>
      </c>
      <c r="CB244" s="459">
        <f t="shared" si="1405"/>
        <v>0</v>
      </c>
      <c r="CC244" s="459">
        <f t="shared" si="1406"/>
        <v>0</v>
      </c>
      <c r="CD244" s="459">
        <f t="shared" si="1406"/>
        <v>0</v>
      </c>
      <c r="CE244" s="459">
        <f t="shared" si="1406"/>
        <v>0</v>
      </c>
      <c r="CF244" s="459">
        <f t="shared" si="1406"/>
        <v>0</v>
      </c>
      <c r="CG244" s="459">
        <f t="shared" si="1407"/>
        <v>0</v>
      </c>
      <c r="CH244" s="459">
        <f t="shared" si="1408"/>
        <v>0</v>
      </c>
      <c r="CI244" s="459">
        <f t="shared" si="1408"/>
        <v>0</v>
      </c>
      <c r="CJ244" s="459">
        <f t="shared" si="1408"/>
        <v>0</v>
      </c>
      <c r="CK244" s="459">
        <f t="shared" si="1408"/>
        <v>0</v>
      </c>
      <c r="CL244" s="465"/>
      <c r="CM244" s="466"/>
      <c r="CN244" s="466"/>
      <c r="CO244" s="459">
        <f t="shared" si="1409"/>
        <v>0</v>
      </c>
      <c r="CP244" s="459"/>
      <c r="CQ244" s="459"/>
      <c r="CR244" s="459"/>
      <c r="CS244" s="459"/>
      <c r="CT244" s="459">
        <f t="shared" si="1410"/>
        <v>0</v>
      </c>
      <c r="CU244" s="459"/>
      <c r="CV244" s="459"/>
      <c r="CW244" s="459"/>
      <c r="CX244" s="459"/>
      <c r="CY244" s="459">
        <f t="shared" si="1411"/>
        <v>0</v>
      </c>
      <c r="CZ244" s="459"/>
      <c r="DA244" s="459"/>
      <c r="DB244" s="459"/>
      <c r="DC244" s="459"/>
      <c r="DD244" s="459"/>
      <c r="DE244" s="459"/>
      <c r="DF244" s="459"/>
      <c r="DG244" s="459">
        <f t="shared" si="1412"/>
        <v>0</v>
      </c>
      <c r="DH244" s="467"/>
      <c r="DI244" s="459">
        <f t="shared" si="1413"/>
        <v>0</v>
      </c>
      <c r="DJ244" s="459">
        <f t="shared" si="1414"/>
        <v>0</v>
      </c>
      <c r="DK244" s="467"/>
      <c r="DL244" s="459">
        <f t="shared" si="1415"/>
        <v>0</v>
      </c>
      <c r="DM244" s="459">
        <f t="shared" si="1416"/>
        <v>0</v>
      </c>
      <c r="DN244" s="467"/>
      <c r="DO244" s="459"/>
      <c r="DP244" s="467"/>
      <c r="DQ244" s="467"/>
      <c r="DR244" s="459">
        <f t="shared" si="1375"/>
        <v>0</v>
      </c>
      <c r="DS244" s="459"/>
      <c r="DT244" s="459"/>
      <c r="DU244" s="459"/>
      <c r="DV244" s="459"/>
      <c r="DW244" s="459">
        <f t="shared" si="1119"/>
        <v>0</v>
      </c>
      <c r="DX244" s="459"/>
      <c r="DY244" s="459"/>
      <c r="DZ244" s="459"/>
      <c r="EA244" s="146"/>
      <c r="EB244" s="279"/>
      <c r="EC244" s="279"/>
      <c r="ED244" s="279"/>
      <c r="EE244" s="366"/>
      <c r="EF244" s="366"/>
      <c r="EG244" s="279"/>
      <c r="EH244" s="279"/>
      <c r="EI244" s="279"/>
      <c r="EJ244" s="366"/>
      <c r="EK244" s="366"/>
      <c r="EL244" s="366"/>
      <c r="EM244" s="280"/>
      <c r="EN244" s="279"/>
      <c r="EO244" s="265" t="e">
        <f t="shared" si="1417"/>
        <v>#DIV/0!</v>
      </c>
      <c r="EP244" s="323"/>
      <c r="EQ244" s="323"/>
      <c r="ER244" s="323"/>
      <c r="ES244" s="358"/>
      <c r="ET244" s="358"/>
      <c r="EU244" s="323"/>
      <c r="EV244" s="323"/>
      <c r="EW244" s="323"/>
      <c r="EX244" s="358"/>
      <c r="EY244" s="358"/>
      <c r="EZ244" s="358"/>
      <c r="FA244" s="323"/>
      <c r="FB244" s="323">
        <f t="shared" si="1123"/>
        <v>0</v>
      </c>
      <c r="FC244" s="279"/>
      <c r="FD244" s="279"/>
      <c r="FE244" s="279"/>
      <c r="FF244" s="366"/>
      <c r="FG244" s="366"/>
      <c r="FH244" s="279"/>
      <c r="FI244" s="279"/>
      <c r="FJ244" s="279"/>
      <c r="FK244" s="366"/>
      <c r="FL244" s="366"/>
      <c r="FM244" s="366"/>
      <c r="FN244" s="280"/>
      <c r="FO244" s="279"/>
    </row>
    <row r="245" spans="2:171" s="40" customFormat="1" ht="15.75" customHeight="1" x14ac:dyDescent="0.25">
      <c r="B245" s="32"/>
      <c r="C245" s="33">
        <v>1</v>
      </c>
      <c r="D245" s="33"/>
      <c r="E245" s="434">
        <v>205</v>
      </c>
      <c r="F245" s="32"/>
      <c r="G245" s="33">
        <v>1</v>
      </c>
      <c r="H245" s="33"/>
      <c r="I245" s="434"/>
      <c r="J245" s="435"/>
      <c r="K245" s="435"/>
      <c r="L245" s="53"/>
      <c r="M245" s="434">
        <v>200</v>
      </c>
      <c r="N245" s="435" t="s">
        <v>68</v>
      </c>
      <c r="O245" s="435" t="s">
        <v>343</v>
      </c>
      <c r="P245" s="24">
        <f t="shared" si="1120"/>
        <v>0</v>
      </c>
      <c r="Q245" s="435" t="s">
        <v>490</v>
      </c>
      <c r="R245" s="435" t="s">
        <v>488</v>
      </c>
      <c r="S245" s="435"/>
      <c r="T245" s="435" t="s">
        <v>548</v>
      </c>
      <c r="U245" s="161">
        <v>1</v>
      </c>
      <c r="V245" s="434">
        <v>2</v>
      </c>
      <c r="W245" s="459">
        <f t="shared" si="1393"/>
        <v>11868.585000000001</v>
      </c>
      <c r="X245" s="459"/>
      <c r="Y245" s="460">
        <v>835</v>
      </c>
      <c r="Z245" s="459">
        <f>9841.985+1191.6</f>
        <v>11033.585000000001</v>
      </c>
      <c r="AA245" s="461"/>
      <c r="AB245" s="459">
        <f t="shared" si="1394"/>
        <v>10505.24</v>
      </c>
      <c r="AC245" s="459"/>
      <c r="AD245" s="460">
        <v>913.1</v>
      </c>
      <c r="AE245" s="459">
        <v>9592.14</v>
      </c>
      <c r="AF245" s="461"/>
      <c r="AG245" s="459">
        <f t="shared" si="1395"/>
        <v>913.1</v>
      </c>
      <c r="AH245" s="459"/>
      <c r="AI245" s="460">
        <v>913.1</v>
      </c>
      <c r="AJ245" s="459"/>
      <c r="AK245" s="461"/>
      <c r="AL245" s="459">
        <f t="shared" si="1396"/>
        <v>397</v>
      </c>
      <c r="AM245" s="459"/>
      <c r="AN245" s="460">
        <v>397</v>
      </c>
      <c r="AO245" s="459"/>
      <c r="AP245" s="461"/>
      <c r="AQ245" s="383" t="s">
        <v>558</v>
      </c>
      <c r="AR245" s="459">
        <f t="shared" si="1397"/>
        <v>8956.9555700000001</v>
      </c>
      <c r="AS245" s="459"/>
      <c r="AT245" s="462">
        <f>835-83.49999</f>
        <v>751.50000999999997</v>
      </c>
      <c r="AU245" s="459">
        <f>9841.985+1191.6-2828.12944</f>
        <v>8205.4555600000003</v>
      </c>
      <c r="AV245" s="459"/>
      <c r="AW245" s="459" t="e">
        <f t="shared" si="1398"/>
        <v>#REF!</v>
      </c>
      <c r="AX245" s="459" t="e">
        <f>#REF!-AS245</f>
        <v>#REF!</v>
      </c>
      <c r="AY245" s="459" t="e">
        <f>#REF!-AT245</f>
        <v>#REF!</v>
      </c>
      <c r="AZ245" s="459" t="e">
        <f>#REF!-AU245</f>
        <v>#REF!</v>
      </c>
      <c r="BA245" s="459" t="e">
        <f>#REF!-AV245</f>
        <v>#REF!</v>
      </c>
      <c r="BB245" s="459">
        <f>BC245+BD245+BE245+BF245</f>
        <v>10505.24</v>
      </c>
      <c r="BC245" s="459"/>
      <c r="BD245" s="460">
        <f>397+516.1</f>
        <v>913.1</v>
      </c>
      <c r="BE245" s="459">
        <v>9592.14</v>
      </c>
      <c r="BF245" s="459"/>
      <c r="BG245" s="459">
        <f t="shared" si="1400"/>
        <v>0</v>
      </c>
      <c r="BH245" s="459"/>
      <c r="BI245" s="459"/>
      <c r="BJ245" s="459"/>
      <c r="BK245" s="459"/>
      <c r="BL245" s="459">
        <f t="shared" si="1401"/>
        <v>8956.9555700000001</v>
      </c>
      <c r="BM245" s="459"/>
      <c r="BN245" s="460">
        <v>751.50000999999997</v>
      </c>
      <c r="BO245" s="459">
        <f>7282.69606+922.7595</f>
        <v>8205.4555600000003</v>
      </c>
      <c r="BP245" s="459"/>
      <c r="BQ245" s="459">
        <f t="shared" si="1402"/>
        <v>8956.9555700000001</v>
      </c>
      <c r="BR245" s="459"/>
      <c r="BS245" s="460">
        <v>751.50000999999997</v>
      </c>
      <c r="BT245" s="459">
        <f>7282.69606+922.7595</f>
        <v>8205.4555600000003</v>
      </c>
      <c r="BU245" s="459"/>
      <c r="BV245" s="459">
        <f t="shared" si="1403"/>
        <v>1207.69389</v>
      </c>
      <c r="BW245" s="459"/>
      <c r="BX245" s="459">
        <v>259.94349</v>
      </c>
      <c r="BY245" s="459">
        <f>106.581+841.1694</f>
        <v>947.75040000000001</v>
      </c>
      <c r="BZ245" s="459"/>
      <c r="CA245" s="464">
        <f t="shared" si="1404"/>
        <v>10164.649460000001</v>
      </c>
      <c r="CB245" s="459">
        <f t="shared" si="1405"/>
        <v>10164.649460000001</v>
      </c>
      <c r="CC245" s="459">
        <f t="shared" si="1406"/>
        <v>0</v>
      </c>
      <c r="CD245" s="459">
        <f t="shared" si="1406"/>
        <v>1011.4435</v>
      </c>
      <c r="CE245" s="459">
        <f t="shared" si="1406"/>
        <v>9153.2059600000011</v>
      </c>
      <c r="CF245" s="459">
        <f t="shared" si="1406"/>
        <v>0</v>
      </c>
      <c r="CG245" s="459">
        <f t="shared" si="1407"/>
        <v>0</v>
      </c>
      <c r="CH245" s="459">
        <f t="shared" si="1408"/>
        <v>0</v>
      </c>
      <c r="CI245" s="459">
        <f t="shared" si="1408"/>
        <v>0</v>
      </c>
      <c r="CJ245" s="459">
        <f t="shared" si="1408"/>
        <v>0</v>
      </c>
      <c r="CK245" s="459">
        <f t="shared" si="1408"/>
        <v>0</v>
      </c>
      <c r="CL245" s="465"/>
      <c r="CM245" s="559">
        <f>BB245+BB247+BB248+BB250+BB252+BB254+BB256</f>
        <v>46330.339999999989</v>
      </c>
      <c r="CN245" s="559">
        <f>CM245+CO252-BG242</f>
        <v>46330.339999999989</v>
      </c>
      <c r="CO245" s="459">
        <f t="shared" si="1409"/>
        <v>0</v>
      </c>
      <c r="CP245" s="459"/>
      <c r="CQ245" s="459"/>
      <c r="CR245" s="459"/>
      <c r="CS245" s="459"/>
      <c r="CT245" s="459">
        <f t="shared" si="1410"/>
        <v>0</v>
      </c>
      <c r="CU245" s="459"/>
      <c r="CV245" s="459"/>
      <c r="CW245" s="459"/>
      <c r="CX245" s="459"/>
      <c r="CY245" s="459">
        <f t="shared" si="1411"/>
        <v>0</v>
      </c>
      <c r="CZ245" s="459">
        <f t="shared" ref="CZ245:DC257" si="1418">CP245-CU245</f>
        <v>0</v>
      </c>
      <c r="DA245" s="459">
        <f t="shared" si="1418"/>
        <v>0</v>
      </c>
      <c r="DB245" s="459">
        <f t="shared" si="1418"/>
        <v>0</v>
      </c>
      <c r="DC245" s="459">
        <f t="shared" si="1418"/>
        <v>0</v>
      </c>
      <c r="DD245" s="459"/>
      <c r="DE245" s="459"/>
      <c r="DF245" s="459"/>
      <c r="DG245" s="459">
        <f t="shared" si="1412"/>
        <v>0</v>
      </c>
      <c r="DH245" s="467"/>
      <c r="DI245" s="459">
        <f t="shared" si="1413"/>
        <v>8956.9555700000001</v>
      </c>
      <c r="DJ245" s="459">
        <f t="shared" si="1414"/>
        <v>8956.9555700000001</v>
      </c>
      <c r="DK245" s="467"/>
      <c r="DL245" s="560">
        <f>DJ245+DJ247+DJ248+DJ250+DJ252+DJ254+DJ256</f>
        <v>17523.94124</v>
      </c>
      <c r="DM245" s="560">
        <f>DG245+DG247+DG248+DG250+DG252+DG254+DG256</f>
        <v>0</v>
      </c>
      <c r="DN245" s="467"/>
      <c r="DO245" s="459">
        <f>CN245-DL245</f>
        <v>28806.398759999989</v>
      </c>
      <c r="DP245" s="467"/>
      <c r="DQ245" s="467"/>
      <c r="DR245" s="459">
        <f t="shared" si="1375"/>
        <v>8956.9555700000001</v>
      </c>
      <c r="DS245" s="459"/>
      <c r="DT245" s="459">
        <v>751.50000999999997</v>
      </c>
      <c r="DU245" s="459">
        <f>7282.69606+922.7595</f>
        <v>8205.4555600000003</v>
      </c>
      <c r="DV245" s="459"/>
      <c r="DW245" s="459">
        <f t="shared" si="1119"/>
        <v>1207.69389</v>
      </c>
      <c r="DX245" s="459"/>
      <c r="DY245" s="459">
        <v>259.94349</v>
      </c>
      <c r="DZ245" s="459">
        <f>106.581+841.1694</f>
        <v>947.75040000000001</v>
      </c>
      <c r="EA245" s="146"/>
      <c r="EB245" s="279"/>
      <c r="EC245" s="279"/>
      <c r="ED245" s="279"/>
      <c r="EE245" s="366"/>
      <c r="EF245" s="366"/>
      <c r="EG245" s="279"/>
      <c r="EH245" s="279"/>
      <c r="EI245" s="279"/>
      <c r="EJ245" s="366"/>
      <c r="EK245" s="366"/>
      <c r="EL245" s="366">
        <v>2.58E-2</v>
      </c>
      <c r="EM245" s="280"/>
      <c r="EN245" s="279"/>
      <c r="EO245" s="265" t="e">
        <f t="shared" si="1417"/>
        <v>#DIV/0!</v>
      </c>
      <c r="EP245" s="323">
        <f t="shared" si="1121"/>
        <v>1011.4435</v>
      </c>
      <c r="EQ245" s="323">
        <f t="shared" si="1175"/>
        <v>751.50000999999997</v>
      </c>
      <c r="ER245" s="323">
        <v>259.94349</v>
      </c>
      <c r="ES245" s="358">
        <f t="shared" ref="ES245:ES257" si="1419">EQ245/EP245</f>
        <v>0.74299751790386714</v>
      </c>
      <c r="ET245" s="358">
        <f t="shared" ref="ET245:ET257" si="1420">ER245/EP245</f>
        <v>0.25700248209613291</v>
      </c>
      <c r="EU245" s="323">
        <f t="shared" si="1122"/>
        <v>1011.4435</v>
      </c>
      <c r="EV245" s="323">
        <f t="shared" ref="EV245:EV257" si="1421">DT245</f>
        <v>751.50000999999997</v>
      </c>
      <c r="EW245" s="323">
        <f t="shared" ref="EW245:EW257" si="1422">DY245</f>
        <v>259.94349</v>
      </c>
      <c r="EX245" s="358">
        <f t="shared" ref="EX245:EX257" si="1423">EV245/EU245</f>
        <v>0.74299751790386714</v>
      </c>
      <c r="EY245" s="358">
        <f t="shared" ref="EY245:EY257" si="1424">EW245/EU245</f>
        <v>0.25700248209613291</v>
      </c>
      <c r="EZ245" s="358">
        <v>8.6099999999999996E-2</v>
      </c>
      <c r="FA245" s="323">
        <f t="shared" ref="FA245:FA257" si="1425">EU245*ES245</f>
        <v>751.50000999999997</v>
      </c>
      <c r="FB245" s="323">
        <f t="shared" si="1123"/>
        <v>0</v>
      </c>
      <c r="FC245" s="279">
        <f t="shared" ref="FC245" si="1426">FD245+FE245</f>
        <v>9153.2059600000011</v>
      </c>
      <c r="FD245" s="279">
        <f t="shared" ref="FD245" si="1427">AU245</f>
        <v>8205.4555600000003</v>
      </c>
      <c r="FE245" s="279">
        <v>947.75040000000001</v>
      </c>
      <c r="FF245" s="366">
        <f t="shared" ref="FF245" si="1428">FD245/FC245</f>
        <v>0.89645700051525978</v>
      </c>
      <c r="FG245" s="366">
        <f t="shared" ref="FG245" si="1429">FE245/FC245</f>
        <v>0.10354299948474009</v>
      </c>
      <c r="FH245" s="279">
        <f t="shared" ref="FH245" si="1430">FI245+FJ245</f>
        <v>9153.2059600000011</v>
      </c>
      <c r="FI245" s="279">
        <f t="shared" ref="FI245" si="1431">DU245</f>
        <v>8205.4555600000003</v>
      </c>
      <c r="FJ245" s="279">
        <f t="shared" ref="FJ245" si="1432">DZ245</f>
        <v>947.75040000000001</v>
      </c>
      <c r="FK245" s="366">
        <f t="shared" ref="FK245" si="1433">FI245/FH245</f>
        <v>0.89645700051525978</v>
      </c>
      <c r="FL245" s="366">
        <f t="shared" ref="FL245" si="1434">FJ245/FH245</f>
        <v>0.10354299948474009</v>
      </c>
      <c r="FM245" s="366">
        <v>8.6099999999999996E-2</v>
      </c>
      <c r="FN245" s="280">
        <f t="shared" ref="FN245" si="1435">FH245*FF245</f>
        <v>8205.4555600000003</v>
      </c>
      <c r="FO245" s="279">
        <f t="shared" ref="FO245" si="1436">FI245-FN245</f>
        <v>0</v>
      </c>
    </row>
    <row r="246" spans="2:171" s="40" customFormat="1" ht="15.75" customHeight="1" x14ac:dyDescent="0.25">
      <c r="B246" s="32"/>
      <c r="C246" s="33"/>
      <c r="D246" s="33">
        <v>1</v>
      </c>
      <c r="E246" s="434">
        <v>206</v>
      </c>
      <c r="F246" s="32"/>
      <c r="G246" s="33"/>
      <c r="H246" s="33">
        <v>1</v>
      </c>
      <c r="I246" s="434"/>
      <c r="J246" s="435"/>
      <c r="K246" s="435"/>
      <c r="L246" s="53"/>
      <c r="M246" s="434">
        <v>201</v>
      </c>
      <c r="N246" s="435" t="s">
        <v>152</v>
      </c>
      <c r="O246" s="435"/>
      <c r="P246" s="24">
        <f t="shared" si="1120"/>
        <v>0</v>
      </c>
      <c r="Q246" s="435"/>
      <c r="R246" s="435"/>
      <c r="S246" s="435" t="s">
        <v>491</v>
      </c>
      <c r="T246" s="435" t="s">
        <v>488</v>
      </c>
      <c r="U246" s="161">
        <v>1</v>
      </c>
      <c r="V246" s="434">
        <v>1</v>
      </c>
      <c r="W246" s="459">
        <f t="shared" si="1393"/>
        <v>843.2</v>
      </c>
      <c r="X246" s="459"/>
      <c r="Y246" s="460">
        <v>843.2</v>
      </c>
      <c r="Z246" s="459"/>
      <c r="AA246" s="461"/>
      <c r="AB246" s="459">
        <f t="shared" si="1394"/>
        <v>851</v>
      </c>
      <c r="AC246" s="459"/>
      <c r="AD246" s="460">
        <v>851</v>
      </c>
      <c r="AE246" s="459"/>
      <c r="AF246" s="461"/>
      <c r="AG246" s="459">
        <f t="shared" si="1395"/>
        <v>851</v>
      </c>
      <c r="AH246" s="459"/>
      <c r="AI246" s="460">
        <v>851</v>
      </c>
      <c r="AJ246" s="459"/>
      <c r="AK246" s="461"/>
      <c r="AL246" s="459">
        <f t="shared" si="1396"/>
        <v>370</v>
      </c>
      <c r="AM246" s="459"/>
      <c r="AN246" s="460">
        <v>370</v>
      </c>
      <c r="AO246" s="459"/>
      <c r="AP246" s="461"/>
      <c r="AQ246" s="383" t="s">
        <v>449</v>
      </c>
      <c r="AR246" s="459">
        <f t="shared" si="1397"/>
        <v>843.2</v>
      </c>
      <c r="AS246" s="459"/>
      <c r="AT246" s="462">
        <v>843.2</v>
      </c>
      <c r="AU246" s="459"/>
      <c r="AV246" s="459"/>
      <c r="AW246" s="459" t="e">
        <f t="shared" si="1398"/>
        <v>#REF!</v>
      </c>
      <c r="AX246" s="459" t="e">
        <f>#REF!-AS246</f>
        <v>#REF!</v>
      </c>
      <c r="AY246" s="459" t="e">
        <f>#REF!-AT246</f>
        <v>#REF!</v>
      </c>
      <c r="AZ246" s="459" t="e">
        <f>#REF!-AU246</f>
        <v>#REF!</v>
      </c>
      <c r="BA246" s="459" t="e">
        <f>#REF!-AV246</f>
        <v>#REF!</v>
      </c>
      <c r="BB246" s="459">
        <f t="shared" si="1399"/>
        <v>851</v>
      </c>
      <c r="BC246" s="459"/>
      <c r="BD246" s="460">
        <f>370+481</f>
        <v>851</v>
      </c>
      <c r="BE246" s="459"/>
      <c r="BF246" s="459"/>
      <c r="BG246" s="459">
        <f t="shared" si="1400"/>
        <v>0</v>
      </c>
      <c r="BH246" s="459"/>
      <c r="BI246" s="460"/>
      <c r="BJ246" s="459"/>
      <c r="BK246" s="459"/>
      <c r="BL246" s="459">
        <f t="shared" si="1401"/>
        <v>843.2</v>
      </c>
      <c r="BM246" s="459"/>
      <c r="BN246" s="460">
        <v>843.2</v>
      </c>
      <c r="BO246" s="459"/>
      <c r="BP246" s="459"/>
      <c r="BQ246" s="459">
        <f t="shared" si="1402"/>
        <v>843.2</v>
      </c>
      <c r="BR246" s="459"/>
      <c r="BS246" s="460">
        <v>843.2</v>
      </c>
      <c r="BT246" s="459"/>
      <c r="BU246" s="459"/>
      <c r="BV246" s="459">
        <f t="shared" si="1403"/>
        <v>328.24838999999997</v>
      </c>
      <c r="BW246" s="459"/>
      <c r="BX246" s="459">
        <v>328.24838999999997</v>
      </c>
      <c r="BY246" s="459"/>
      <c r="BZ246" s="459"/>
      <c r="CA246" s="464">
        <f t="shared" si="1404"/>
        <v>1171.44839</v>
      </c>
      <c r="CB246" s="459">
        <f t="shared" si="1405"/>
        <v>1171.44839</v>
      </c>
      <c r="CC246" s="459">
        <f t="shared" si="1406"/>
        <v>0</v>
      </c>
      <c r="CD246" s="459">
        <f t="shared" si="1406"/>
        <v>1171.44839</v>
      </c>
      <c r="CE246" s="459">
        <f t="shared" si="1406"/>
        <v>0</v>
      </c>
      <c r="CF246" s="459">
        <f t="shared" si="1406"/>
        <v>0</v>
      </c>
      <c r="CG246" s="459">
        <f t="shared" si="1407"/>
        <v>0</v>
      </c>
      <c r="CH246" s="459">
        <f t="shared" si="1408"/>
        <v>0</v>
      </c>
      <c r="CI246" s="459">
        <f t="shared" si="1408"/>
        <v>0</v>
      </c>
      <c r="CJ246" s="459">
        <f t="shared" si="1408"/>
        <v>0</v>
      </c>
      <c r="CK246" s="459">
        <f t="shared" si="1408"/>
        <v>0</v>
      </c>
      <c r="CL246" s="465"/>
      <c r="CM246" s="466">
        <f>BB242-CM243-CM245</f>
        <v>3270.5999999999985</v>
      </c>
      <c r="CN246" s="466">
        <f>CM246+CO253</f>
        <v>3270.5999999999985</v>
      </c>
      <c r="CO246" s="459">
        <f t="shared" si="1409"/>
        <v>0</v>
      </c>
      <c r="CP246" s="459"/>
      <c r="CQ246" s="460"/>
      <c r="CR246" s="459"/>
      <c r="CS246" s="459"/>
      <c r="CT246" s="459">
        <f t="shared" si="1410"/>
        <v>0</v>
      </c>
      <c r="CU246" s="459"/>
      <c r="CV246" s="460"/>
      <c r="CW246" s="459"/>
      <c r="CX246" s="459"/>
      <c r="CY246" s="459">
        <f t="shared" si="1411"/>
        <v>0</v>
      </c>
      <c r="CZ246" s="459">
        <f t="shared" si="1418"/>
        <v>0</v>
      </c>
      <c r="DA246" s="459">
        <f t="shared" si="1418"/>
        <v>0</v>
      </c>
      <c r="DB246" s="459">
        <f t="shared" si="1418"/>
        <v>0</v>
      </c>
      <c r="DC246" s="459">
        <f t="shared" si="1418"/>
        <v>0</v>
      </c>
      <c r="DD246" s="459"/>
      <c r="DE246" s="459"/>
      <c r="DF246" s="459"/>
      <c r="DG246" s="459">
        <f t="shared" si="1412"/>
        <v>0</v>
      </c>
      <c r="DH246" s="467"/>
      <c r="DI246" s="459">
        <f t="shared" si="1413"/>
        <v>843.2</v>
      </c>
      <c r="DJ246" s="459">
        <f t="shared" si="1414"/>
        <v>843.2</v>
      </c>
      <c r="DK246" s="467"/>
      <c r="DL246" s="459">
        <f>DJ246+DJ249+DJ251+DJ253+DJ255+DJ257</f>
        <v>19005.536</v>
      </c>
      <c r="DM246" s="459">
        <f>DG246+DG249+DG251+DG253+DG255+DG257</f>
        <v>0</v>
      </c>
      <c r="DN246" s="467"/>
      <c r="DO246" s="459">
        <f>CN246-DL246</f>
        <v>-15734.936000000002</v>
      </c>
      <c r="DP246" s="467"/>
      <c r="DQ246" s="467"/>
      <c r="DR246" s="459">
        <f t="shared" si="1375"/>
        <v>843.2</v>
      </c>
      <c r="DS246" s="459"/>
      <c r="DT246" s="460">
        <v>843.2</v>
      </c>
      <c r="DU246" s="459"/>
      <c r="DV246" s="459"/>
      <c r="DW246" s="459">
        <f t="shared" si="1119"/>
        <v>328.24838999999997</v>
      </c>
      <c r="DX246" s="459"/>
      <c r="DY246" s="459">
        <v>328.24838999999997</v>
      </c>
      <c r="DZ246" s="459"/>
      <c r="EA246" s="146"/>
      <c r="EB246" s="279"/>
      <c r="EC246" s="279"/>
      <c r="ED246" s="279"/>
      <c r="EE246" s="366"/>
      <c r="EF246" s="366"/>
      <c r="EG246" s="279"/>
      <c r="EH246" s="279"/>
      <c r="EI246" s="279"/>
      <c r="EJ246" s="366"/>
      <c r="EK246" s="366"/>
      <c r="EL246" s="366">
        <v>2.4E-2</v>
      </c>
      <c r="EM246" s="280"/>
      <c r="EN246" s="279"/>
      <c r="EO246" s="265" t="e">
        <f t="shared" si="1417"/>
        <v>#DIV/0!</v>
      </c>
      <c r="EP246" s="323">
        <f t="shared" ref="EP246" si="1437">EQ246+ER246</f>
        <v>1171.44839</v>
      </c>
      <c r="EQ246" s="323">
        <f t="shared" ref="EQ246" si="1438">AT246</f>
        <v>843.2</v>
      </c>
      <c r="ER246" s="323">
        <v>328.24838999999997</v>
      </c>
      <c r="ES246" s="358">
        <f t="shared" ref="ES246" si="1439">EQ246/EP246</f>
        <v>0.71979270038520438</v>
      </c>
      <c r="ET246" s="358">
        <f t="shared" ref="ET246" si="1440">ER246/EP246</f>
        <v>0.28020729961479562</v>
      </c>
      <c r="EU246" s="323">
        <f t="shared" ref="EU246" si="1441">EV246+EW246</f>
        <v>1171.44839</v>
      </c>
      <c r="EV246" s="323">
        <f t="shared" ref="EV246" si="1442">DT246</f>
        <v>843.2</v>
      </c>
      <c r="EW246" s="323">
        <f t="shared" ref="EW246" si="1443">DY246</f>
        <v>328.24838999999997</v>
      </c>
      <c r="EX246" s="358">
        <f t="shared" ref="EX246" si="1444">EV246/EU246</f>
        <v>0.71979270038520438</v>
      </c>
      <c r="EY246" s="358">
        <f t="shared" ref="EY246" si="1445">EW246/EU246</f>
        <v>0.28020729961479562</v>
      </c>
      <c r="EZ246" s="358">
        <v>0.08</v>
      </c>
      <c r="FA246" s="323">
        <f t="shared" ref="FA246" si="1446">EU246*ES246</f>
        <v>843.2</v>
      </c>
      <c r="FB246" s="323">
        <f t="shared" si="1123"/>
        <v>0</v>
      </c>
      <c r="FC246" s="279"/>
      <c r="FD246" s="279"/>
      <c r="FE246" s="279"/>
      <c r="FF246" s="366"/>
      <c r="FG246" s="366"/>
      <c r="FH246" s="279"/>
      <c r="FI246" s="279"/>
      <c r="FJ246" s="279"/>
      <c r="FK246" s="366"/>
      <c r="FL246" s="366"/>
      <c r="FM246" s="366">
        <v>0.08</v>
      </c>
      <c r="FN246" s="280"/>
      <c r="FO246" s="279"/>
    </row>
    <row r="247" spans="2:171" s="40" customFormat="1" ht="15.6" customHeight="1" x14ac:dyDescent="0.25">
      <c r="B247" s="32"/>
      <c r="C247" s="33">
        <v>1</v>
      </c>
      <c r="D247" s="33"/>
      <c r="E247" s="434">
        <v>207</v>
      </c>
      <c r="F247" s="32"/>
      <c r="G247" s="33">
        <v>1</v>
      </c>
      <c r="H247" s="33">
        <v>1</v>
      </c>
      <c r="I247" s="434"/>
      <c r="J247" s="435"/>
      <c r="K247" s="435"/>
      <c r="L247" s="53"/>
      <c r="M247" s="434">
        <v>202</v>
      </c>
      <c r="N247" s="435" t="s">
        <v>67</v>
      </c>
      <c r="O247" s="435"/>
      <c r="P247" s="24">
        <f t="shared" si="1120"/>
        <v>0</v>
      </c>
      <c r="Q247" s="435"/>
      <c r="R247" s="435"/>
      <c r="S247" s="435" t="s">
        <v>491</v>
      </c>
      <c r="T247" s="435" t="s">
        <v>488</v>
      </c>
      <c r="U247" s="161"/>
      <c r="V247" s="434"/>
      <c r="W247" s="459">
        <f t="shared" si="1393"/>
        <v>0</v>
      </c>
      <c r="X247" s="459"/>
      <c r="Y247" s="460">
        <f>1897.3-1897.3</f>
        <v>0</v>
      </c>
      <c r="Z247" s="459"/>
      <c r="AA247" s="461"/>
      <c r="AB247" s="459">
        <f t="shared" si="1394"/>
        <v>28856.1</v>
      </c>
      <c r="AC247" s="459">
        <v>27000</v>
      </c>
      <c r="AD247" s="460">
        <v>1856.1</v>
      </c>
      <c r="AE247" s="459"/>
      <c r="AF247" s="461"/>
      <c r="AG247" s="459">
        <f t="shared" si="1395"/>
        <v>1856.1</v>
      </c>
      <c r="AH247" s="459"/>
      <c r="AI247" s="460">
        <v>1856.1</v>
      </c>
      <c r="AJ247" s="459"/>
      <c r="AK247" s="461"/>
      <c r="AL247" s="459">
        <f t="shared" si="1396"/>
        <v>807</v>
      </c>
      <c r="AM247" s="459"/>
      <c r="AN247" s="460">
        <v>807</v>
      </c>
      <c r="AO247" s="459"/>
      <c r="AP247" s="461"/>
      <c r="AQ247" s="383"/>
      <c r="AR247" s="459">
        <f t="shared" si="1397"/>
        <v>0</v>
      </c>
      <c r="AS247" s="459"/>
      <c r="AT247" s="462"/>
      <c r="AU247" s="459"/>
      <c r="AV247" s="461"/>
      <c r="AW247" s="459" t="e">
        <f t="shared" si="1398"/>
        <v>#REF!</v>
      </c>
      <c r="AX247" s="459" t="e">
        <f>#REF!-AS247</f>
        <v>#REF!</v>
      </c>
      <c r="AY247" s="459" t="e">
        <f>#REF!-AT247</f>
        <v>#REF!</v>
      </c>
      <c r="AZ247" s="459" t="e">
        <f>#REF!-AU247</f>
        <v>#REF!</v>
      </c>
      <c r="BA247" s="459" t="e">
        <f>#REF!-AV247</f>
        <v>#REF!</v>
      </c>
      <c r="BB247" s="459">
        <f t="shared" si="1399"/>
        <v>28856.1</v>
      </c>
      <c r="BC247" s="459">
        <f>19396.50385+7603.49615</f>
        <v>27000</v>
      </c>
      <c r="BD247" s="460">
        <f>807+1049.1</f>
        <v>1856.1</v>
      </c>
      <c r="BE247" s="459"/>
      <c r="BF247" s="461"/>
      <c r="BG247" s="459">
        <f t="shared" si="1400"/>
        <v>0</v>
      </c>
      <c r="BH247" s="459"/>
      <c r="BI247" s="460"/>
      <c r="BJ247" s="459"/>
      <c r="BK247" s="461"/>
      <c r="BL247" s="459">
        <f t="shared" si="1401"/>
        <v>0</v>
      </c>
      <c r="BM247" s="459"/>
      <c r="BN247" s="460"/>
      <c r="BO247" s="459"/>
      <c r="BP247" s="470"/>
      <c r="BQ247" s="459">
        <f t="shared" si="1402"/>
        <v>0</v>
      </c>
      <c r="BR247" s="459"/>
      <c r="BS247" s="470"/>
      <c r="BT247" s="459"/>
      <c r="BU247" s="470"/>
      <c r="BV247" s="459">
        <f t="shared" si="1403"/>
        <v>0</v>
      </c>
      <c r="BW247" s="459"/>
      <c r="BX247" s="459"/>
      <c r="BY247" s="459"/>
      <c r="BZ247" s="459"/>
      <c r="CA247" s="464">
        <f t="shared" si="1404"/>
        <v>0</v>
      </c>
      <c r="CB247" s="459">
        <f t="shared" si="1405"/>
        <v>0</v>
      </c>
      <c r="CC247" s="459">
        <f t="shared" si="1406"/>
        <v>0</v>
      </c>
      <c r="CD247" s="459">
        <f t="shared" si="1406"/>
        <v>0</v>
      </c>
      <c r="CE247" s="459">
        <f t="shared" si="1406"/>
        <v>0</v>
      </c>
      <c r="CF247" s="459">
        <f t="shared" si="1406"/>
        <v>0</v>
      </c>
      <c r="CG247" s="459">
        <f t="shared" si="1407"/>
        <v>0</v>
      </c>
      <c r="CH247" s="459">
        <f t="shared" si="1408"/>
        <v>0</v>
      </c>
      <c r="CI247" s="459">
        <f t="shared" si="1408"/>
        <v>0</v>
      </c>
      <c r="CJ247" s="459">
        <f t="shared" si="1408"/>
        <v>0</v>
      </c>
      <c r="CK247" s="459">
        <f t="shared" si="1408"/>
        <v>0</v>
      </c>
      <c r="CL247" s="465"/>
      <c r="CM247" s="466"/>
      <c r="CN247" s="466"/>
      <c r="CO247" s="459">
        <f t="shared" si="1409"/>
        <v>0</v>
      </c>
      <c r="CP247" s="459"/>
      <c r="CQ247" s="460"/>
      <c r="CR247" s="459"/>
      <c r="CS247" s="461"/>
      <c r="CT247" s="459">
        <f t="shared" si="1410"/>
        <v>0</v>
      </c>
      <c r="CU247" s="459"/>
      <c r="CV247" s="460"/>
      <c r="CW247" s="459"/>
      <c r="CX247" s="461"/>
      <c r="CY247" s="459">
        <f t="shared" si="1411"/>
        <v>0</v>
      </c>
      <c r="CZ247" s="459">
        <f t="shared" si="1418"/>
        <v>0</v>
      </c>
      <c r="DA247" s="459">
        <f t="shared" si="1418"/>
        <v>0</v>
      </c>
      <c r="DB247" s="459">
        <f t="shared" si="1418"/>
        <v>0</v>
      </c>
      <c r="DC247" s="459">
        <f t="shared" si="1418"/>
        <v>0</v>
      </c>
      <c r="DD247" s="459"/>
      <c r="DE247" s="459"/>
      <c r="DF247" s="459"/>
      <c r="DG247" s="459">
        <f t="shared" si="1412"/>
        <v>0</v>
      </c>
      <c r="DH247" s="467"/>
      <c r="DI247" s="459">
        <f t="shared" si="1413"/>
        <v>0</v>
      </c>
      <c r="DJ247" s="459">
        <f t="shared" si="1414"/>
        <v>0</v>
      </c>
      <c r="DK247" s="467"/>
      <c r="DL247" s="459"/>
      <c r="DM247" s="459"/>
      <c r="DN247" s="467"/>
      <c r="DO247" s="459"/>
      <c r="DP247" s="467"/>
      <c r="DQ247" s="467"/>
      <c r="DR247" s="459">
        <f t="shared" si="1375"/>
        <v>0</v>
      </c>
      <c r="DS247" s="459"/>
      <c r="DT247" s="470"/>
      <c r="DU247" s="459"/>
      <c r="DV247" s="470"/>
      <c r="DW247" s="459">
        <f t="shared" si="1119"/>
        <v>0</v>
      </c>
      <c r="DX247" s="459"/>
      <c r="DY247" s="459"/>
      <c r="DZ247" s="459"/>
      <c r="EA247" s="146"/>
      <c r="EB247" s="279"/>
      <c r="EC247" s="279"/>
      <c r="ED247" s="279"/>
      <c r="EE247" s="366"/>
      <c r="EF247" s="366"/>
      <c r="EG247" s="279"/>
      <c r="EH247" s="279"/>
      <c r="EI247" s="279"/>
      <c r="EJ247" s="366"/>
      <c r="EK247" s="366"/>
      <c r="EL247" s="366">
        <v>2.2200000000000001E-2</v>
      </c>
      <c r="EM247" s="280"/>
      <c r="EN247" s="279"/>
      <c r="EO247" s="265" t="e">
        <f t="shared" si="1417"/>
        <v>#DIV/0!</v>
      </c>
      <c r="EP247" s="323"/>
      <c r="EQ247" s="323"/>
      <c r="ER247" s="323"/>
      <c r="ES247" s="358"/>
      <c r="ET247" s="358"/>
      <c r="EU247" s="323"/>
      <c r="EV247" s="323"/>
      <c r="EW247" s="323"/>
      <c r="EX247" s="358"/>
      <c r="EY247" s="358"/>
      <c r="EZ247" s="358">
        <v>7.3999999999999996E-2</v>
      </c>
      <c r="FA247" s="323"/>
      <c r="FB247" s="323">
        <f t="shared" si="1123"/>
        <v>0</v>
      </c>
      <c r="FC247" s="279"/>
      <c r="FD247" s="279"/>
      <c r="FE247" s="279"/>
      <c r="FF247" s="366"/>
      <c r="FG247" s="366"/>
      <c r="FH247" s="279"/>
      <c r="FI247" s="279"/>
      <c r="FJ247" s="279"/>
      <c r="FK247" s="366"/>
      <c r="FL247" s="366"/>
      <c r="FM247" s="366">
        <v>7.3999999999999996E-2</v>
      </c>
      <c r="FN247" s="280"/>
      <c r="FO247" s="279"/>
    </row>
    <row r="248" spans="2:171" s="40" customFormat="1" ht="15.75" customHeight="1" x14ac:dyDescent="0.25">
      <c r="B248" s="32"/>
      <c r="C248" s="33">
        <v>1</v>
      </c>
      <c r="D248" s="33"/>
      <c r="E248" s="434">
        <v>208</v>
      </c>
      <c r="F248" s="32"/>
      <c r="G248" s="33">
        <v>1</v>
      </c>
      <c r="H248" s="33">
        <v>1</v>
      </c>
      <c r="I248" s="434"/>
      <c r="J248" s="435"/>
      <c r="K248" s="435"/>
      <c r="L248" s="53"/>
      <c r="M248" s="434">
        <v>203</v>
      </c>
      <c r="N248" s="435" t="s">
        <v>62</v>
      </c>
      <c r="O248" s="435"/>
      <c r="P248" s="24">
        <f t="shared" si="1120"/>
        <v>0</v>
      </c>
      <c r="Q248" s="435" t="s">
        <v>490</v>
      </c>
      <c r="R248" s="435" t="s">
        <v>488</v>
      </c>
      <c r="S248" s="435" t="s">
        <v>490</v>
      </c>
      <c r="T248" s="435" t="s">
        <v>488</v>
      </c>
      <c r="U248" s="161">
        <v>1</v>
      </c>
      <c r="V248" s="434">
        <v>1</v>
      </c>
      <c r="W248" s="459">
        <f t="shared" si="1393"/>
        <v>747</v>
      </c>
      <c r="X248" s="459"/>
      <c r="Y248" s="460">
        <v>747</v>
      </c>
      <c r="Z248" s="459"/>
      <c r="AA248" s="461"/>
      <c r="AB248" s="459">
        <f t="shared" si="1394"/>
        <v>593.4</v>
      </c>
      <c r="AC248" s="459"/>
      <c r="AD248" s="460">
        <v>593.4</v>
      </c>
      <c r="AE248" s="459"/>
      <c r="AF248" s="461"/>
      <c r="AG248" s="459">
        <f t="shared" si="1395"/>
        <v>593.4</v>
      </c>
      <c r="AH248" s="459"/>
      <c r="AI248" s="460">
        <v>593.4</v>
      </c>
      <c r="AJ248" s="459"/>
      <c r="AK248" s="461"/>
      <c r="AL248" s="459">
        <f t="shared" si="1396"/>
        <v>258</v>
      </c>
      <c r="AM248" s="459"/>
      <c r="AN248" s="460">
        <v>258</v>
      </c>
      <c r="AO248" s="459"/>
      <c r="AP248" s="461"/>
      <c r="AQ248" s="383" t="s">
        <v>514</v>
      </c>
      <c r="AR248" s="459">
        <f t="shared" si="1397"/>
        <v>747</v>
      </c>
      <c r="AS248" s="459"/>
      <c r="AT248" s="462">
        <v>747</v>
      </c>
      <c r="AU248" s="459"/>
      <c r="AV248" s="461"/>
      <c r="AW248" s="459" t="e">
        <f t="shared" si="1398"/>
        <v>#REF!</v>
      </c>
      <c r="AX248" s="459" t="e">
        <f>#REF!-AS248</f>
        <v>#REF!</v>
      </c>
      <c r="AY248" s="459" t="e">
        <f>#REF!-AT248</f>
        <v>#REF!</v>
      </c>
      <c r="AZ248" s="459" t="e">
        <f>#REF!-AU248</f>
        <v>#REF!</v>
      </c>
      <c r="BA248" s="459" t="e">
        <f>#REF!-AV248</f>
        <v>#REF!</v>
      </c>
      <c r="BB248" s="459">
        <f t="shared" si="1399"/>
        <v>0</v>
      </c>
      <c r="BC248" s="459"/>
      <c r="BD248" s="460"/>
      <c r="BE248" s="459"/>
      <c r="BF248" s="461"/>
      <c r="BG248" s="459">
        <f t="shared" si="1400"/>
        <v>0</v>
      </c>
      <c r="BH248" s="459"/>
      <c r="BI248" s="460"/>
      <c r="BJ248" s="459"/>
      <c r="BK248" s="461"/>
      <c r="BL248" s="459">
        <f t="shared" si="1401"/>
        <v>747</v>
      </c>
      <c r="BM248" s="459"/>
      <c r="BN248" s="462">
        <v>747</v>
      </c>
      <c r="BO248" s="459"/>
      <c r="BP248" s="470"/>
      <c r="BQ248" s="459">
        <f t="shared" si="1402"/>
        <v>747</v>
      </c>
      <c r="BR248" s="459"/>
      <c r="BS248" s="462">
        <v>747</v>
      </c>
      <c r="BT248" s="459"/>
      <c r="BU248" s="470"/>
      <c r="BV248" s="459">
        <f t="shared" si="1403"/>
        <v>148.49284</v>
      </c>
      <c r="BW248" s="459"/>
      <c r="BX248" s="459">
        <f>39.81647+108.67637</f>
        <v>148.49284</v>
      </c>
      <c r="BY248" s="459"/>
      <c r="BZ248" s="459"/>
      <c r="CA248" s="464">
        <f t="shared" si="1404"/>
        <v>895.49284</v>
      </c>
      <c r="CB248" s="459">
        <f t="shared" si="1405"/>
        <v>895.49284</v>
      </c>
      <c r="CC248" s="459">
        <f t="shared" si="1406"/>
        <v>0</v>
      </c>
      <c r="CD248" s="459">
        <f t="shared" si="1406"/>
        <v>895.49284</v>
      </c>
      <c r="CE248" s="459">
        <f t="shared" si="1406"/>
        <v>0</v>
      </c>
      <c r="CF248" s="459">
        <f t="shared" si="1406"/>
        <v>0</v>
      </c>
      <c r="CG248" s="459">
        <f t="shared" si="1407"/>
        <v>0</v>
      </c>
      <c r="CH248" s="459">
        <f t="shared" si="1408"/>
        <v>0</v>
      </c>
      <c r="CI248" s="459">
        <f t="shared" si="1408"/>
        <v>0</v>
      </c>
      <c r="CJ248" s="459">
        <f t="shared" si="1408"/>
        <v>0</v>
      </c>
      <c r="CK248" s="459">
        <f t="shared" si="1408"/>
        <v>0</v>
      </c>
      <c r="CL248" s="465"/>
      <c r="CM248" s="466"/>
      <c r="CN248" s="466"/>
      <c r="CO248" s="459">
        <f t="shared" si="1409"/>
        <v>0</v>
      </c>
      <c r="CP248" s="459"/>
      <c r="CQ248" s="460"/>
      <c r="CR248" s="459"/>
      <c r="CS248" s="461"/>
      <c r="CT248" s="459">
        <f t="shared" si="1410"/>
        <v>0</v>
      </c>
      <c r="CU248" s="459"/>
      <c r="CV248" s="460"/>
      <c r="CW248" s="459"/>
      <c r="CX248" s="461"/>
      <c r="CY248" s="459">
        <f t="shared" si="1411"/>
        <v>0</v>
      </c>
      <c r="CZ248" s="459">
        <f t="shared" si="1418"/>
        <v>0</v>
      </c>
      <c r="DA248" s="459">
        <f t="shared" si="1418"/>
        <v>0</v>
      </c>
      <c r="DB248" s="459">
        <f t="shared" si="1418"/>
        <v>0</v>
      </c>
      <c r="DC248" s="459">
        <f t="shared" si="1418"/>
        <v>0</v>
      </c>
      <c r="DD248" s="459"/>
      <c r="DE248" s="459"/>
      <c r="DF248" s="459"/>
      <c r="DG248" s="459">
        <f t="shared" si="1412"/>
        <v>0</v>
      </c>
      <c r="DH248" s="467"/>
      <c r="DI248" s="459">
        <f t="shared" si="1413"/>
        <v>747</v>
      </c>
      <c r="DJ248" s="459">
        <f t="shared" si="1414"/>
        <v>747</v>
      </c>
      <c r="DK248" s="467"/>
      <c r="DL248" s="459"/>
      <c r="DM248" s="459"/>
      <c r="DN248" s="467"/>
      <c r="DO248" s="459"/>
      <c r="DP248" s="467"/>
      <c r="DQ248" s="467"/>
      <c r="DR248" s="459">
        <f t="shared" si="1375"/>
        <v>747</v>
      </c>
      <c r="DS248" s="459"/>
      <c r="DT248" s="460">
        <v>747</v>
      </c>
      <c r="DU248" s="459"/>
      <c r="DV248" s="470"/>
      <c r="DW248" s="459">
        <f t="shared" si="1119"/>
        <v>148.49284</v>
      </c>
      <c r="DX248" s="459"/>
      <c r="DY248" s="459">
        <v>148.49284</v>
      </c>
      <c r="DZ248" s="459"/>
      <c r="EA248" s="146"/>
      <c r="EB248" s="279"/>
      <c r="EC248" s="279"/>
      <c r="ED248" s="279"/>
      <c r="EE248" s="366"/>
      <c r="EF248" s="366"/>
      <c r="EG248" s="279"/>
      <c r="EH248" s="279"/>
      <c r="EI248" s="279"/>
      <c r="EJ248" s="366"/>
      <c r="EK248" s="366"/>
      <c r="EL248" s="366">
        <v>0.02</v>
      </c>
      <c r="EM248" s="280"/>
      <c r="EN248" s="279"/>
      <c r="EO248" s="265" t="e">
        <f t="shared" si="1417"/>
        <v>#DIV/0!</v>
      </c>
      <c r="EP248" s="323">
        <f t="shared" si="1121"/>
        <v>895.49284</v>
      </c>
      <c r="EQ248" s="323">
        <f t="shared" si="1175"/>
        <v>747</v>
      </c>
      <c r="ER248" s="323">
        <v>148.49284</v>
      </c>
      <c r="ES248" s="358">
        <f t="shared" si="1419"/>
        <v>0.83417752396546241</v>
      </c>
      <c r="ET248" s="358">
        <f t="shared" si="1420"/>
        <v>0.16582247603453759</v>
      </c>
      <c r="EU248" s="323">
        <f t="shared" si="1122"/>
        <v>895.49284</v>
      </c>
      <c r="EV248" s="323">
        <f t="shared" si="1421"/>
        <v>747</v>
      </c>
      <c r="EW248" s="323">
        <f t="shared" si="1422"/>
        <v>148.49284</v>
      </c>
      <c r="EX248" s="358">
        <f t="shared" si="1423"/>
        <v>0.83417752396546241</v>
      </c>
      <c r="EY248" s="358">
        <f t="shared" si="1424"/>
        <v>0.16582247603453759</v>
      </c>
      <c r="EZ248" s="358">
        <v>6.6799999999999998E-2</v>
      </c>
      <c r="FA248" s="323">
        <f t="shared" si="1425"/>
        <v>747</v>
      </c>
      <c r="FB248" s="323">
        <f t="shared" si="1123"/>
        <v>0</v>
      </c>
      <c r="FC248" s="279"/>
      <c r="FD248" s="279"/>
      <c r="FE248" s="279"/>
      <c r="FF248" s="366"/>
      <c r="FG248" s="366"/>
      <c r="FH248" s="279"/>
      <c r="FI248" s="279"/>
      <c r="FJ248" s="279"/>
      <c r="FK248" s="366"/>
      <c r="FL248" s="366"/>
      <c r="FM248" s="366">
        <v>6.6799999999999998E-2</v>
      </c>
      <c r="FN248" s="280"/>
      <c r="FO248" s="279"/>
    </row>
    <row r="249" spans="2:171" s="40" customFormat="1" ht="15.6" customHeight="1" x14ac:dyDescent="0.25">
      <c r="B249" s="32"/>
      <c r="C249" s="33"/>
      <c r="D249" s="33">
        <v>1</v>
      </c>
      <c r="E249" s="434">
        <v>209</v>
      </c>
      <c r="F249" s="32"/>
      <c r="G249" s="33"/>
      <c r="H249" s="33">
        <v>1</v>
      </c>
      <c r="I249" s="434"/>
      <c r="J249" s="435"/>
      <c r="K249" s="435"/>
      <c r="L249" s="53"/>
      <c r="M249" s="434">
        <v>204</v>
      </c>
      <c r="N249" s="435" t="s">
        <v>153</v>
      </c>
      <c r="O249" s="435"/>
      <c r="P249" s="24">
        <f t="shared" si="1120"/>
        <v>0</v>
      </c>
      <c r="Q249" s="435"/>
      <c r="R249" s="435"/>
      <c r="S249" s="435"/>
      <c r="T249" s="435"/>
      <c r="U249" s="161">
        <v>1</v>
      </c>
      <c r="V249" s="434"/>
      <c r="W249" s="459">
        <f t="shared" si="1393"/>
        <v>478.9</v>
      </c>
      <c r="X249" s="459"/>
      <c r="Y249" s="460">
        <v>478.9</v>
      </c>
      <c r="Z249" s="461"/>
      <c r="AA249" s="461"/>
      <c r="AB249" s="459">
        <f t="shared" si="1394"/>
        <v>384.1</v>
      </c>
      <c r="AC249" s="459"/>
      <c r="AD249" s="460">
        <v>384.1</v>
      </c>
      <c r="AE249" s="461"/>
      <c r="AF249" s="461"/>
      <c r="AG249" s="459">
        <f t="shared" si="1395"/>
        <v>384.1</v>
      </c>
      <c r="AH249" s="459"/>
      <c r="AI249" s="460">
        <v>384.1</v>
      </c>
      <c r="AJ249" s="461"/>
      <c r="AK249" s="461"/>
      <c r="AL249" s="459">
        <f t="shared" si="1396"/>
        <v>167</v>
      </c>
      <c r="AM249" s="459"/>
      <c r="AN249" s="460">
        <v>167</v>
      </c>
      <c r="AO249" s="461"/>
      <c r="AP249" s="461"/>
      <c r="AQ249" s="383" t="s">
        <v>395</v>
      </c>
      <c r="AR249" s="459">
        <f t="shared" si="1397"/>
        <v>478.9</v>
      </c>
      <c r="AS249" s="459"/>
      <c r="AT249" s="462">
        <v>478.9</v>
      </c>
      <c r="AU249" s="461"/>
      <c r="AV249" s="461"/>
      <c r="AW249" s="459" t="e">
        <f t="shared" si="1398"/>
        <v>#REF!</v>
      </c>
      <c r="AX249" s="459" t="e">
        <f>#REF!-AS249</f>
        <v>#REF!</v>
      </c>
      <c r="AY249" s="459" t="e">
        <f>#REF!-AT249</f>
        <v>#REF!</v>
      </c>
      <c r="AZ249" s="459" t="e">
        <f>#REF!-AU249</f>
        <v>#REF!</v>
      </c>
      <c r="BA249" s="459" t="e">
        <f>#REF!-AV249</f>
        <v>#REF!</v>
      </c>
      <c r="BB249" s="459">
        <f t="shared" si="1399"/>
        <v>384.1</v>
      </c>
      <c r="BC249" s="459"/>
      <c r="BD249" s="460">
        <f>167+217.1</f>
        <v>384.1</v>
      </c>
      <c r="BE249" s="461"/>
      <c r="BF249" s="461"/>
      <c r="BG249" s="459">
        <f t="shared" si="1400"/>
        <v>0</v>
      </c>
      <c r="BH249" s="459"/>
      <c r="BI249" s="460"/>
      <c r="BJ249" s="461"/>
      <c r="BK249" s="461"/>
      <c r="BL249" s="459">
        <f t="shared" si="1401"/>
        <v>478.9</v>
      </c>
      <c r="BM249" s="459"/>
      <c r="BN249" s="462">
        <v>478.9</v>
      </c>
      <c r="BO249" s="470"/>
      <c r="BP249" s="470"/>
      <c r="BQ249" s="459">
        <f t="shared" si="1402"/>
        <v>478.9</v>
      </c>
      <c r="BR249" s="459"/>
      <c r="BS249" s="462">
        <v>478.9</v>
      </c>
      <c r="BT249" s="470"/>
      <c r="BU249" s="470"/>
      <c r="BV249" s="459">
        <f t="shared" si="1403"/>
        <v>300</v>
      </c>
      <c r="BW249" s="459"/>
      <c r="BX249" s="459">
        <v>300</v>
      </c>
      <c r="BY249" s="459"/>
      <c r="BZ249" s="459"/>
      <c r="CA249" s="464">
        <f t="shared" si="1404"/>
        <v>778.9</v>
      </c>
      <c r="CB249" s="459">
        <f t="shared" si="1405"/>
        <v>778.9</v>
      </c>
      <c r="CC249" s="459">
        <f t="shared" si="1406"/>
        <v>0</v>
      </c>
      <c r="CD249" s="459">
        <f t="shared" si="1406"/>
        <v>778.9</v>
      </c>
      <c r="CE249" s="459">
        <f t="shared" si="1406"/>
        <v>0</v>
      </c>
      <c r="CF249" s="459">
        <f t="shared" si="1406"/>
        <v>0</v>
      </c>
      <c r="CG249" s="459">
        <f t="shared" si="1407"/>
        <v>0</v>
      </c>
      <c r="CH249" s="459">
        <f t="shared" si="1408"/>
        <v>0</v>
      </c>
      <c r="CI249" s="459">
        <f t="shared" si="1408"/>
        <v>0</v>
      </c>
      <c r="CJ249" s="459">
        <f t="shared" si="1408"/>
        <v>0</v>
      </c>
      <c r="CK249" s="459">
        <f t="shared" si="1408"/>
        <v>0</v>
      </c>
      <c r="CL249" s="465"/>
      <c r="CM249" s="466"/>
      <c r="CN249" s="466"/>
      <c r="CO249" s="459">
        <f t="shared" si="1409"/>
        <v>0</v>
      </c>
      <c r="CP249" s="459"/>
      <c r="CQ249" s="460"/>
      <c r="CR249" s="461"/>
      <c r="CS249" s="461"/>
      <c r="CT249" s="459">
        <f t="shared" si="1410"/>
        <v>0</v>
      </c>
      <c r="CU249" s="459"/>
      <c r="CV249" s="460"/>
      <c r="CW249" s="461"/>
      <c r="CX249" s="461"/>
      <c r="CY249" s="459">
        <f t="shared" si="1411"/>
        <v>0</v>
      </c>
      <c r="CZ249" s="459">
        <f t="shared" si="1418"/>
        <v>0</v>
      </c>
      <c r="DA249" s="459">
        <f t="shared" si="1418"/>
        <v>0</v>
      </c>
      <c r="DB249" s="459">
        <f t="shared" si="1418"/>
        <v>0</v>
      </c>
      <c r="DC249" s="459">
        <f t="shared" si="1418"/>
        <v>0</v>
      </c>
      <c r="DD249" s="459"/>
      <c r="DE249" s="459"/>
      <c r="DF249" s="459"/>
      <c r="DG249" s="459">
        <f t="shared" si="1412"/>
        <v>0</v>
      </c>
      <c r="DH249" s="467"/>
      <c r="DI249" s="459">
        <f t="shared" si="1413"/>
        <v>478.9</v>
      </c>
      <c r="DJ249" s="459">
        <f t="shared" si="1414"/>
        <v>478.9</v>
      </c>
      <c r="DK249" s="467"/>
      <c r="DL249" s="459"/>
      <c r="DM249" s="459"/>
      <c r="DN249" s="467"/>
      <c r="DO249" s="459"/>
      <c r="DP249" s="467"/>
      <c r="DQ249" s="467"/>
      <c r="DR249" s="459">
        <f t="shared" si="1375"/>
        <v>478.9</v>
      </c>
      <c r="DS249" s="459"/>
      <c r="DT249" s="462">
        <v>478.9</v>
      </c>
      <c r="DU249" s="470"/>
      <c r="DV249" s="470"/>
      <c r="DW249" s="459">
        <f t="shared" si="1119"/>
        <v>300</v>
      </c>
      <c r="DX249" s="459"/>
      <c r="DY249" s="459">
        <v>300</v>
      </c>
      <c r="DZ249" s="459"/>
      <c r="EA249" s="146"/>
      <c r="EB249" s="279"/>
      <c r="EC249" s="279"/>
      <c r="ED249" s="279"/>
      <c r="EE249" s="366"/>
      <c r="EF249" s="366"/>
      <c r="EG249" s="279"/>
      <c r="EH249" s="279"/>
      <c r="EI249" s="279"/>
      <c r="EJ249" s="366"/>
      <c r="EK249" s="366"/>
      <c r="EL249" s="366">
        <v>2.58E-2</v>
      </c>
      <c r="EM249" s="280"/>
      <c r="EN249" s="279"/>
      <c r="EO249" s="265" t="e">
        <f t="shared" si="1417"/>
        <v>#DIV/0!</v>
      </c>
      <c r="EP249" s="323">
        <f t="shared" ref="EP249" si="1447">EQ249+ER249</f>
        <v>778.9</v>
      </c>
      <c r="EQ249" s="323">
        <f t="shared" ref="EQ249" si="1448">AT249</f>
        <v>478.9</v>
      </c>
      <c r="ER249" s="323">
        <v>300</v>
      </c>
      <c r="ES249" s="358">
        <f t="shared" ref="ES249" si="1449">EQ249/EP249</f>
        <v>0.61484144306072663</v>
      </c>
      <c r="ET249" s="358">
        <f t="shared" ref="ET249" si="1450">ER249/EP249</f>
        <v>0.38515855693927337</v>
      </c>
      <c r="EU249" s="323">
        <f t="shared" ref="EU249" si="1451">EV249+EW249</f>
        <v>778.9</v>
      </c>
      <c r="EV249" s="323">
        <f t="shared" ref="EV249" si="1452">DT249</f>
        <v>478.9</v>
      </c>
      <c r="EW249" s="323">
        <f t="shared" ref="EW249" si="1453">DY249</f>
        <v>300</v>
      </c>
      <c r="EX249" s="358">
        <f t="shared" ref="EX249" si="1454">EV249/EU249</f>
        <v>0.61484144306072663</v>
      </c>
      <c r="EY249" s="358">
        <f t="shared" ref="EY249" si="1455">EW249/EU249</f>
        <v>0.38515855693927337</v>
      </c>
      <c r="EZ249" s="358">
        <v>8.5900000000000004E-2</v>
      </c>
      <c r="FA249" s="323">
        <f t="shared" ref="FA249" si="1456">EU249*ES249</f>
        <v>478.9</v>
      </c>
      <c r="FB249" s="323">
        <f t="shared" si="1123"/>
        <v>0</v>
      </c>
      <c r="FC249" s="279"/>
      <c r="FD249" s="279"/>
      <c r="FE249" s="279"/>
      <c r="FF249" s="366"/>
      <c r="FG249" s="366"/>
      <c r="FH249" s="279"/>
      <c r="FI249" s="279"/>
      <c r="FJ249" s="279"/>
      <c r="FK249" s="366"/>
      <c r="FL249" s="366"/>
      <c r="FM249" s="366">
        <v>8.5900000000000004E-2</v>
      </c>
      <c r="FN249" s="280"/>
      <c r="FO249" s="279"/>
    </row>
    <row r="250" spans="2:171" s="40" customFormat="1" ht="15.6" customHeight="1" x14ac:dyDescent="0.25">
      <c r="B250" s="32"/>
      <c r="C250" s="33">
        <v>1</v>
      </c>
      <c r="D250" s="33"/>
      <c r="E250" s="434">
        <v>210</v>
      </c>
      <c r="F250" s="32"/>
      <c r="G250" s="33">
        <v>1</v>
      </c>
      <c r="H250" s="33">
        <v>1</v>
      </c>
      <c r="M250" s="434">
        <v>205</v>
      </c>
      <c r="N250" s="435" t="s">
        <v>69</v>
      </c>
      <c r="O250" s="435"/>
      <c r="P250" s="24">
        <f t="shared" si="1120"/>
        <v>0</v>
      </c>
      <c r="Q250" s="435" t="s">
        <v>490</v>
      </c>
      <c r="R250" s="435" t="s">
        <v>488</v>
      </c>
      <c r="S250" s="435"/>
      <c r="T250" s="435"/>
      <c r="U250" s="161">
        <v>1</v>
      </c>
      <c r="V250" s="434">
        <v>2</v>
      </c>
      <c r="W250" s="459">
        <f t="shared" si="1393"/>
        <v>867.8</v>
      </c>
      <c r="X250" s="459"/>
      <c r="Y250" s="460">
        <f>478.9+388.9</f>
        <v>867.8</v>
      </c>
      <c r="Z250" s="459"/>
      <c r="AA250" s="464"/>
      <c r="AB250" s="459">
        <f t="shared" si="1394"/>
        <v>483</v>
      </c>
      <c r="AC250" s="459"/>
      <c r="AD250" s="460">
        <v>483</v>
      </c>
      <c r="AE250" s="459"/>
      <c r="AF250" s="464"/>
      <c r="AG250" s="459">
        <f t="shared" si="1395"/>
        <v>483</v>
      </c>
      <c r="AH250" s="459"/>
      <c r="AI250" s="460">
        <v>483</v>
      </c>
      <c r="AJ250" s="459"/>
      <c r="AK250" s="464"/>
      <c r="AL250" s="459">
        <f t="shared" si="1396"/>
        <v>210</v>
      </c>
      <c r="AM250" s="459"/>
      <c r="AN250" s="460">
        <v>210</v>
      </c>
      <c r="AO250" s="459"/>
      <c r="AP250" s="459"/>
      <c r="AQ250" s="383" t="s">
        <v>536</v>
      </c>
      <c r="AR250" s="459">
        <f t="shared" si="1397"/>
        <v>789.91644999999994</v>
      </c>
      <c r="AS250" s="459"/>
      <c r="AT250" s="460">
        <f>478.9+388.9-77.88355</f>
        <v>789.91644999999994</v>
      </c>
      <c r="AU250" s="459"/>
      <c r="AV250" s="459"/>
      <c r="AW250" s="459" t="e">
        <f t="shared" si="1398"/>
        <v>#REF!</v>
      </c>
      <c r="AX250" s="459" t="e">
        <f>#REF!-AS250</f>
        <v>#REF!</v>
      </c>
      <c r="AY250" s="459" t="e">
        <f>#REF!-AT250</f>
        <v>#REF!</v>
      </c>
      <c r="AZ250" s="459" t="e">
        <f>#REF!-AU250</f>
        <v>#REF!</v>
      </c>
      <c r="BA250" s="459" t="e">
        <f>#REF!-AV250</f>
        <v>#REF!</v>
      </c>
      <c r="BB250" s="459">
        <f t="shared" si="1399"/>
        <v>483</v>
      </c>
      <c r="BC250" s="459"/>
      <c r="BD250" s="460">
        <v>483</v>
      </c>
      <c r="BE250" s="459"/>
      <c r="BF250" s="459"/>
      <c r="BG250" s="459">
        <f t="shared" si="1400"/>
        <v>0</v>
      </c>
      <c r="BH250" s="459"/>
      <c r="BI250" s="460"/>
      <c r="BJ250" s="459"/>
      <c r="BK250" s="459"/>
      <c r="BL250" s="459">
        <f t="shared" si="1401"/>
        <v>789.91644999999994</v>
      </c>
      <c r="BM250" s="459"/>
      <c r="BN250" s="460">
        <f>478.9+311.01645</f>
        <v>789.91644999999994</v>
      </c>
      <c r="BO250" s="459"/>
      <c r="BP250" s="459"/>
      <c r="BQ250" s="459">
        <f t="shared" si="1402"/>
        <v>789.91644999999994</v>
      </c>
      <c r="BR250" s="459"/>
      <c r="BS250" s="460">
        <f>478.9+311.01645</f>
        <v>789.91644999999994</v>
      </c>
      <c r="BT250" s="459"/>
      <c r="BU250" s="459"/>
      <c r="BV250" s="459">
        <f t="shared" si="1403"/>
        <v>805.28769</v>
      </c>
      <c r="BW250" s="459"/>
      <c r="BX250" s="459">
        <f>765.309+39.97869</f>
        <v>805.28769</v>
      </c>
      <c r="BY250" s="459"/>
      <c r="BZ250" s="459"/>
      <c r="CA250" s="464">
        <f t="shared" si="1404"/>
        <v>1595.2041399999998</v>
      </c>
      <c r="CB250" s="459">
        <f t="shared" si="1405"/>
        <v>1595.2041399999998</v>
      </c>
      <c r="CC250" s="459">
        <f t="shared" si="1406"/>
        <v>0</v>
      </c>
      <c r="CD250" s="459">
        <f t="shared" si="1406"/>
        <v>1595.2041399999998</v>
      </c>
      <c r="CE250" s="459">
        <f t="shared" si="1406"/>
        <v>0</v>
      </c>
      <c r="CF250" s="459">
        <f t="shared" si="1406"/>
        <v>0</v>
      </c>
      <c r="CG250" s="459">
        <f t="shared" si="1407"/>
        <v>0</v>
      </c>
      <c r="CH250" s="459">
        <f t="shared" si="1408"/>
        <v>0</v>
      </c>
      <c r="CI250" s="459">
        <f t="shared" si="1408"/>
        <v>0</v>
      </c>
      <c r="CJ250" s="459">
        <f t="shared" si="1408"/>
        <v>0</v>
      </c>
      <c r="CK250" s="459">
        <f t="shared" si="1408"/>
        <v>0</v>
      </c>
      <c r="CL250" s="465"/>
      <c r="CM250" s="466"/>
      <c r="CN250" s="466"/>
      <c r="CO250" s="459">
        <f t="shared" si="1409"/>
        <v>0</v>
      </c>
      <c r="CP250" s="459"/>
      <c r="CQ250" s="460"/>
      <c r="CR250" s="459"/>
      <c r="CS250" s="459"/>
      <c r="CT250" s="459">
        <f t="shared" si="1410"/>
        <v>0</v>
      </c>
      <c r="CU250" s="459"/>
      <c r="CV250" s="460"/>
      <c r="CW250" s="459"/>
      <c r="CX250" s="459"/>
      <c r="CY250" s="459">
        <f t="shared" si="1411"/>
        <v>0</v>
      </c>
      <c r="CZ250" s="459">
        <f t="shared" si="1418"/>
        <v>0</v>
      </c>
      <c r="DA250" s="459">
        <f t="shared" si="1418"/>
        <v>0</v>
      </c>
      <c r="DB250" s="459">
        <f t="shared" si="1418"/>
        <v>0</v>
      </c>
      <c r="DC250" s="459">
        <f t="shared" si="1418"/>
        <v>0</v>
      </c>
      <c r="DD250" s="459"/>
      <c r="DE250" s="459"/>
      <c r="DF250" s="459"/>
      <c r="DG250" s="459">
        <f t="shared" si="1412"/>
        <v>0</v>
      </c>
      <c r="DH250" s="467"/>
      <c r="DI250" s="459">
        <f t="shared" si="1413"/>
        <v>789.91644999999994</v>
      </c>
      <c r="DJ250" s="459">
        <f t="shared" si="1414"/>
        <v>789.91644999999994</v>
      </c>
      <c r="DK250" s="467"/>
      <c r="DL250" s="459"/>
      <c r="DM250" s="459"/>
      <c r="DN250" s="467"/>
      <c r="DO250" s="459"/>
      <c r="DP250" s="467"/>
      <c r="DQ250" s="467"/>
      <c r="DR250" s="459">
        <f t="shared" si="1375"/>
        <v>789.91644999999994</v>
      </c>
      <c r="DS250" s="459"/>
      <c r="DT250" s="460">
        <f>478.9+311.01645</f>
        <v>789.91644999999994</v>
      </c>
      <c r="DU250" s="459"/>
      <c r="DV250" s="459"/>
      <c r="DW250" s="459">
        <f t="shared" si="1119"/>
        <v>805.28769</v>
      </c>
      <c r="DX250" s="459"/>
      <c r="DY250" s="459">
        <f>765.309+39.97869</f>
        <v>805.28769</v>
      </c>
      <c r="DZ250" s="459"/>
      <c r="EA250" s="146"/>
      <c r="EB250" s="279"/>
      <c r="EC250" s="279"/>
      <c r="ED250" s="279"/>
      <c r="EE250" s="366"/>
      <c r="EF250" s="366"/>
      <c r="EG250" s="279"/>
      <c r="EH250" s="279"/>
      <c r="EI250" s="279"/>
      <c r="EJ250" s="366"/>
      <c r="EK250" s="366"/>
      <c r="EL250" s="366">
        <v>2.3900000000000001E-2</v>
      </c>
      <c r="EM250" s="280"/>
      <c r="EN250" s="279"/>
      <c r="EO250" s="265" t="e">
        <f t="shared" si="1417"/>
        <v>#DIV/0!</v>
      </c>
      <c r="EP250" s="323">
        <f t="shared" si="1121"/>
        <v>1595.2041399999998</v>
      </c>
      <c r="EQ250" s="323">
        <f t="shared" si="1175"/>
        <v>789.91644999999994</v>
      </c>
      <c r="ER250" s="323">
        <v>805.28769</v>
      </c>
      <c r="ES250" s="358">
        <f t="shared" si="1419"/>
        <v>0.49518204610477001</v>
      </c>
      <c r="ET250" s="358">
        <f t="shared" si="1420"/>
        <v>0.50481795389522999</v>
      </c>
      <c r="EU250" s="323">
        <f t="shared" si="1122"/>
        <v>1595.2041399999998</v>
      </c>
      <c r="EV250" s="323">
        <f t="shared" si="1421"/>
        <v>789.91644999999994</v>
      </c>
      <c r="EW250" s="323">
        <f t="shared" si="1422"/>
        <v>805.28769</v>
      </c>
      <c r="EX250" s="358">
        <f t="shared" si="1423"/>
        <v>0.49518204610477001</v>
      </c>
      <c r="EY250" s="358">
        <f t="shared" si="1424"/>
        <v>0.50481795389522999</v>
      </c>
      <c r="EZ250" s="358">
        <v>7.9699999999999993E-2</v>
      </c>
      <c r="FA250" s="323">
        <f t="shared" si="1425"/>
        <v>789.91644999999994</v>
      </c>
      <c r="FB250" s="323">
        <f t="shared" si="1123"/>
        <v>0</v>
      </c>
      <c r="FC250" s="279"/>
      <c r="FD250" s="279"/>
      <c r="FE250" s="279"/>
      <c r="FF250" s="366"/>
      <c r="FG250" s="366"/>
      <c r="FH250" s="279"/>
      <c r="FI250" s="279"/>
      <c r="FJ250" s="279"/>
      <c r="FK250" s="366"/>
      <c r="FL250" s="366"/>
      <c r="FM250" s="366">
        <v>7.9699999999999993E-2</v>
      </c>
      <c r="FN250" s="280"/>
      <c r="FO250" s="279"/>
    </row>
    <row r="251" spans="2:171" s="40" customFormat="1" ht="15.75" customHeight="1" x14ac:dyDescent="0.25">
      <c r="B251" s="32"/>
      <c r="C251" s="33"/>
      <c r="D251" s="33">
        <v>1</v>
      </c>
      <c r="E251" s="434">
        <v>211</v>
      </c>
      <c r="F251" s="32"/>
      <c r="G251" s="33"/>
      <c r="H251" s="33"/>
      <c r="M251" s="434">
        <v>206</v>
      </c>
      <c r="N251" s="435" t="s">
        <v>248</v>
      </c>
      <c r="O251" s="435"/>
      <c r="P251" s="24">
        <f t="shared" si="1120"/>
        <v>0</v>
      </c>
      <c r="Q251" s="435"/>
      <c r="R251" s="435"/>
      <c r="S251" s="435"/>
      <c r="T251" s="435"/>
      <c r="U251" s="161"/>
      <c r="V251" s="434"/>
      <c r="W251" s="459">
        <f t="shared" si="1393"/>
        <v>0</v>
      </c>
      <c r="X251" s="459"/>
      <c r="Y251" s="460">
        <f>388.9-388.9</f>
        <v>0</v>
      </c>
      <c r="Z251" s="459"/>
      <c r="AA251" s="464"/>
      <c r="AB251" s="459">
        <f t="shared" si="1394"/>
        <v>0</v>
      </c>
      <c r="AC251" s="459"/>
      <c r="AD251" s="460">
        <v>0</v>
      </c>
      <c r="AE251" s="459"/>
      <c r="AF251" s="464"/>
      <c r="AG251" s="459">
        <f t="shared" si="1395"/>
        <v>0</v>
      </c>
      <c r="AH251" s="459"/>
      <c r="AI251" s="460">
        <v>0</v>
      </c>
      <c r="AJ251" s="459"/>
      <c r="AK251" s="464"/>
      <c r="AL251" s="459">
        <f t="shared" si="1396"/>
        <v>171</v>
      </c>
      <c r="AM251" s="459"/>
      <c r="AN251" s="460">
        <v>171</v>
      </c>
      <c r="AO251" s="459"/>
      <c r="AP251" s="459"/>
      <c r="AQ251" s="383"/>
      <c r="AR251" s="459">
        <f t="shared" si="1397"/>
        <v>0</v>
      </c>
      <c r="AS251" s="459"/>
      <c r="AT251" s="469"/>
      <c r="AU251" s="459"/>
      <c r="AV251" s="459"/>
      <c r="AW251" s="459" t="e">
        <f t="shared" si="1398"/>
        <v>#REF!</v>
      </c>
      <c r="AX251" s="459" t="e">
        <f>#REF!-AS251</f>
        <v>#REF!</v>
      </c>
      <c r="AY251" s="459" t="e">
        <f>#REF!-AT251</f>
        <v>#REF!</v>
      </c>
      <c r="AZ251" s="459" t="e">
        <f>#REF!-AU251</f>
        <v>#REF!</v>
      </c>
      <c r="BA251" s="459" t="e">
        <f>#REF!-AV251</f>
        <v>#REF!</v>
      </c>
      <c r="BB251" s="459">
        <f t="shared" si="1399"/>
        <v>0</v>
      </c>
      <c r="BC251" s="459"/>
      <c r="BD251" s="459"/>
      <c r="BE251" s="459"/>
      <c r="BF251" s="459"/>
      <c r="BG251" s="459">
        <f t="shared" si="1400"/>
        <v>0</v>
      </c>
      <c r="BH251" s="459"/>
      <c r="BI251" s="459"/>
      <c r="BJ251" s="459"/>
      <c r="BK251" s="459"/>
      <c r="BL251" s="459">
        <f t="shared" si="1401"/>
        <v>0</v>
      </c>
      <c r="BM251" s="459"/>
      <c r="BN251" s="459"/>
      <c r="BO251" s="459"/>
      <c r="BP251" s="459"/>
      <c r="BQ251" s="459">
        <f t="shared" si="1402"/>
        <v>0</v>
      </c>
      <c r="BR251" s="459"/>
      <c r="BS251" s="459"/>
      <c r="BT251" s="459"/>
      <c r="BU251" s="459"/>
      <c r="BV251" s="459">
        <f t="shared" si="1403"/>
        <v>0</v>
      </c>
      <c r="BW251" s="459"/>
      <c r="BX251" s="459"/>
      <c r="BY251" s="459"/>
      <c r="BZ251" s="459"/>
      <c r="CA251" s="464">
        <f t="shared" si="1404"/>
        <v>0</v>
      </c>
      <c r="CB251" s="459">
        <f t="shared" si="1405"/>
        <v>0</v>
      </c>
      <c r="CC251" s="459">
        <f t="shared" si="1406"/>
        <v>0</v>
      </c>
      <c r="CD251" s="459">
        <f t="shared" si="1406"/>
        <v>0</v>
      </c>
      <c r="CE251" s="459">
        <f t="shared" si="1406"/>
        <v>0</v>
      </c>
      <c r="CF251" s="459">
        <f t="shared" si="1406"/>
        <v>0</v>
      </c>
      <c r="CG251" s="459">
        <f t="shared" si="1407"/>
        <v>0</v>
      </c>
      <c r="CH251" s="459">
        <f t="shared" si="1408"/>
        <v>0</v>
      </c>
      <c r="CI251" s="459">
        <f t="shared" si="1408"/>
        <v>0</v>
      </c>
      <c r="CJ251" s="459">
        <f t="shared" si="1408"/>
        <v>0</v>
      </c>
      <c r="CK251" s="459">
        <f t="shared" si="1408"/>
        <v>0</v>
      </c>
      <c r="CL251" s="465"/>
      <c r="CM251" s="466"/>
      <c r="CN251" s="466"/>
      <c r="CO251" s="459">
        <f t="shared" si="1409"/>
        <v>0</v>
      </c>
      <c r="CP251" s="459"/>
      <c r="CQ251" s="459"/>
      <c r="CR251" s="459"/>
      <c r="CS251" s="459"/>
      <c r="CT251" s="459">
        <f t="shared" si="1410"/>
        <v>0</v>
      </c>
      <c r="CU251" s="459"/>
      <c r="CV251" s="459"/>
      <c r="CW251" s="459"/>
      <c r="CX251" s="459"/>
      <c r="CY251" s="459">
        <f t="shared" si="1411"/>
        <v>0</v>
      </c>
      <c r="CZ251" s="459">
        <f t="shared" si="1418"/>
        <v>0</v>
      </c>
      <c r="DA251" s="459">
        <f t="shared" si="1418"/>
        <v>0</v>
      </c>
      <c r="DB251" s="459">
        <f t="shared" si="1418"/>
        <v>0</v>
      </c>
      <c r="DC251" s="459">
        <f t="shared" si="1418"/>
        <v>0</v>
      </c>
      <c r="DD251" s="459"/>
      <c r="DE251" s="459"/>
      <c r="DF251" s="459"/>
      <c r="DG251" s="459">
        <f t="shared" si="1412"/>
        <v>0</v>
      </c>
      <c r="DH251" s="467"/>
      <c r="DI251" s="459">
        <f t="shared" si="1413"/>
        <v>0</v>
      </c>
      <c r="DJ251" s="459">
        <f t="shared" si="1414"/>
        <v>0</v>
      </c>
      <c r="DK251" s="467"/>
      <c r="DL251" s="459"/>
      <c r="DM251" s="459"/>
      <c r="DN251" s="467"/>
      <c r="DO251" s="459"/>
      <c r="DP251" s="467"/>
      <c r="DQ251" s="467"/>
      <c r="DR251" s="464">
        <f t="shared" si="1375"/>
        <v>0</v>
      </c>
      <c r="DS251" s="459"/>
      <c r="DT251" s="459"/>
      <c r="DU251" s="459"/>
      <c r="DV251" s="459"/>
      <c r="DW251" s="459">
        <f t="shared" si="1119"/>
        <v>0</v>
      </c>
      <c r="DX251" s="459"/>
      <c r="DY251" s="459"/>
      <c r="DZ251" s="464"/>
      <c r="EA251" s="146"/>
      <c r="EB251" s="279"/>
      <c r="EC251" s="279"/>
      <c r="ED251" s="279"/>
      <c r="EE251" s="371"/>
      <c r="EF251" s="371"/>
      <c r="EG251" s="279"/>
      <c r="EH251" s="279"/>
      <c r="EI251" s="279"/>
      <c r="EJ251" s="371"/>
      <c r="EK251" s="371"/>
      <c r="EL251" s="371">
        <v>2.8299999999999999E-2</v>
      </c>
      <c r="EM251" s="290"/>
      <c r="EN251" s="291"/>
      <c r="EO251" s="271" t="e">
        <f t="shared" si="1417"/>
        <v>#DIV/0!</v>
      </c>
      <c r="EP251" s="323"/>
      <c r="EQ251" s="323"/>
      <c r="ER251" s="323"/>
      <c r="ES251" s="365"/>
      <c r="ET251" s="365"/>
      <c r="EU251" s="323"/>
      <c r="EV251" s="323"/>
      <c r="EW251" s="323"/>
      <c r="EX251" s="365"/>
      <c r="EY251" s="365"/>
      <c r="EZ251" s="365">
        <v>9.4299999999999995E-2</v>
      </c>
      <c r="FA251" s="330"/>
      <c r="FB251" s="330">
        <f t="shared" si="1123"/>
        <v>0</v>
      </c>
      <c r="FC251" s="279"/>
      <c r="FD251" s="279"/>
      <c r="FE251" s="279"/>
      <c r="FF251" s="371"/>
      <c r="FG251" s="371"/>
      <c r="FH251" s="279"/>
      <c r="FI251" s="279"/>
      <c r="FJ251" s="279"/>
      <c r="FK251" s="371"/>
      <c r="FL251" s="371"/>
      <c r="FM251" s="371">
        <v>9.4299999999999995E-2</v>
      </c>
      <c r="FN251" s="290"/>
      <c r="FO251" s="291"/>
    </row>
    <row r="252" spans="2:171" s="40" customFormat="1" ht="15.6" customHeight="1" x14ac:dyDescent="0.25">
      <c r="B252" s="32"/>
      <c r="C252" s="33">
        <v>1</v>
      </c>
      <c r="D252" s="33"/>
      <c r="E252" s="434">
        <v>212</v>
      </c>
      <c r="F252" s="32"/>
      <c r="G252" s="33">
        <v>1</v>
      </c>
      <c r="H252" s="33">
        <v>1</v>
      </c>
      <c r="I252" s="434"/>
      <c r="J252" s="435"/>
      <c r="K252" s="435"/>
      <c r="L252" s="53"/>
      <c r="M252" s="434">
        <v>207</v>
      </c>
      <c r="N252" s="435" t="s">
        <v>70</v>
      </c>
      <c r="O252" s="435"/>
      <c r="P252" s="24">
        <f t="shared" si="1120"/>
        <v>0</v>
      </c>
      <c r="Q252" s="435" t="s">
        <v>490</v>
      </c>
      <c r="R252" s="435" t="s">
        <v>488</v>
      </c>
      <c r="S252" s="435" t="s">
        <v>490</v>
      </c>
      <c r="T252" s="435" t="s">
        <v>488</v>
      </c>
      <c r="U252" s="161">
        <v>1</v>
      </c>
      <c r="V252" s="434">
        <v>2</v>
      </c>
      <c r="W252" s="459">
        <f t="shared" si="1393"/>
        <v>5607.9</v>
      </c>
      <c r="X252" s="461"/>
      <c r="Y252" s="460">
        <f>3710.6+1897.3</f>
        <v>5607.9</v>
      </c>
      <c r="Z252" s="460"/>
      <c r="AA252" s="461"/>
      <c r="AB252" s="459">
        <f t="shared" si="1394"/>
        <v>4137.7</v>
      </c>
      <c r="AC252" s="461"/>
      <c r="AD252" s="460">
        <v>4137.7</v>
      </c>
      <c r="AE252" s="460"/>
      <c r="AF252" s="461"/>
      <c r="AG252" s="459">
        <f t="shared" si="1395"/>
        <v>4137.7</v>
      </c>
      <c r="AH252" s="461"/>
      <c r="AI252" s="460">
        <v>4137.7</v>
      </c>
      <c r="AJ252" s="460"/>
      <c r="AK252" s="461"/>
      <c r="AL252" s="459">
        <f t="shared" si="1396"/>
        <v>1628</v>
      </c>
      <c r="AM252" s="461"/>
      <c r="AN252" s="460">
        <v>1628</v>
      </c>
      <c r="AO252" s="460"/>
      <c r="AP252" s="461"/>
      <c r="AQ252" s="383" t="s">
        <v>560</v>
      </c>
      <c r="AR252" s="459">
        <f t="shared" si="1397"/>
        <v>4705.0692199999994</v>
      </c>
      <c r="AS252" s="464"/>
      <c r="AT252" s="462">
        <f>3710.6+1897.3-902.83078</f>
        <v>4705.0692199999994</v>
      </c>
      <c r="AU252" s="460"/>
      <c r="AV252" s="461"/>
      <c r="AW252" s="459" t="e">
        <f t="shared" si="1398"/>
        <v>#REF!</v>
      </c>
      <c r="AX252" s="459" t="e">
        <f>#REF!-AS252</f>
        <v>#REF!</v>
      </c>
      <c r="AY252" s="459" t="e">
        <f>#REF!-AT252</f>
        <v>#REF!</v>
      </c>
      <c r="AZ252" s="459" t="e">
        <f>#REF!-AU252</f>
        <v>#REF!</v>
      </c>
      <c r="BA252" s="459" t="e">
        <f>#REF!-AV252</f>
        <v>#REF!</v>
      </c>
      <c r="BB252" s="459">
        <f t="shared" si="1399"/>
        <v>4137.7</v>
      </c>
      <c r="BC252" s="464"/>
      <c r="BD252" s="460">
        <f>1500+2637.7</f>
        <v>4137.7</v>
      </c>
      <c r="BE252" s="460"/>
      <c r="BF252" s="461"/>
      <c r="BG252" s="459">
        <f t="shared" si="1400"/>
        <v>0</v>
      </c>
      <c r="BH252" s="464"/>
      <c r="BI252" s="460"/>
      <c r="BJ252" s="460"/>
      <c r="BK252" s="461"/>
      <c r="BL252" s="459">
        <f t="shared" si="1401"/>
        <v>4705.0692200000003</v>
      </c>
      <c r="BM252" s="464"/>
      <c r="BN252" s="460">
        <f>3320.987+1384.08222</f>
        <v>4705.0692200000003</v>
      </c>
      <c r="BO252" s="470"/>
      <c r="BP252" s="470"/>
      <c r="BQ252" s="459">
        <f t="shared" si="1402"/>
        <v>4705.0692200000003</v>
      </c>
      <c r="BR252" s="464"/>
      <c r="BS252" s="460">
        <f>3320.987+1384.08222</f>
        <v>4705.0692200000003</v>
      </c>
      <c r="BT252" s="470"/>
      <c r="BU252" s="470"/>
      <c r="BV252" s="464">
        <f t="shared" si="1403"/>
        <v>1258.4286200000001</v>
      </c>
      <c r="BW252" s="464"/>
      <c r="BX252" s="464">
        <f>888.2875+370.14112</f>
        <v>1258.4286200000001</v>
      </c>
      <c r="BY252" s="464"/>
      <c r="BZ252" s="464"/>
      <c r="CA252" s="464">
        <f t="shared" si="1404"/>
        <v>5963.49784</v>
      </c>
      <c r="CB252" s="459">
        <f t="shared" si="1405"/>
        <v>5963.49784</v>
      </c>
      <c r="CC252" s="459">
        <f t="shared" si="1406"/>
        <v>0</v>
      </c>
      <c r="CD252" s="459">
        <f t="shared" si="1406"/>
        <v>5963.49784</v>
      </c>
      <c r="CE252" s="459">
        <f t="shared" si="1406"/>
        <v>0</v>
      </c>
      <c r="CF252" s="459">
        <f t="shared" si="1406"/>
        <v>0</v>
      </c>
      <c r="CG252" s="459">
        <f t="shared" si="1407"/>
        <v>0</v>
      </c>
      <c r="CH252" s="459">
        <f t="shared" si="1408"/>
        <v>0</v>
      </c>
      <c r="CI252" s="459">
        <f t="shared" si="1408"/>
        <v>0</v>
      </c>
      <c r="CJ252" s="459">
        <f t="shared" si="1408"/>
        <v>0</v>
      </c>
      <c r="CK252" s="459">
        <f t="shared" si="1408"/>
        <v>0</v>
      </c>
      <c r="CL252" s="465"/>
      <c r="CM252" s="466"/>
      <c r="CN252" s="466"/>
      <c r="CO252" s="459">
        <f t="shared" si="1409"/>
        <v>0</v>
      </c>
      <c r="CP252" s="464"/>
      <c r="CQ252" s="460"/>
      <c r="CR252" s="460"/>
      <c r="CS252" s="461"/>
      <c r="CT252" s="459">
        <f t="shared" si="1410"/>
        <v>0</v>
      </c>
      <c r="CU252" s="464"/>
      <c r="CV252" s="460"/>
      <c r="CW252" s="460"/>
      <c r="CX252" s="461"/>
      <c r="CY252" s="459">
        <f t="shared" si="1411"/>
        <v>0</v>
      </c>
      <c r="CZ252" s="459">
        <f t="shared" si="1418"/>
        <v>0</v>
      </c>
      <c r="DA252" s="459">
        <f t="shared" si="1418"/>
        <v>0</v>
      </c>
      <c r="DB252" s="459">
        <f t="shared" si="1418"/>
        <v>0</v>
      </c>
      <c r="DC252" s="459">
        <f t="shared" si="1418"/>
        <v>0</v>
      </c>
      <c r="DD252" s="464"/>
      <c r="DE252" s="464"/>
      <c r="DF252" s="531"/>
      <c r="DG252" s="464">
        <f t="shared" si="1412"/>
        <v>0</v>
      </c>
      <c r="DH252" s="467"/>
      <c r="DI252" s="459">
        <f t="shared" si="1413"/>
        <v>4705.0692200000003</v>
      </c>
      <c r="DJ252" s="459">
        <f t="shared" si="1414"/>
        <v>4705.0692200000003</v>
      </c>
      <c r="DK252" s="467"/>
      <c r="DL252" s="464"/>
      <c r="DM252" s="464"/>
      <c r="DN252" s="467"/>
      <c r="DO252" s="464"/>
      <c r="DP252" s="467"/>
      <c r="DQ252" s="467"/>
      <c r="DR252" s="464">
        <f t="shared" si="1375"/>
        <v>4705.0692200000003</v>
      </c>
      <c r="DS252" s="464"/>
      <c r="DT252" s="460">
        <f>3320.987+1384.08222</f>
        <v>4705.0692200000003</v>
      </c>
      <c r="DU252" s="470"/>
      <c r="DV252" s="470"/>
      <c r="DW252" s="464">
        <f t="shared" si="1119"/>
        <v>1258.4286200000001</v>
      </c>
      <c r="DX252" s="464"/>
      <c r="DY252" s="464">
        <f>888.2875+370.14112</f>
        <v>1258.4286200000001</v>
      </c>
      <c r="DZ252" s="464"/>
      <c r="EA252" s="148"/>
      <c r="EB252" s="291"/>
      <c r="EC252" s="291"/>
      <c r="ED252" s="291"/>
      <c r="EE252" s="371"/>
      <c r="EF252" s="371"/>
      <c r="EG252" s="291"/>
      <c r="EH252" s="291"/>
      <c r="EI252" s="291"/>
      <c r="EJ252" s="371"/>
      <c r="EK252" s="371"/>
      <c r="EL252" s="371">
        <v>2.5399999999999999E-2</v>
      </c>
      <c r="EM252" s="290"/>
      <c r="EN252" s="291"/>
      <c r="EO252" s="271" t="e">
        <f t="shared" si="1417"/>
        <v>#DIV/0!</v>
      </c>
      <c r="EP252" s="330">
        <f t="shared" si="1121"/>
        <v>5963.4978399999991</v>
      </c>
      <c r="EQ252" s="330">
        <f t="shared" si="1175"/>
        <v>4705.0692199999994</v>
      </c>
      <c r="ER252" s="330">
        <v>1258.4286199999999</v>
      </c>
      <c r="ES252" s="365">
        <f t="shared" si="1419"/>
        <v>0.78897810416579273</v>
      </c>
      <c r="ET252" s="365">
        <f t="shared" si="1420"/>
        <v>0.21102189583420727</v>
      </c>
      <c r="EU252" s="330">
        <f t="shared" si="1122"/>
        <v>5963.49784</v>
      </c>
      <c r="EV252" s="330">
        <f t="shared" si="1421"/>
        <v>4705.0692200000003</v>
      </c>
      <c r="EW252" s="330">
        <f t="shared" si="1422"/>
        <v>1258.4286200000001</v>
      </c>
      <c r="EX252" s="365">
        <f t="shared" si="1423"/>
        <v>0.78897810416579284</v>
      </c>
      <c r="EY252" s="365">
        <f t="shared" si="1424"/>
        <v>0.21102189583420727</v>
      </c>
      <c r="EZ252" s="365">
        <v>8.4500000000000006E-2</v>
      </c>
      <c r="FA252" s="330">
        <f t="shared" si="1425"/>
        <v>4705.0692200000003</v>
      </c>
      <c r="FB252" s="330">
        <f t="shared" si="1123"/>
        <v>0</v>
      </c>
      <c r="FC252" s="291"/>
      <c r="FD252" s="291"/>
      <c r="FE252" s="291"/>
      <c r="FF252" s="371"/>
      <c r="FG252" s="371"/>
      <c r="FH252" s="291"/>
      <c r="FI252" s="291"/>
      <c r="FJ252" s="291"/>
      <c r="FK252" s="371"/>
      <c r="FL252" s="371"/>
      <c r="FM252" s="371">
        <v>8.4500000000000006E-2</v>
      </c>
      <c r="FN252" s="290"/>
      <c r="FO252" s="291"/>
    </row>
    <row r="253" spans="2:171" s="40" customFormat="1" ht="15.75" customHeight="1" x14ac:dyDescent="0.25">
      <c r="B253" s="32"/>
      <c r="C253" s="33"/>
      <c r="D253" s="33">
        <v>1</v>
      </c>
      <c r="E253" s="434">
        <v>213</v>
      </c>
      <c r="F253" s="32"/>
      <c r="G253" s="33"/>
      <c r="H253" s="33">
        <v>1</v>
      </c>
      <c r="I253" s="434"/>
      <c r="J253" s="435"/>
      <c r="K253" s="435"/>
      <c r="L253" s="53"/>
      <c r="M253" s="434">
        <v>208</v>
      </c>
      <c r="N253" s="435" t="s">
        <v>154</v>
      </c>
      <c r="O253" s="435"/>
      <c r="P253" s="24">
        <f t="shared" si="1120"/>
        <v>0</v>
      </c>
      <c r="Q253" s="435"/>
      <c r="R253" s="435"/>
      <c r="S253" s="435"/>
      <c r="T253" s="435"/>
      <c r="U253" s="161">
        <v>1</v>
      </c>
      <c r="V253" s="434"/>
      <c r="W253" s="459">
        <f t="shared" si="1393"/>
        <v>830.9</v>
      </c>
      <c r="X253" s="464"/>
      <c r="Y253" s="460">
        <v>830.9</v>
      </c>
      <c r="Z253" s="460"/>
      <c r="AA253" s="460"/>
      <c r="AB253" s="459">
        <f t="shared" si="1394"/>
        <v>839.5</v>
      </c>
      <c r="AC253" s="464"/>
      <c r="AD253" s="460">
        <v>839.5</v>
      </c>
      <c r="AE253" s="460"/>
      <c r="AF253" s="460"/>
      <c r="AG253" s="459">
        <f t="shared" si="1395"/>
        <v>839.5</v>
      </c>
      <c r="AH253" s="464"/>
      <c r="AI253" s="460">
        <v>839.5</v>
      </c>
      <c r="AJ253" s="460"/>
      <c r="AK253" s="460"/>
      <c r="AL253" s="459">
        <f t="shared" si="1396"/>
        <v>365</v>
      </c>
      <c r="AM253" s="464"/>
      <c r="AN253" s="460">
        <v>365</v>
      </c>
      <c r="AO253" s="460"/>
      <c r="AP253" s="460"/>
      <c r="AQ253" s="383" t="s">
        <v>391</v>
      </c>
      <c r="AR253" s="459">
        <f t="shared" si="1397"/>
        <v>830.9</v>
      </c>
      <c r="AS253" s="464"/>
      <c r="AT253" s="462">
        <v>830.9</v>
      </c>
      <c r="AU253" s="460"/>
      <c r="AV253" s="460"/>
      <c r="AW253" s="464" t="e">
        <f t="shared" si="1398"/>
        <v>#REF!</v>
      </c>
      <c r="AX253" s="459" t="e">
        <f>#REF!-AS253</f>
        <v>#REF!</v>
      </c>
      <c r="AY253" s="459" t="e">
        <f>#REF!-AT253</f>
        <v>#REF!</v>
      </c>
      <c r="AZ253" s="459" t="e">
        <f>#REF!-AU253</f>
        <v>#REF!</v>
      </c>
      <c r="BA253" s="459" t="e">
        <f>#REF!-AV253</f>
        <v>#REF!</v>
      </c>
      <c r="BB253" s="459">
        <f t="shared" si="1399"/>
        <v>839.5</v>
      </c>
      <c r="BC253" s="464"/>
      <c r="BD253" s="460">
        <v>839.5</v>
      </c>
      <c r="BE253" s="498"/>
      <c r="BF253" s="460"/>
      <c r="BG253" s="459">
        <f t="shared" si="1400"/>
        <v>0</v>
      </c>
      <c r="BH253" s="464"/>
      <c r="BI253" s="460"/>
      <c r="BJ253" s="498"/>
      <c r="BK253" s="460"/>
      <c r="BL253" s="459">
        <f t="shared" si="1401"/>
        <v>830.9</v>
      </c>
      <c r="BM253" s="464"/>
      <c r="BN253" s="462">
        <v>830.9</v>
      </c>
      <c r="BO253" s="499"/>
      <c r="BP253" s="470"/>
      <c r="BQ253" s="464">
        <f t="shared" si="1402"/>
        <v>830.9</v>
      </c>
      <c r="BR253" s="464"/>
      <c r="BS253" s="462">
        <v>830.9</v>
      </c>
      <c r="BT253" s="499"/>
      <c r="BU253" s="470"/>
      <c r="BV253" s="464">
        <f t="shared" si="1403"/>
        <v>117.845</v>
      </c>
      <c r="BW253" s="464"/>
      <c r="BX253" s="460">
        <v>117.845</v>
      </c>
      <c r="BY253" s="498"/>
      <c r="BZ253" s="460"/>
      <c r="CA253" s="464">
        <f t="shared" si="1404"/>
        <v>948.745</v>
      </c>
      <c r="CB253" s="459">
        <f t="shared" si="1405"/>
        <v>948.745</v>
      </c>
      <c r="CC253" s="459">
        <f t="shared" si="1406"/>
        <v>0</v>
      </c>
      <c r="CD253" s="459">
        <f t="shared" si="1406"/>
        <v>948.745</v>
      </c>
      <c r="CE253" s="459">
        <f t="shared" si="1406"/>
        <v>0</v>
      </c>
      <c r="CF253" s="459">
        <f t="shared" si="1406"/>
        <v>0</v>
      </c>
      <c r="CG253" s="459">
        <f t="shared" si="1407"/>
        <v>0</v>
      </c>
      <c r="CH253" s="459">
        <f t="shared" si="1408"/>
        <v>0</v>
      </c>
      <c r="CI253" s="459">
        <f t="shared" si="1408"/>
        <v>0</v>
      </c>
      <c r="CJ253" s="459">
        <f t="shared" si="1408"/>
        <v>0</v>
      </c>
      <c r="CK253" s="459">
        <f t="shared" si="1408"/>
        <v>0</v>
      </c>
      <c r="CL253" s="465"/>
      <c r="CM253" s="481"/>
      <c r="CN253" s="481"/>
      <c r="CO253" s="459">
        <f t="shared" si="1409"/>
        <v>0</v>
      </c>
      <c r="CP253" s="464"/>
      <c r="CQ253" s="460"/>
      <c r="CR253" s="498"/>
      <c r="CS253" s="460"/>
      <c r="CT253" s="459">
        <f t="shared" si="1410"/>
        <v>0</v>
      </c>
      <c r="CU253" s="464"/>
      <c r="CV253" s="460"/>
      <c r="CW253" s="498"/>
      <c r="CX253" s="460"/>
      <c r="CY253" s="459">
        <f t="shared" si="1411"/>
        <v>0</v>
      </c>
      <c r="CZ253" s="459">
        <f t="shared" si="1418"/>
        <v>0</v>
      </c>
      <c r="DA253" s="459">
        <f t="shared" si="1418"/>
        <v>0</v>
      </c>
      <c r="DB253" s="459">
        <f t="shared" si="1418"/>
        <v>0</v>
      </c>
      <c r="DC253" s="459">
        <f t="shared" si="1418"/>
        <v>0</v>
      </c>
      <c r="DD253" s="498"/>
      <c r="DE253" s="498"/>
      <c r="DF253" s="498"/>
      <c r="DG253" s="464">
        <f t="shared" si="1412"/>
        <v>0</v>
      </c>
      <c r="DH253" s="467"/>
      <c r="DI253" s="459">
        <f t="shared" si="1413"/>
        <v>830.9</v>
      </c>
      <c r="DJ253" s="459">
        <f t="shared" si="1414"/>
        <v>830.9</v>
      </c>
      <c r="DK253" s="467"/>
      <c r="DL253" s="464"/>
      <c r="DM253" s="464"/>
      <c r="DN253" s="467"/>
      <c r="DO253" s="464"/>
      <c r="DP253" s="467"/>
      <c r="DQ253" s="467"/>
      <c r="DR253" s="464">
        <f t="shared" si="1375"/>
        <v>830.9</v>
      </c>
      <c r="DS253" s="464"/>
      <c r="DT253" s="462">
        <v>830.9</v>
      </c>
      <c r="DU253" s="499"/>
      <c r="DV253" s="470"/>
      <c r="DW253" s="464">
        <f t="shared" si="1119"/>
        <v>117.845</v>
      </c>
      <c r="DX253" s="464"/>
      <c r="DY253" s="460">
        <v>117.845</v>
      </c>
      <c r="DZ253" s="460"/>
      <c r="EA253" s="147"/>
      <c r="EB253" s="291"/>
      <c r="EC253" s="291"/>
      <c r="ED253" s="286"/>
      <c r="EE253" s="372"/>
      <c r="EF253" s="372"/>
      <c r="EG253" s="291"/>
      <c r="EH253" s="291"/>
      <c r="EI253" s="286"/>
      <c r="EJ253" s="372"/>
      <c r="EK253" s="372"/>
      <c r="EL253" s="372">
        <v>3.0800000000000001E-2</v>
      </c>
      <c r="EM253" s="292"/>
      <c r="EN253" s="281"/>
      <c r="EO253" s="272" t="e">
        <f t="shared" si="1417"/>
        <v>#DIV/0!</v>
      </c>
      <c r="EP253" s="330">
        <f t="shared" si="1121"/>
        <v>948.745</v>
      </c>
      <c r="EQ253" s="330">
        <f t="shared" si="1175"/>
        <v>830.9</v>
      </c>
      <c r="ER253" s="328">
        <v>117.845</v>
      </c>
      <c r="ES253" s="364">
        <f t="shared" si="1419"/>
        <v>0.87578854170509457</v>
      </c>
      <c r="ET253" s="364">
        <f t="shared" si="1420"/>
        <v>0.12421145829490537</v>
      </c>
      <c r="EU253" s="330">
        <f t="shared" si="1122"/>
        <v>948.745</v>
      </c>
      <c r="EV253" s="330">
        <f t="shared" si="1421"/>
        <v>830.9</v>
      </c>
      <c r="EW253" s="328">
        <f t="shared" si="1422"/>
        <v>117.845</v>
      </c>
      <c r="EX253" s="364">
        <f t="shared" si="1423"/>
        <v>0.87578854170509457</v>
      </c>
      <c r="EY253" s="364">
        <f t="shared" si="1424"/>
        <v>0.12421145829490537</v>
      </c>
      <c r="EZ253" s="364">
        <v>0.1026</v>
      </c>
      <c r="FA253" s="324">
        <f t="shared" si="1425"/>
        <v>830.9</v>
      </c>
      <c r="FB253" s="324">
        <f t="shared" si="1123"/>
        <v>0</v>
      </c>
      <c r="FC253" s="291"/>
      <c r="FD253" s="291"/>
      <c r="FE253" s="286"/>
      <c r="FF253" s="372"/>
      <c r="FG253" s="372"/>
      <c r="FH253" s="291"/>
      <c r="FI253" s="291"/>
      <c r="FJ253" s="286"/>
      <c r="FK253" s="372"/>
      <c r="FL253" s="372"/>
      <c r="FM253" s="372">
        <v>0.1026</v>
      </c>
      <c r="FN253" s="292"/>
      <c r="FO253" s="281"/>
    </row>
    <row r="254" spans="2:171" s="40" customFormat="1" ht="15.75" customHeight="1" x14ac:dyDescent="0.25">
      <c r="B254" s="32"/>
      <c r="C254" s="33">
        <v>1</v>
      </c>
      <c r="D254" s="33"/>
      <c r="E254" s="434">
        <v>214</v>
      </c>
      <c r="F254" s="32"/>
      <c r="G254" s="33">
        <v>1</v>
      </c>
      <c r="H254" s="33"/>
      <c r="I254" s="434"/>
      <c r="J254" s="435"/>
      <c r="K254" s="435"/>
      <c r="L254" s="53"/>
      <c r="M254" s="434">
        <v>209</v>
      </c>
      <c r="N254" s="435" t="s">
        <v>249</v>
      </c>
      <c r="O254" s="435" t="s">
        <v>346</v>
      </c>
      <c r="P254" s="24">
        <f t="shared" si="1120"/>
        <v>0</v>
      </c>
      <c r="Q254" s="435"/>
      <c r="R254" s="435"/>
      <c r="S254" s="435"/>
      <c r="T254" s="435"/>
      <c r="U254" s="161">
        <v>1</v>
      </c>
      <c r="V254" s="434"/>
      <c r="W254" s="459">
        <f t="shared" si="1393"/>
        <v>1991.4</v>
      </c>
      <c r="X254" s="464"/>
      <c r="Y254" s="460">
        <v>1991.4</v>
      </c>
      <c r="Z254" s="460"/>
      <c r="AA254" s="461"/>
      <c r="AB254" s="459">
        <f t="shared" si="1394"/>
        <v>2010.2</v>
      </c>
      <c r="AC254" s="464"/>
      <c r="AD254" s="460">
        <v>2010.2</v>
      </c>
      <c r="AE254" s="460"/>
      <c r="AF254" s="461"/>
      <c r="AG254" s="459">
        <f t="shared" si="1395"/>
        <v>2010.2</v>
      </c>
      <c r="AH254" s="464"/>
      <c r="AI254" s="460">
        <v>2010.2</v>
      </c>
      <c r="AJ254" s="460"/>
      <c r="AK254" s="461"/>
      <c r="AL254" s="459">
        <f t="shared" si="1396"/>
        <v>874</v>
      </c>
      <c r="AM254" s="464"/>
      <c r="AN254" s="460">
        <v>874</v>
      </c>
      <c r="AO254" s="460"/>
      <c r="AP254" s="461"/>
      <c r="AQ254" s="383" t="s">
        <v>416</v>
      </c>
      <c r="AR254" s="459">
        <f t="shared" si="1397"/>
        <v>1991.4</v>
      </c>
      <c r="AS254" s="464"/>
      <c r="AT254" s="462">
        <v>1991.4</v>
      </c>
      <c r="AU254" s="460"/>
      <c r="AV254" s="498"/>
      <c r="AW254" s="464" t="e">
        <f t="shared" si="1398"/>
        <v>#REF!</v>
      </c>
      <c r="AX254" s="459" t="e">
        <f>#REF!-AS254</f>
        <v>#REF!</v>
      </c>
      <c r="AY254" s="459" t="e">
        <f>#REF!-AT254</f>
        <v>#REF!</v>
      </c>
      <c r="AZ254" s="459" t="e">
        <f>#REF!-AU254</f>
        <v>#REF!</v>
      </c>
      <c r="BA254" s="459" t="e">
        <f>#REF!-AV254</f>
        <v>#REF!</v>
      </c>
      <c r="BB254" s="464">
        <f t="shared" si="1399"/>
        <v>2010.2</v>
      </c>
      <c r="BC254" s="464"/>
      <c r="BD254" s="460">
        <v>2010.2</v>
      </c>
      <c r="BE254" s="498"/>
      <c r="BF254" s="498"/>
      <c r="BG254" s="459">
        <f t="shared" si="1400"/>
        <v>0</v>
      </c>
      <c r="BH254" s="464"/>
      <c r="BI254" s="460"/>
      <c r="BJ254" s="498"/>
      <c r="BK254" s="498"/>
      <c r="BL254" s="464">
        <f t="shared" si="1401"/>
        <v>1991.4</v>
      </c>
      <c r="BM254" s="464"/>
      <c r="BN254" s="460">
        <v>1991.4</v>
      </c>
      <c r="BO254" s="499"/>
      <c r="BP254" s="499"/>
      <c r="BQ254" s="464">
        <f t="shared" si="1402"/>
        <v>1991.4</v>
      </c>
      <c r="BR254" s="464"/>
      <c r="BS254" s="460">
        <v>1991.4</v>
      </c>
      <c r="BT254" s="499"/>
      <c r="BU254" s="499"/>
      <c r="BV254" s="464">
        <f t="shared" si="1403"/>
        <v>328.64299999999997</v>
      </c>
      <c r="BW254" s="464"/>
      <c r="BX254" s="460">
        <v>328.64299999999997</v>
      </c>
      <c r="BY254" s="498"/>
      <c r="BZ254" s="460"/>
      <c r="CA254" s="464">
        <f t="shared" si="1404"/>
        <v>2320.0430000000001</v>
      </c>
      <c r="CB254" s="459">
        <f t="shared" si="1405"/>
        <v>2320.0430000000001</v>
      </c>
      <c r="CC254" s="459">
        <f t="shared" si="1406"/>
        <v>0</v>
      </c>
      <c r="CD254" s="459">
        <f t="shared" si="1406"/>
        <v>2320.0430000000001</v>
      </c>
      <c r="CE254" s="459">
        <f t="shared" si="1406"/>
        <v>0</v>
      </c>
      <c r="CF254" s="459">
        <f t="shared" si="1406"/>
        <v>0</v>
      </c>
      <c r="CG254" s="459">
        <f t="shared" si="1407"/>
        <v>0</v>
      </c>
      <c r="CH254" s="459">
        <f t="shared" si="1408"/>
        <v>0</v>
      </c>
      <c r="CI254" s="459">
        <f t="shared" si="1408"/>
        <v>0</v>
      </c>
      <c r="CJ254" s="459">
        <f t="shared" si="1408"/>
        <v>0</v>
      </c>
      <c r="CK254" s="459">
        <f t="shared" si="1408"/>
        <v>0</v>
      </c>
      <c r="CL254" s="465"/>
      <c r="CM254" s="481"/>
      <c r="CN254" s="481"/>
      <c r="CO254" s="459">
        <f t="shared" si="1409"/>
        <v>0</v>
      </c>
      <c r="CP254" s="464"/>
      <c r="CQ254" s="460"/>
      <c r="CR254" s="498"/>
      <c r="CS254" s="498"/>
      <c r="CT254" s="459">
        <f t="shared" si="1410"/>
        <v>0</v>
      </c>
      <c r="CU254" s="464"/>
      <c r="CV254" s="460"/>
      <c r="CW254" s="498"/>
      <c r="CX254" s="498"/>
      <c r="CY254" s="464">
        <f t="shared" si="1411"/>
        <v>0</v>
      </c>
      <c r="CZ254" s="459">
        <f t="shared" si="1418"/>
        <v>0</v>
      </c>
      <c r="DA254" s="459">
        <f t="shared" si="1418"/>
        <v>0</v>
      </c>
      <c r="DB254" s="459">
        <f t="shared" si="1418"/>
        <v>0</v>
      </c>
      <c r="DC254" s="459">
        <f t="shared" si="1418"/>
        <v>0</v>
      </c>
      <c r="DD254" s="498"/>
      <c r="DE254" s="498"/>
      <c r="DF254" s="498"/>
      <c r="DG254" s="464">
        <f t="shared" si="1412"/>
        <v>0</v>
      </c>
      <c r="DH254" s="467"/>
      <c r="DI254" s="459">
        <f t="shared" si="1413"/>
        <v>1991.4</v>
      </c>
      <c r="DJ254" s="459">
        <f t="shared" si="1414"/>
        <v>1991.4</v>
      </c>
      <c r="DK254" s="467"/>
      <c r="DL254" s="464"/>
      <c r="DM254" s="464"/>
      <c r="DN254" s="467"/>
      <c r="DO254" s="464"/>
      <c r="DP254" s="467"/>
      <c r="DQ254" s="467"/>
      <c r="DR254" s="464">
        <f t="shared" si="1375"/>
        <v>1991.4</v>
      </c>
      <c r="DS254" s="464"/>
      <c r="DT254" s="460">
        <v>1991.4</v>
      </c>
      <c r="DU254" s="499"/>
      <c r="DV254" s="470"/>
      <c r="DW254" s="464">
        <f t="shared" si="1119"/>
        <v>328.64299999999997</v>
      </c>
      <c r="DX254" s="464"/>
      <c r="DY254" s="460">
        <v>328.64299999999997</v>
      </c>
      <c r="DZ254" s="460"/>
      <c r="EA254" s="147"/>
      <c r="EB254" s="291"/>
      <c r="EC254" s="291"/>
      <c r="ED254" s="286"/>
      <c r="EE254" s="372"/>
      <c r="EF254" s="372"/>
      <c r="EG254" s="291"/>
      <c r="EH254" s="291"/>
      <c r="EI254" s="286"/>
      <c r="EJ254" s="372"/>
      <c r="EK254" s="372"/>
      <c r="EL254" s="372">
        <v>1.83E-2</v>
      </c>
      <c r="EM254" s="292"/>
      <c r="EN254" s="281"/>
      <c r="EO254" s="272" t="e">
        <f t="shared" si="1417"/>
        <v>#DIV/0!</v>
      </c>
      <c r="EP254" s="330">
        <f t="shared" si="1121"/>
        <v>2320.0430000000001</v>
      </c>
      <c r="EQ254" s="330">
        <f t="shared" si="1175"/>
        <v>1991.4</v>
      </c>
      <c r="ER254" s="328">
        <v>328.64299999999997</v>
      </c>
      <c r="ES254" s="364">
        <f t="shared" si="1419"/>
        <v>0.85834615996341446</v>
      </c>
      <c r="ET254" s="364">
        <f t="shared" si="1420"/>
        <v>0.14165384003658552</v>
      </c>
      <c r="EU254" s="330">
        <f t="shared" si="1122"/>
        <v>2320.0430000000001</v>
      </c>
      <c r="EV254" s="330">
        <f t="shared" si="1421"/>
        <v>1991.4</v>
      </c>
      <c r="EW254" s="328">
        <f t="shared" si="1422"/>
        <v>328.64299999999997</v>
      </c>
      <c r="EX254" s="364">
        <f t="shared" si="1423"/>
        <v>0.85834615996341446</v>
      </c>
      <c r="EY254" s="364">
        <f t="shared" si="1424"/>
        <v>0.14165384003658552</v>
      </c>
      <c r="EZ254" s="364">
        <v>6.1100000000000002E-2</v>
      </c>
      <c r="FA254" s="324">
        <f t="shared" si="1425"/>
        <v>1991.4</v>
      </c>
      <c r="FB254" s="324">
        <f t="shared" si="1123"/>
        <v>0</v>
      </c>
      <c r="FC254" s="291"/>
      <c r="FD254" s="291"/>
      <c r="FE254" s="286"/>
      <c r="FF254" s="372"/>
      <c r="FG254" s="372"/>
      <c r="FH254" s="291"/>
      <c r="FI254" s="291"/>
      <c r="FJ254" s="286"/>
      <c r="FK254" s="372"/>
      <c r="FL254" s="372"/>
      <c r="FM254" s="372">
        <v>6.1100000000000002E-2</v>
      </c>
      <c r="FN254" s="292"/>
      <c r="FO254" s="281"/>
    </row>
    <row r="255" spans="2:171" s="40" customFormat="1" ht="15.6" customHeight="1" x14ac:dyDescent="0.25">
      <c r="B255" s="32"/>
      <c r="C255" s="33"/>
      <c r="D255" s="33">
        <v>1</v>
      </c>
      <c r="E255" s="434">
        <v>215</v>
      </c>
      <c r="F255" s="32"/>
      <c r="G255" s="33"/>
      <c r="H255" s="33"/>
      <c r="I255" s="434"/>
      <c r="J255" s="435"/>
      <c r="K255" s="435"/>
      <c r="L255" s="53"/>
      <c r="M255" s="434">
        <v>210</v>
      </c>
      <c r="N255" s="435" t="s">
        <v>334</v>
      </c>
      <c r="O255" s="435"/>
      <c r="P255" s="24">
        <f t="shared" si="1120"/>
        <v>0</v>
      </c>
      <c r="Q255" s="435" t="s">
        <v>490</v>
      </c>
      <c r="R255" s="435" t="s">
        <v>488</v>
      </c>
      <c r="S255" s="435" t="s">
        <v>491</v>
      </c>
      <c r="T255" s="435" t="s">
        <v>488</v>
      </c>
      <c r="U255" s="161">
        <v>1</v>
      </c>
      <c r="V255" s="434">
        <v>2</v>
      </c>
      <c r="W255" s="459">
        <f t="shared" si="1393"/>
        <v>16264.759</v>
      </c>
      <c r="X255" s="464"/>
      <c r="Y255" s="460">
        <v>519.9</v>
      </c>
      <c r="Z255" s="460">
        <f>15899.127-154.268</f>
        <v>15744.859</v>
      </c>
      <c r="AA255" s="461"/>
      <c r="AB255" s="459">
        <f t="shared" si="1394"/>
        <v>524.4</v>
      </c>
      <c r="AC255" s="464"/>
      <c r="AD255" s="460">
        <v>524.4</v>
      </c>
      <c r="AE255" s="460"/>
      <c r="AF255" s="461"/>
      <c r="AG255" s="459">
        <f t="shared" si="1395"/>
        <v>524.4</v>
      </c>
      <c r="AH255" s="464"/>
      <c r="AI255" s="460">
        <v>524.4</v>
      </c>
      <c r="AJ255" s="460"/>
      <c r="AK255" s="461"/>
      <c r="AL255" s="459">
        <f t="shared" si="1396"/>
        <v>228</v>
      </c>
      <c r="AM255" s="464"/>
      <c r="AN255" s="460">
        <v>228</v>
      </c>
      <c r="AO255" s="460"/>
      <c r="AP255" s="461"/>
      <c r="AQ255" s="384" t="s">
        <v>510</v>
      </c>
      <c r="AR255" s="459">
        <f>AS255+AT255+AU255+AV255</f>
        <v>16152.536</v>
      </c>
      <c r="AS255" s="464"/>
      <c r="AT255" s="462">
        <v>519.9</v>
      </c>
      <c r="AU255" s="460">
        <f>15744.859-112.223</f>
        <v>15632.636</v>
      </c>
      <c r="AV255" s="460"/>
      <c r="AW255" s="464" t="e">
        <f t="shared" si="1398"/>
        <v>#REF!</v>
      </c>
      <c r="AX255" s="459" t="e">
        <f>#REF!-AS255</f>
        <v>#REF!</v>
      </c>
      <c r="AY255" s="459" t="e">
        <f>#REF!-AT255</f>
        <v>#REF!</v>
      </c>
      <c r="AZ255" s="459" t="e">
        <f>#REF!-AU255</f>
        <v>#REF!</v>
      </c>
      <c r="BA255" s="459" t="e">
        <f>#REF!-AV255</f>
        <v>#REF!</v>
      </c>
      <c r="BB255" s="459">
        <f t="shared" si="1399"/>
        <v>524.4</v>
      </c>
      <c r="BC255" s="464"/>
      <c r="BD255" s="460">
        <f>228+296.4</f>
        <v>524.4</v>
      </c>
      <c r="BE255" s="498"/>
      <c r="BF255" s="460"/>
      <c r="BG255" s="459">
        <f t="shared" si="1400"/>
        <v>0</v>
      </c>
      <c r="BH255" s="464"/>
      <c r="BI255" s="460"/>
      <c r="BJ255" s="498"/>
      <c r="BK255" s="460"/>
      <c r="BL255" s="459">
        <f t="shared" si="1401"/>
        <v>16152.535999999998</v>
      </c>
      <c r="BM255" s="464"/>
      <c r="BN255" s="460">
        <v>519.9</v>
      </c>
      <c r="BO255" s="499">
        <f>1109.437+7730.82+6792.379</f>
        <v>15632.635999999999</v>
      </c>
      <c r="BP255" s="470"/>
      <c r="BQ255" s="464">
        <f t="shared" si="1402"/>
        <v>16152.535999999998</v>
      </c>
      <c r="BR255" s="464"/>
      <c r="BS255" s="460">
        <v>519.9</v>
      </c>
      <c r="BT255" s="499">
        <f>1109.437+7730.82+6792.379</f>
        <v>15632.635999999999</v>
      </c>
      <c r="BU255" s="470"/>
      <c r="BV255" s="464">
        <f t="shared" si="1403"/>
        <v>9278.1091299999989</v>
      </c>
      <c r="BW255" s="464"/>
      <c r="BX255" s="460">
        <v>354.29237000000001</v>
      </c>
      <c r="BY255" s="499">
        <f>633.31701+4413.10144+0.00108+3877.39723</f>
        <v>8923.8167599999997</v>
      </c>
      <c r="BZ255" s="460"/>
      <c r="CA255" s="464">
        <f t="shared" si="1404"/>
        <v>25430.645130000001</v>
      </c>
      <c r="CB255" s="459">
        <f t="shared" si="1405"/>
        <v>25430.645130000001</v>
      </c>
      <c r="CC255" s="459">
        <f t="shared" si="1406"/>
        <v>0</v>
      </c>
      <c r="CD255" s="459">
        <f t="shared" si="1406"/>
        <v>874.19236999999998</v>
      </c>
      <c r="CE255" s="459">
        <f t="shared" si="1406"/>
        <v>24556.45276</v>
      </c>
      <c r="CF255" s="459">
        <f t="shared" si="1406"/>
        <v>0</v>
      </c>
      <c r="CG255" s="459">
        <f t="shared" si="1407"/>
        <v>0</v>
      </c>
      <c r="CH255" s="459">
        <f t="shared" si="1408"/>
        <v>0</v>
      </c>
      <c r="CI255" s="459">
        <f t="shared" si="1408"/>
        <v>0</v>
      </c>
      <c r="CJ255" s="459">
        <f t="shared" si="1408"/>
        <v>0</v>
      </c>
      <c r="CK255" s="459">
        <f t="shared" si="1408"/>
        <v>0</v>
      </c>
      <c r="CL255" s="465"/>
      <c r="CM255" s="481"/>
      <c r="CN255" s="481"/>
      <c r="CO255" s="459">
        <f t="shared" si="1409"/>
        <v>0</v>
      </c>
      <c r="CP255" s="464"/>
      <c r="CQ255" s="460"/>
      <c r="CR255" s="498"/>
      <c r="CS255" s="460"/>
      <c r="CT255" s="459">
        <f t="shared" si="1410"/>
        <v>0</v>
      </c>
      <c r="CU255" s="464"/>
      <c r="CV255" s="460"/>
      <c r="CW255" s="498"/>
      <c r="CX255" s="460"/>
      <c r="CY255" s="464">
        <f t="shared" si="1411"/>
        <v>0</v>
      </c>
      <c r="CZ255" s="459">
        <f t="shared" si="1418"/>
        <v>0</v>
      </c>
      <c r="DA255" s="459">
        <f t="shared" si="1418"/>
        <v>0</v>
      </c>
      <c r="DB255" s="459">
        <f t="shared" si="1418"/>
        <v>0</v>
      </c>
      <c r="DC255" s="459">
        <f t="shared" si="1418"/>
        <v>0</v>
      </c>
      <c r="DD255" s="498"/>
      <c r="DE255" s="498"/>
      <c r="DF255" s="498"/>
      <c r="DG255" s="464">
        <f t="shared" si="1412"/>
        <v>0</v>
      </c>
      <c r="DH255" s="467"/>
      <c r="DI255" s="459">
        <f t="shared" si="1413"/>
        <v>16152.535999999998</v>
      </c>
      <c r="DJ255" s="459">
        <f t="shared" si="1414"/>
        <v>16152.535999999998</v>
      </c>
      <c r="DK255" s="467"/>
      <c r="DL255" s="464"/>
      <c r="DM255" s="464"/>
      <c r="DN255" s="467"/>
      <c r="DO255" s="464"/>
      <c r="DP255" s="467"/>
      <c r="DQ255" s="467"/>
      <c r="DR255" s="464">
        <f t="shared" si="1375"/>
        <v>16152.535999999998</v>
      </c>
      <c r="DS255" s="464"/>
      <c r="DT255" s="460">
        <v>519.9</v>
      </c>
      <c r="DU255" s="499">
        <f>1109.437+7730.82+6792.379</f>
        <v>15632.635999999999</v>
      </c>
      <c r="DV255" s="470"/>
      <c r="DW255" s="464">
        <f t="shared" si="1119"/>
        <v>9278.1091299999989</v>
      </c>
      <c r="DX255" s="464"/>
      <c r="DY255" s="460">
        <v>354.29237000000001</v>
      </c>
      <c r="DZ255" s="499">
        <f>633.31701+4413.10252+3877.39723</f>
        <v>8923.8167599999997</v>
      </c>
      <c r="EA255" s="147"/>
      <c r="EB255" s="291"/>
      <c r="EC255" s="291"/>
      <c r="ED255" s="286"/>
      <c r="EE255" s="573"/>
      <c r="EF255" s="573"/>
      <c r="EG255" s="291"/>
      <c r="EH255" s="291"/>
      <c r="EI255" s="286"/>
      <c r="EJ255" s="573"/>
      <c r="EK255" s="573"/>
      <c r="EL255" s="573">
        <v>0.109</v>
      </c>
      <c r="EM255" s="574"/>
      <c r="EN255" s="575"/>
      <c r="EO255" s="576" t="e">
        <f t="shared" si="1417"/>
        <v>#DIV/0!</v>
      </c>
      <c r="EP255" s="330">
        <f t="shared" si="1121"/>
        <v>874.19236999999998</v>
      </c>
      <c r="EQ255" s="330">
        <f t="shared" si="1175"/>
        <v>519.9</v>
      </c>
      <c r="ER255" s="328">
        <v>354.29237000000001</v>
      </c>
      <c r="ES255" s="577">
        <f t="shared" si="1419"/>
        <v>0.59472035886105934</v>
      </c>
      <c r="ET255" s="577">
        <f t="shared" si="1420"/>
        <v>0.40527964113894066</v>
      </c>
      <c r="EU255" s="330">
        <f t="shared" si="1122"/>
        <v>874.19236999999998</v>
      </c>
      <c r="EV255" s="330">
        <f t="shared" si="1421"/>
        <v>519.9</v>
      </c>
      <c r="EW255" s="328">
        <f t="shared" si="1422"/>
        <v>354.29237000000001</v>
      </c>
      <c r="EX255" s="577">
        <f t="shared" si="1423"/>
        <v>0.59472035886105934</v>
      </c>
      <c r="EY255" s="577">
        <f t="shared" si="1424"/>
        <v>0.40527964113894066</v>
      </c>
      <c r="EZ255" s="577">
        <v>0.3634</v>
      </c>
      <c r="FA255" s="578">
        <f t="shared" si="1425"/>
        <v>519.9</v>
      </c>
      <c r="FB255" s="578">
        <f t="shared" si="1123"/>
        <v>0</v>
      </c>
      <c r="FC255" s="291">
        <f t="shared" ref="FC255" si="1457">FD255+FE255</f>
        <v>24556.45276</v>
      </c>
      <c r="FD255" s="291">
        <f>AU255</f>
        <v>15632.636</v>
      </c>
      <c r="FE255" s="286">
        <v>8923.8167599999997</v>
      </c>
      <c r="FF255" s="573">
        <f t="shared" ref="FF255" si="1458">FD255/FC255</f>
        <v>0.63659992559935197</v>
      </c>
      <c r="FG255" s="573">
        <f t="shared" ref="FG255" si="1459">FE255/FC255</f>
        <v>0.36340007440064809</v>
      </c>
      <c r="FH255" s="291">
        <f t="shared" si="1181"/>
        <v>24556.45276</v>
      </c>
      <c r="FI255" s="291">
        <f t="shared" si="1230"/>
        <v>15632.635999999999</v>
      </c>
      <c r="FJ255" s="286">
        <f t="shared" si="1231"/>
        <v>8923.8167599999997</v>
      </c>
      <c r="FK255" s="573">
        <f t="shared" ref="FK255" si="1460">FI255/FH255</f>
        <v>0.63659992559935186</v>
      </c>
      <c r="FL255" s="573">
        <f t="shared" ref="FL255" si="1461">FJ255/FH255</f>
        <v>0.36340007440064809</v>
      </c>
      <c r="FM255" s="573">
        <v>0.3634</v>
      </c>
      <c r="FN255" s="574">
        <f t="shared" si="1374"/>
        <v>15632.636000000002</v>
      </c>
      <c r="FO255" s="281">
        <f t="shared" si="1182"/>
        <v>0</v>
      </c>
    </row>
    <row r="256" spans="2:171" s="40" customFormat="1" ht="15.6" customHeight="1" x14ac:dyDescent="0.25">
      <c r="B256" s="32"/>
      <c r="C256" s="33">
        <v>1</v>
      </c>
      <c r="D256" s="33"/>
      <c r="E256" s="434">
        <v>216</v>
      </c>
      <c r="F256" s="32"/>
      <c r="G256" s="33">
        <v>1</v>
      </c>
      <c r="H256" s="33">
        <v>1</v>
      </c>
      <c r="I256" s="434"/>
      <c r="J256" s="435"/>
      <c r="K256" s="435"/>
      <c r="L256" s="53"/>
      <c r="M256" s="434">
        <v>211</v>
      </c>
      <c r="N256" s="435" t="s">
        <v>71</v>
      </c>
      <c r="O256" s="435"/>
      <c r="P256" s="24">
        <f t="shared" si="1120"/>
        <v>0</v>
      </c>
      <c r="Q256" s="435"/>
      <c r="R256" s="435"/>
      <c r="S256" s="435"/>
      <c r="T256" s="435"/>
      <c r="U256" s="161">
        <v>1</v>
      </c>
      <c r="V256" s="434">
        <v>1</v>
      </c>
      <c r="W256" s="459">
        <f t="shared" si="1393"/>
        <v>333.6</v>
      </c>
      <c r="X256" s="464"/>
      <c r="Y256" s="460">
        <v>333.6</v>
      </c>
      <c r="Z256" s="460"/>
      <c r="AA256" s="461"/>
      <c r="AB256" s="459">
        <f t="shared" si="1394"/>
        <v>338.1</v>
      </c>
      <c r="AC256" s="464"/>
      <c r="AD256" s="460">
        <v>338.1</v>
      </c>
      <c r="AE256" s="460"/>
      <c r="AF256" s="461"/>
      <c r="AG256" s="459">
        <f t="shared" si="1395"/>
        <v>338.1</v>
      </c>
      <c r="AH256" s="464"/>
      <c r="AI256" s="460">
        <v>338.1</v>
      </c>
      <c r="AJ256" s="460"/>
      <c r="AK256" s="461"/>
      <c r="AL256" s="459">
        <f t="shared" si="1396"/>
        <v>147</v>
      </c>
      <c r="AM256" s="464"/>
      <c r="AN256" s="460">
        <v>147</v>
      </c>
      <c r="AO256" s="460"/>
      <c r="AP256" s="461"/>
      <c r="AQ256" s="384" t="s">
        <v>432</v>
      </c>
      <c r="AR256" s="459">
        <f>AS256+AT256+AU256+AV256</f>
        <v>333.6</v>
      </c>
      <c r="AS256" s="464"/>
      <c r="AT256" s="462">
        <v>333.6</v>
      </c>
      <c r="AU256" s="460"/>
      <c r="AV256" s="460"/>
      <c r="AW256" s="464" t="e">
        <f t="shared" si="1398"/>
        <v>#REF!</v>
      </c>
      <c r="AX256" s="459" t="e">
        <f>#REF!-AS256</f>
        <v>#REF!</v>
      </c>
      <c r="AY256" s="459" t="e">
        <f>#REF!-AT256</f>
        <v>#REF!</v>
      </c>
      <c r="AZ256" s="459" t="e">
        <f>#REF!-AU256</f>
        <v>#REF!</v>
      </c>
      <c r="BA256" s="459" t="e">
        <f>#REF!-AV256</f>
        <v>#REF!</v>
      </c>
      <c r="BB256" s="459">
        <f t="shared" si="1399"/>
        <v>338.1</v>
      </c>
      <c r="BC256" s="464"/>
      <c r="BD256" s="460">
        <f>142+196.1</f>
        <v>338.1</v>
      </c>
      <c r="BE256" s="498"/>
      <c r="BF256" s="460"/>
      <c r="BG256" s="459">
        <f t="shared" si="1400"/>
        <v>0</v>
      </c>
      <c r="BH256" s="464"/>
      <c r="BI256" s="460"/>
      <c r="BJ256" s="498"/>
      <c r="BK256" s="460"/>
      <c r="BL256" s="459">
        <f t="shared" si="1401"/>
        <v>333.6</v>
      </c>
      <c r="BM256" s="464"/>
      <c r="BN256" s="460">
        <v>333.6</v>
      </c>
      <c r="BO256" s="499"/>
      <c r="BP256" s="470"/>
      <c r="BQ256" s="464">
        <f t="shared" si="1402"/>
        <v>333.6</v>
      </c>
      <c r="BR256" s="464"/>
      <c r="BS256" s="460">
        <v>333.6</v>
      </c>
      <c r="BT256" s="499"/>
      <c r="BU256" s="470"/>
      <c r="BV256" s="464">
        <f t="shared" si="1403"/>
        <v>162.37020000000001</v>
      </c>
      <c r="BW256" s="464"/>
      <c r="BX256" s="460">
        <v>162.37020000000001</v>
      </c>
      <c r="BY256" s="498"/>
      <c r="BZ256" s="460"/>
      <c r="CA256" s="464">
        <f t="shared" si="1404"/>
        <v>495.97020000000003</v>
      </c>
      <c r="CB256" s="459">
        <f t="shared" si="1405"/>
        <v>495.97020000000003</v>
      </c>
      <c r="CC256" s="459">
        <f t="shared" si="1406"/>
        <v>0</v>
      </c>
      <c r="CD256" s="459">
        <f t="shared" si="1406"/>
        <v>495.97020000000003</v>
      </c>
      <c r="CE256" s="459">
        <f t="shared" si="1406"/>
        <v>0</v>
      </c>
      <c r="CF256" s="459">
        <f t="shared" si="1406"/>
        <v>0</v>
      </c>
      <c r="CG256" s="459">
        <f t="shared" si="1407"/>
        <v>0</v>
      </c>
      <c r="CH256" s="459">
        <f t="shared" si="1408"/>
        <v>0</v>
      </c>
      <c r="CI256" s="459">
        <f t="shared" si="1408"/>
        <v>0</v>
      </c>
      <c r="CJ256" s="459">
        <f t="shared" si="1408"/>
        <v>0</v>
      </c>
      <c r="CK256" s="459">
        <f t="shared" si="1408"/>
        <v>0</v>
      </c>
      <c r="CL256" s="465"/>
      <c r="CM256" s="481"/>
      <c r="CN256" s="481"/>
      <c r="CO256" s="459">
        <f t="shared" si="1409"/>
        <v>0</v>
      </c>
      <c r="CP256" s="464"/>
      <c r="CQ256" s="460"/>
      <c r="CR256" s="498"/>
      <c r="CS256" s="460"/>
      <c r="CT256" s="459">
        <f t="shared" si="1410"/>
        <v>0</v>
      </c>
      <c r="CU256" s="464"/>
      <c r="CV256" s="460"/>
      <c r="CW256" s="498"/>
      <c r="CX256" s="460"/>
      <c r="CY256" s="464">
        <f t="shared" si="1411"/>
        <v>0</v>
      </c>
      <c r="CZ256" s="459">
        <f t="shared" si="1418"/>
        <v>0</v>
      </c>
      <c r="DA256" s="459">
        <f t="shared" si="1418"/>
        <v>0</v>
      </c>
      <c r="DB256" s="459">
        <f t="shared" si="1418"/>
        <v>0</v>
      </c>
      <c r="DC256" s="459">
        <f t="shared" si="1418"/>
        <v>0</v>
      </c>
      <c r="DD256" s="498"/>
      <c r="DE256" s="498"/>
      <c r="DF256" s="498"/>
      <c r="DG256" s="464">
        <f t="shared" si="1412"/>
        <v>0</v>
      </c>
      <c r="DH256" s="467"/>
      <c r="DI256" s="459">
        <f t="shared" si="1413"/>
        <v>333.6</v>
      </c>
      <c r="DJ256" s="459">
        <f t="shared" si="1414"/>
        <v>333.6</v>
      </c>
      <c r="DK256" s="467"/>
      <c r="DL256" s="464"/>
      <c r="DM256" s="464"/>
      <c r="DN256" s="467"/>
      <c r="DO256" s="464"/>
      <c r="DP256" s="467"/>
      <c r="DQ256" s="467"/>
      <c r="DR256" s="464">
        <f t="shared" si="1375"/>
        <v>333.6</v>
      </c>
      <c r="DS256" s="464"/>
      <c r="DT256" s="460">
        <v>333.6</v>
      </c>
      <c r="DU256" s="499"/>
      <c r="DV256" s="470"/>
      <c r="DW256" s="464">
        <f t="shared" si="1119"/>
        <v>162.37020000000001</v>
      </c>
      <c r="DX256" s="464"/>
      <c r="DY256" s="460">
        <v>162.37020000000001</v>
      </c>
      <c r="DZ256" s="460"/>
      <c r="EA256" s="147"/>
      <c r="EB256" s="291"/>
      <c r="EC256" s="291"/>
      <c r="ED256" s="286"/>
      <c r="EE256" s="372"/>
      <c r="EF256" s="372"/>
      <c r="EG256" s="291"/>
      <c r="EH256" s="291"/>
      <c r="EI256" s="286"/>
      <c r="EJ256" s="372"/>
      <c r="EK256" s="372"/>
      <c r="EL256" s="372">
        <v>2.75E-2</v>
      </c>
      <c r="EM256" s="292"/>
      <c r="EN256" s="281"/>
      <c r="EO256" s="272" t="e">
        <f t="shared" si="1417"/>
        <v>#DIV/0!</v>
      </c>
      <c r="EP256" s="330">
        <f t="shared" si="1121"/>
        <v>495.97020000000003</v>
      </c>
      <c r="EQ256" s="330">
        <f t="shared" si="1175"/>
        <v>333.6</v>
      </c>
      <c r="ER256" s="328">
        <v>162.37020000000001</v>
      </c>
      <c r="ES256" s="364">
        <f t="shared" si="1419"/>
        <v>0.67262105666832406</v>
      </c>
      <c r="ET256" s="364">
        <f t="shared" si="1420"/>
        <v>0.327378943331676</v>
      </c>
      <c r="EU256" s="330">
        <f t="shared" si="1122"/>
        <v>495.97020000000003</v>
      </c>
      <c r="EV256" s="330">
        <f t="shared" si="1421"/>
        <v>333.6</v>
      </c>
      <c r="EW256" s="328">
        <f t="shared" si="1422"/>
        <v>162.37020000000001</v>
      </c>
      <c r="EX256" s="364">
        <f t="shared" si="1423"/>
        <v>0.67262105666832406</v>
      </c>
      <c r="EY256" s="364">
        <f t="shared" si="1424"/>
        <v>0.327378943331676</v>
      </c>
      <c r="EZ256" s="364">
        <v>9.1600000000000001E-2</v>
      </c>
      <c r="FA256" s="324">
        <f t="shared" si="1425"/>
        <v>333.6</v>
      </c>
      <c r="FB256" s="324">
        <f t="shared" si="1123"/>
        <v>0</v>
      </c>
      <c r="FC256" s="291"/>
      <c r="FD256" s="291"/>
      <c r="FE256" s="286"/>
      <c r="FF256" s="372"/>
      <c r="FG256" s="372"/>
      <c r="FH256" s="291"/>
      <c r="FI256" s="291"/>
      <c r="FJ256" s="286"/>
      <c r="FK256" s="372"/>
      <c r="FL256" s="372"/>
      <c r="FM256" s="372">
        <v>9.1600000000000001E-2</v>
      </c>
      <c r="FN256" s="292"/>
      <c r="FO256" s="281"/>
    </row>
    <row r="257" spans="2:171" s="40" customFormat="1" ht="15.75" customHeight="1" x14ac:dyDescent="0.25">
      <c r="B257" s="32"/>
      <c r="C257" s="33"/>
      <c r="D257" s="33">
        <v>1</v>
      </c>
      <c r="E257" s="434">
        <v>217</v>
      </c>
      <c r="F257" s="32"/>
      <c r="G257" s="33"/>
      <c r="H257" s="33">
        <v>1</v>
      </c>
      <c r="I257" s="434"/>
      <c r="J257" s="435"/>
      <c r="K257" s="435"/>
      <c r="L257" s="53"/>
      <c r="M257" s="434">
        <v>212</v>
      </c>
      <c r="N257" s="435" t="s">
        <v>155</v>
      </c>
      <c r="O257" s="435"/>
      <c r="P257" s="24">
        <f t="shared" si="1120"/>
        <v>0</v>
      </c>
      <c r="Q257" s="435" t="s">
        <v>490</v>
      </c>
      <c r="R257" s="435" t="s">
        <v>488</v>
      </c>
      <c r="S257" s="435"/>
      <c r="T257" s="435"/>
      <c r="U257" s="161">
        <v>1</v>
      </c>
      <c r="V257" s="434"/>
      <c r="W257" s="459">
        <f t="shared" si="1393"/>
        <v>700</v>
      </c>
      <c r="X257" s="464"/>
      <c r="Y257" s="460">
        <v>700</v>
      </c>
      <c r="Z257" s="460"/>
      <c r="AA257" s="461"/>
      <c r="AB257" s="459">
        <f t="shared" si="1394"/>
        <v>671.6</v>
      </c>
      <c r="AC257" s="464"/>
      <c r="AD257" s="460">
        <v>671.6</v>
      </c>
      <c r="AE257" s="460"/>
      <c r="AF257" s="461"/>
      <c r="AG257" s="459">
        <f t="shared" si="1395"/>
        <v>671.6</v>
      </c>
      <c r="AH257" s="464"/>
      <c r="AI257" s="460">
        <v>671.6</v>
      </c>
      <c r="AJ257" s="460"/>
      <c r="AK257" s="461"/>
      <c r="AL257" s="459">
        <f t="shared" si="1396"/>
        <v>292</v>
      </c>
      <c r="AM257" s="464"/>
      <c r="AN257" s="460">
        <v>292</v>
      </c>
      <c r="AO257" s="460"/>
      <c r="AP257" s="461"/>
      <c r="AQ257" s="383" t="s">
        <v>419</v>
      </c>
      <c r="AR257" s="459">
        <f t="shared" si="1397"/>
        <v>700</v>
      </c>
      <c r="AS257" s="464"/>
      <c r="AT257" s="462">
        <v>700</v>
      </c>
      <c r="AU257" s="460"/>
      <c r="AV257" s="461"/>
      <c r="AW257" s="464" t="e">
        <f t="shared" si="1398"/>
        <v>#REF!</v>
      </c>
      <c r="AX257" s="459" t="e">
        <f>#REF!-AS257</f>
        <v>#REF!</v>
      </c>
      <c r="AY257" s="459" t="e">
        <f>#REF!-AT257</f>
        <v>#REF!</v>
      </c>
      <c r="AZ257" s="459" t="e">
        <f>#REF!-AU257</f>
        <v>#REF!</v>
      </c>
      <c r="BA257" s="459" t="e">
        <f>#REF!-AV257</f>
        <v>#REF!</v>
      </c>
      <c r="BB257" s="459">
        <f t="shared" si="1399"/>
        <v>671.6</v>
      </c>
      <c r="BC257" s="464"/>
      <c r="BD257" s="460">
        <f>292+379.6</f>
        <v>671.6</v>
      </c>
      <c r="BE257" s="460"/>
      <c r="BF257" s="461"/>
      <c r="BG257" s="459">
        <f t="shared" si="1400"/>
        <v>0</v>
      </c>
      <c r="BH257" s="464"/>
      <c r="BI257" s="460"/>
      <c r="BJ257" s="460"/>
      <c r="BK257" s="461"/>
      <c r="BL257" s="459">
        <f t="shared" si="1401"/>
        <v>700</v>
      </c>
      <c r="BM257" s="464"/>
      <c r="BN257" s="460">
        <v>700</v>
      </c>
      <c r="BO257" s="470"/>
      <c r="BP257" s="470"/>
      <c r="BQ257" s="459">
        <f t="shared" si="1402"/>
        <v>700</v>
      </c>
      <c r="BR257" s="464"/>
      <c r="BS257" s="460">
        <v>700</v>
      </c>
      <c r="BT257" s="470"/>
      <c r="BU257" s="470"/>
      <c r="BV257" s="464">
        <f t="shared" si="1403"/>
        <v>275</v>
      </c>
      <c r="BW257" s="464"/>
      <c r="BX257" s="460">
        <v>275</v>
      </c>
      <c r="BY257" s="498"/>
      <c r="BZ257" s="460"/>
      <c r="CA257" s="464">
        <f t="shared" si="1404"/>
        <v>975</v>
      </c>
      <c r="CB257" s="459">
        <f t="shared" si="1405"/>
        <v>975</v>
      </c>
      <c r="CC257" s="459">
        <f t="shared" si="1406"/>
        <v>0</v>
      </c>
      <c r="CD257" s="459">
        <f t="shared" si="1406"/>
        <v>975</v>
      </c>
      <c r="CE257" s="459">
        <f t="shared" si="1406"/>
        <v>0</v>
      </c>
      <c r="CF257" s="459">
        <f t="shared" si="1406"/>
        <v>0</v>
      </c>
      <c r="CG257" s="459">
        <f t="shared" si="1407"/>
        <v>0</v>
      </c>
      <c r="CH257" s="459">
        <f t="shared" si="1408"/>
        <v>0</v>
      </c>
      <c r="CI257" s="459">
        <f t="shared" si="1408"/>
        <v>0</v>
      </c>
      <c r="CJ257" s="459">
        <f t="shared" si="1408"/>
        <v>0</v>
      </c>
      <c r="CK257" s="459">
        <f t="shared" si="1408"/>
        <v>0</v>
      </c>
      <c r="CL257" s="465"/>
      <c r="CM257" s="481"/>
      <c r="CN257" s="481"/>
      <c r="CO257" s="459">
        <f t="shared" si="1409"/>
        <v>0</v>
      </c>
      <c r="CP257" s="464"/>
      <c r="CQ257" s="460"/>
      <c r="CR257" s="460"/>
      <c r="CS257" s="461"/>
      <c r="CT257" s="459">
        <f t="shared" si="1410"/>
        <v>0</v>
      </c>
      <c r="CU257" s="464"/>
      <c r="CV257" s="460"/>
      <c r="CW257" s="460"/>
      <c r="CX257" s="461"/>
      <c r="CY257" s="464">
        <f t="shared" si="1411"/>
        <v>0</v>
      </c>
      <c r="CZ257" s="459">
        <f t="shared" si="1418"/>
        <v>0</v>
      </c>
      <c r="DA257" s="459">
        <f t="shared" si="1418"/>
        <v>0</v>
      </c>
      <c r="DB257" s="459">
        <f t="shared" si="1418"/>
        <v>0</v>
      </c>
      <c r="DC257" s="459">
        <f t="shared" si="1418"/>
        <v>0</v>
      </c>
      <c r="DD257" s="498"/>
      <c r="DE257" s="498"/>
      <c r="DF257" s="498"/>
      <c r="DG257" s="464">
        <f t="shared" si="1412"/>
        <v>0</v>
      </c>
      <c r="DH257" s="467"/>
      <c r="DI257" s="459">
        <f t="shared" si="1413"/>
        <v>700</v>
      </c>
      <c r="DJ257" s="459">
        <f t="shared" si="1414"/>
        <v>700</v>
      </c>
      <c r="DK257" s="467"/>
      <c r="DL257" s="464"/>
      <c r="DM257" s="464"/>
      <c r="DN257" s="467"/>
      <c r="DO257" s="464"/>
      <c r="DP257" s="467"/>
      <c r="DQ257" s="467"/>
      <c r="DR257" s="464">
        <f t="shared" si="1375"/>
        <v>700</v>
      </c>
      <c r="DS257" s="464"/>
      <c r="DT257" s="460">
        <v>700</v>
      </c>
      <c r="DU257" s="470"/>
      <c r="DV257" s="470"/>
      <c r="DW257" s="459">
        <f t="shared" si="1119"/>
        <v>275</v>
      </c>
      <c r="DX257" s="464"/>
      <c r="DY257" s="460">
        <v>275</v>
      </c>
      <c r="DZ257" s="460"/>
      <c r="EA257" s="147"/>
      <c r="EB257" s="279"/>
      <c r="EC257" s="291"/>
      <c r="ED257" s="286"/>
      <c r="EE257" s="372"/>
      <c r="EF257" s="372"/>
      <c r="EG257" s="279"/>
      <c r="EH257" s="291"/>
      <c r="EI257" s="286"/>
      <c r="EJ257" s="372"/>
      <c r="EK257" s="372"/>
      <c r="EL257" s="372">
        <v>0.06</v>
      </c>
      <c r="EM257" s="292"/>
      <c r="EN257" s="281"/>
      <c r="EO257" s="272" t="e">
        <f t="shared" si="1417"/>
        <v>#DIV/0!</v>
      </c>
      <c r="EP257" s="323">
        <f t="shared" si="1121"/>
        <v>975</v>
      </c>
      <c r="EQ257" s="330">
        <f t="shared" si="1175"/>
        <v>700</v>
      </c>
      <c r="ER257" s="328">
        <v>275</v>
      </c>
      <c r="ES257" s="364">
        <f t="shared" si="1419"/>
        <v>0.71794871794871795</v>
      </c>
      <c r="ET257" s="364">
        <f t="shared" si="1420"/>
        <v>0.28205128205128205</v>
      </c>
      <c r="EU257" s="323">
        <f t="shared" si="1122"/>
        <v>975</v>
      </c>
      <c r="EV257" s="330">
        <f t="shared" si="1421"/>
        <v>700</v>
      </c>
      <c r="EW257" s="328">
        <f t="shared" si="1422"/>
        <v>275</v>
      </c>
      <c r="EX257" s="364">
        <f t="shared" si="1423"/>
        <v>0.71794871794871795</v>
      </c>
      <c r="EY257" s="364">
        <f t="shared" si="1424"/>
        <v>0.28205128205128205</v>
      </c>
      <c r="EZ257" s="364">
        <v>0.2001</v>
      </c>
      <c r="FA257" s="324">
        <f t="shared" si="1425"/>
        <v>700</v>
      </c>
      <c r="FB257" s="324">
        <f t="shared" si="1123"/>
        <v>0</v>
      </c>
      <c r="FC257" s="279"/>
      <c r="FD257" s="291"/>
      <c r="FE257" s="286"/>
      <c r="FF257" s="372"/>
      <c r="FG257" s="372"/>
      <c r="FH257" s="279"/>
      <c r="FI257" s="291"/>
      <c r="FJ257" s="286"/>
      <c r="FK257" s="372"/>
      <c r="FL257" s="372"/>
      <c r="FM257" s="372">
        <v>0.2001</v>
      </c>
      <c r="FN257" s="292"/>
      <c r="FO257" s="281"/>
    </row>
    <row r="258" spans="2:171" s="119" customFormat="1" ht="15.75" customHeight="1" thickBot="1" x14ac:dyDescent="0.3">
      <c r="B258" s="122">
        <f>SUM(B6:B257)</f>
        <v>18</v>
      </c>
      <c r="C258" s="122">
        <f>SUM(C6:C257)</f>
        <v>60</v>
      </c>
      <c r="D258" s="122">
        <f>SUM(D6:D257)</f>
        <v>139</v>
      </c>
      <c r="E258" s="123"/>
      <c r="F258" s="122">
        <f>SUM(F6:F257)</f>
        <v>8</v>
      </c>
      <c r="G258" s="122">
        <f>SUM(G6:G257)</f>
        <v>53</v>
      </c>
      <c r="H258" s="122">
        <f>SUM(H6:H257)</f>
        <v>165</v>
      </c>
      <c r="I258" s="124"/>
      <c r="J258" s="125"/>
      <c r="K258" s="125"/>
      <c r="L258" s="120"/>
      <c r="M258" s="123"/>
      <c r="N258" s="118" t="s">
        <v>255</v>
      </c>
      <c r="O258" s="118"/>
      <c r="P258" s="68">
        <f t="shared" si="1120"/>
        <v>62701.03200999985</v>
      </c>
      <c r="Q258" s="118"/>
      <c r="R258" s="118"/>
      <c r="S258" s="118"/>
      <c r="T258" s="118"/>
      <c r="U258" s="163">
        <f>U6+U8+U20+U39+U57+U79+U94+U114+U128+U137+U151+U159+U177+U195+U203+U220+U230+U242</f>
        <v>184</v>
      </c>
      <c r="V258" s="163">
        <f>V6+V8+V20+V39+V57+V79+V94+V114+V128+V137+V151+V159+V177+V195+V203+V220+V230+V242</f>
        <v>174</v>
      </c>
      <c r="W258" s="452">
        <f t="shared" ref="W258:AA258" si="1462">W6+W8+W20+W39+W57+W79+W94+W114+W128+W137+W151+W159+W177+W195+W203+W220+W230+W242</f>
        <v>1078906.5860000001</v>
      </c>
      <c r="X258" s="452">
        <f t="shared" si="1462"/>
        <v>143217.158</v>
      </c>
      <c r="Y258" s="452">
        <f t="shared" si="1462"/>
        <v>229999.99999999997</v>
      </c>
      <c r="Z258" s="452">
        <f t="shared" si="1462"/>
        <v>705689.42799999996</v>
      </c>
      <c r="AA258" s="452">
        <f t="shared" si="1462"/>
        <v>0</v>
      </c>
      <c r="AB258" s="452">
        <f t="shared" ref="AB258:AF258" si="1463">AB6+AB8+AB20+AB39+AB57+AB79+AB94+AB114+AB128+AB137+AB151+AB159+AB177+AB195+AB203+AB220+AB230+AB242</f>
        <v>725517.049</v>
      </c>
      <c r="AC258" s="452">
        <f t="shared" si="1463"/>
        <v>240790.99799999999</v>
      </c>
      <c r="AD258" s="452">
        <f t="shared" si="1463"/>
        <v>230000.00000000003</v>
      </c>
      <c r="AE258" s="452">
        <f t="shared" si="1463"/>
        <v>254726.05099999998</v>
      </c>
      <c r="AF258" s="452">
        <f t="shared" si="1463"/>
        <v>0</v>
      </c>
      <c r="AG258" s="452">
        <f t="shared" ref="AG258:AK258" si="1464">AG6+AG8+AG20+AG39+AG57+AG79+AG94+AG114+AG128+AG137+AG151+AG159+AG177+AG195+AG203+AG220+AG230+AG242</f>
        <v>564246.39999999979</v>
      </c>
      <c r="AH258" s="452">
        <f t="shared" si="1464"/>
        <v>172677.7</v>
      </c>
      <c r="AI258" s="452">
        <f t="shared" si="1464"/>
        <v>230000.00000000003</v>
      </c>
      <c r="AJ258" s="452">
        <f t="shared" si="1464"/>
        <v>161568.70000000001</v>
      </c>
      <c r="AK258" s="452">
        <f t="shared" si="1464"/>
        <v>0</v>
      </c>
      <c r="AL258" s="454">
        <f t="shared" ref="AL258:AP258" si="1465">AL6+AL8+AL20+AL39+AL57+AL79+AL94+AL114+AL128+AL137+AL151+AL159+AL177+AL195+AL203+AL220+AL230+AL242</f>
        <v>434246.39999999997</v>
      </c>
      <c r="AM258" s="452">
        <f t="shared" si="1465"/>
        <v>172677.7</v>
      </c>
      <c r="AN258" s="452">
        <f t="shared" si="1465"/>
        <v>100000</v>
      </c>
      <c r="AO258" s="452">
        <f t="shared" si="1465"/>
        <v>161568.70000000001</v>
      </c>
      <c r="AP258" s="452">
        <f t="shared" si="1465"/>
        <v>0</v>
      </c>
      <c r="AQ258" s="500"/>
      <c r="AR258" s="452">
        <f>AS258+AT258+AU258</f>
        <v>1062078.913468</v>
      </c>
      <c r="AS258" s="452">
        <f t="shared" ref="AS258:AU258" si="1466">AS6+AS8+AS20+AS39+AS57+AS79+AS94+AS114+AS128+AS137+AS151+AS159+AS177+AS195+AS203+AS220+AS230+AS242</f>
        <v>143217.158</v>
      </c>
      <c r="AT258" s="452">
        <f t="shared" si="1466"/>
        <v>221819.15705800004</v>
      </c>
      <c r="AU258" s="452">
        <f t="shared" si="1466"/>
        <v>697042.59840999986</v>
      </c>
      <c r="AV258" s="452">
        <f>AV6+AV8+AV20+AV39+AV57+AV79+AV94+AV114+AV128+AV137+AV151+AV159+AV177+AV195+AV203+AV220+AV230+AV242</f>
        <v>0</v>
      </c>
      <c r="AW258" s="452" t="e">
        <f t="shared" ref="AW258:BZ258" si="1467">AW6+AW8+AW20+AW39+AW57+AW79+AW94+AW114+AW128+AW137+AW151+AW159+AW177+AW195+AW203+AW220+AW230+AW242</f>
        <v>#REF!</v>
      </c>
      <c r="AX258" s="452" t="e">
        <f t="shared" si="1467"/>
        <v>#REF!</v>
      </c>
      <c r="AY258" s="452" t="e">
        <f t="shared" si="1467"/>
        <v>#REF!</v>
      </c>
      <c r="AZ258" s="452" t="e">
        <f t="shared" si="1467"/>
        <v>#REF!</v>
      </c>
      <c r="BA258" s="452" t="e">
        <f t="shared" si="1467"/>
        <v>#REF!</v>
      </c>
      <c r="BB258" s="452">
        <f t="shared" si="1467"/>
        <v>642445.59033999988</v>
      </c>
      <c r="BC258" s="452">
        <f t="shared" si="1467"/>
        <v>163796.96234</v>
      </c>
      <c r="BD258" s="452">
        <f t="shared" si="1467"/>
        <v>223922.57699999999</v>
      </c>
      <c r="BE258" s="452">
        <f t="shared" si="1467"/>
        <v>254726.05100000004</v>
      </c>
      <c r="BF258" s="452">
        <f t="shared" si="1467"/>
        <v>0</v>
      </c>
      <c r="BG258" s="452">
        <f t="shared" si="1467"/>
        <v>0</v>
      </c>
      <c r="BH258" s="452">
        <f t="shared" si="1467"/>
        <v>0</v>
      </c>
      <c r="BI258" s="452">
        <f t="shared" si="1467"/>
        <v>0</v>
      </c>
      <c r="BJ258" s="452">
        <f t="shared" si="1467"/>
        <v>0</v>
      </c>
      <c r="BK258" s="452">
        <f t="shared" si="1467"/>
        <v>0</v>
      </c>
      <c r="BL258" s="452">
        <f t="shared" si="1467"/>
        <v>1054196.76327</v>
      </c>
      <c r="BM258" s="452">
        <f t="shared" si="1467"/>
        <v>143217.158</v>
      </c>
      <c r="BN258" s="452">
        <f t="shared" si="1467"/>
        <v>219066.80106000003</v>
      </c>
      <c r="BO258" s="452">
        <f t="shared" si="1467"/>
        <v>691912.80420999986</v>
      </c>
      <c r="BP258" s="452">
        <f t="shared" si="1467"/>
        <v>0</v>
      </c>
      <c r="BQ258" s="452">
        <f t="shared" si="1467"/>
        <v>991495.73126000015</v>
      </c>
      <c r="BR258" s="452">
        <f t="shared" si="1467"/>
        <v>80516.12599</v>
      </c>
      <c r="BS258" s="452">
        <f t="shared" si="1467"/>
        <v>219066.80106000003</v>
      </c>
      <c r="BT258" s="452">
        <f t="shared" si="1467"/>
        <v>691912.80420999986</v>
      </c>
      <c r="BU258" s="452">
        <f t="shared" si="1467"/>
        <v>0</v>
      </c>
      <c r="BV258" s="454">
        <f t="shared" si="1467"/>
        <v>173604.85037000003</v>
      </c>
      <c r="BW258" s="452">
        <f t="shared" si="1467"/>
        <v>3804.0195400000002</v>
      </c>
      <c r="BX258" s="452">
        <f t="shared" si="1467"/>
        <v>80103.362610000011</v>
      </c>
      <c r="BY258" s="452">
        <f t="shared" si="1467"/>
        <v>89697.468219999995</v>
      </c>
      <c r="BZ258" s="452">
        <f t="shared" si="1467"/>
        <v>0</v>
      </c>
      <c r="CA258" s="452"/>
      <c r="CB258" s="452">
        <f t="shared" ref="CB258:CK258" si="1468">CB6+CB8+CB20+CB39+CB57+CB79+CB94+CB114+CB128+CB137+CB151+CB159+CB177+CB195+CB203+CB220+CB230+CB242</f>
        <v>1165100.5816299999</v>
      </c>
      <c r="CC258" s="452">
        <f t="shared" si="1468"/>
        <v>84320.145530000009</v>
      </c>
      <c r="CD258" s="452">
        <f t="shared" si="1468"/>
        <v>299170.16367000004</v>
      </c>
      <c r="CE258" s="452">
        <f t="shared" si="1468"/>
        <v>781610.2724299999</v>
      </c>
      <c r="CF258" s="452">
        <f t="shared" si="1468"/>
        <v>0</v>
      </c>
      <c r="CG258" s="452">
        <f t="shared" si="1468"/>
        <v>62701.032010000003</v>
      </c>
      <c r="CH258" s="452">
        <f t="shared" si="1468"/>
        <v>62701.032010000003</v>
      </c>
      <c r="CI258" s="452">
        <f t="shared" si="1468"/>
        <v>0</v>
      </c>
      <c r="CJ258" s="452">
        <f t="shared" si="1468"/>
        <v>0</v>
      </c>
      <c r="CK258" s="452">
        <f t="shared" si="1468"/>
        <v>0</v>
      </c>
      <c r="CL258" s="455"/>
      <c r="CM258" s="456">
        <f t="shared" ref="CM258:DG258" si="1469">CM6+CM8+CM20+CM39+CM57+CM79+CM94+CM114+CM128+CM137+CM151+CM159+CM177+CM195+CM203+CM220+CM230+CM242</f>
        <v>649220.98596999992</v>
      </c>
      <c r="CN258" s="456">
        <f t="shared" si="1469"/>
        <v>637328.28596999985</v>
      </c>
      <c r="CO258" s="452">
        <f t="shared" si="1469"/>
        <v>0</v>
      </c>
      <c r="CP258" s="452">
        <f t="shared" si="1469"/>
        <v>0</v>
      </c>
      <c r="CQ258" s="452">
        <f t="shared" si="1469"/>
        <v>0</v>
      </c>
      <c r="CR258" s="452">
        <f t="shared" si="1469"/>
        <v>0</v>
      </c>
      <c r="CS258" s="452">
        <f t="shared" si="1469"/>
        <v>0</v>
      </c>
      <c r="CT258" s="452">
        <f t="shared" si="1469"/>
        <v>0</v>
      </c>
      <c r="CU258" s="452">
        <f t="shared" si="1469"/>
        <v>0</v>
      </c>
      <c r="CV258" s="452">
        <f t="shared" si="1469"/>
        <v>0</v>
      </c>
      <c r="CW258" s="452">
        <f t="shared" si="1469"/>
        <v>0</v>
      </c>
      <c r="CX258" s="452">
        <f t="shared" si="1469"/>
        <v>0</v>
      </c>
      <c r="CY258" s="501">
        <f t="shared" si="1469"/>
        <v>0</v>
      </c>
      <c r="CZ258" s="501">
        <f t="shared" si="1469"/>
        <v>0</v>
      </c>
      <c r="DA258" s="501">
        <f t="shared" si="1469"/>
        <v>0</v>
      </c>
      <c r="DB258" s="501">
        <f t="shared" si="1469"/>
        <v>0</v>
      </c>
      <c r="DC258" s="501">
        <f t="shared" si="1469"/>
        <v>0</v>
      </c>
      <c r="DD258" s="501">
        <f t="shared" si="1469"/>
        <v>0</v>
      </c>
      <c r="DE258" s="501">
        <f t="shared" si="1469"/>
        <v>0</v>
      </c>
      <c r="DF258" s="501">
        <f t="shared" si="1469"/>
        <v>0</v>
      </c>
      <c r="DG258" s="452">
        <f t="shared" si="1469"/>
        <v>62701.032010000003</v>
      </c>
      <c r="DH258" s="457"/>
      <c r="DI258" s="452">
        <f>DI6+DI8+DI20+DI39+DI57+DI79+DI94+DI114+DI128+DI137+DI151+DI159+DI177+DI195+DI203+DI220+DI230+DI242</f>
        <v>1054196.76327</v>
      </c>
      <c r="DJ258" s="452">
        <f>DJ6+DJ8+DJ20+DJ39+DJ57+DJ79+DJ94+DJ114+DJ128+DJ137+DJ151+DJ159+DJ177+DJ195+DJ203+DJ220+DJ230+DJ242</f>
        <v>991495.73126000015</v>
      </c>
      <c r="DK258" s="457"/>
      <c r="DL258" s="452">
        <f>DL6+DL8+DL20+DL39+DL57+DL79+DL94+DL114+DL128+DL137+DL151+DL159+DL177+DL195+DL203+DL220+DL230+DL242</f>
        <v>991495.73126000015</v>
      </c>
      <c r="DM258" s="452">
        <f>DM6+DM8+DM20+DM39+DM57+DM79+DM94+DM114+DM128+DM137+DM151+DM159+DM177+DM195+DM203+DM220+DM230+DM242</f>
        <v>62701.032010000003</v>
      </c>
      <c r="DN258" s="457"/>
      <c r="DO258" s="452">
        <f>DO6+DO8+DO20+DO39+DO57+DO79+DO94+DO114+DO128+DO137+DO151+DO159+DO177+DO195+DO203+DO220+DO230+DO242</f>
        <v>-354167.44529000012</v>
      </c>
      <c r="DP258" s="457"/>
      <c r="DQ258" s="457"/>
      <c r="DR258" s="452">
        <f t="shared" si="1375"/>
        <v>991495.73125999991</v>
      </c>
      <c r="DS258" s="452">
        <f t="shared" ref="DS258:DU258" si="1470">DS6+DS8+DS20+DS39+DS57+DS79+DS94+DS114+DS128+DS137+DS151+DS159+DS177+DS195+DS203+DS220+DS230+DS242</f>
        <v>80516.12599</v>
      </c>
      <c r="DT258" s="452">
        <f t="shared" si="1470"/>
        <v>219066.80106000003</v>
      </c>
      <c r="DU258" s="452">
        <f t="shared" si="1470"/>
        <v>691912.80420999986</v>
      </c>
      <c r="DV258" s="502">
        <f t="shared" ref="DV258" si="1471">DV6+DV8+DV20+DV39+DV57+DV79+DV94+DV114+DV128+DV137+DV151+DV159+DV177+DV195+DV203+DV220+DV230+DV242</f>
        <v>0</v>
      </c>
      <c r="DW258" s="452">
        <f t="shared" si="1119"/>
        <v>173604.85037</v>
      </c>
      <c r="DX258" s="452">
        <f t="shared" ref="DX258:DZ258" si="1472">DX6+DX8+DX20+DX39+DX57+DX79+DX94+DX114+DX128+DX137+DX151+DX159+DX177+DX195+DX203+DX220+DX230+DX242</f>
        <v>3804.0195400000002</v>
      </c>
      <c r="DY258" s="452">
        <f t="shared" si="1472"/>
        <v>80103.362610000011</v>
      </c>
      <c r="DZ258" s="452">
        <f t="shared" si="1472"/>
        <v>89697.468219999995</v>
      </c>
      <c r="EA258" s="57">
        <f t="shared" ref="EA258" si="1473">EA6+EA8+EA20+EA39+EA57+EA79+EA94+EA114+EA128+EA137+EA151+EA159+EA177+EA195+EA203+EA220+EA230+EA242</f>
        <v>0</v>
      </c>
      <c r="EB258" s="57">
        <f t="shared" si="1169"/>
        <v>149190.47579</v>
      </c>
      <c r="EC258" s="57">
        <f t="shared" ref="EC258:ED258" si="1474">EC6+EC8+EC20+EC39+EC57+EC79+EC94+EC114+EC128+EC137+EC151+EC159+EC177+EC195+EC203+EC220+EC230+EC242</f>
        <v>143217.158</v>
      </c>
      <c r="ED258" s="57">
        <f t="shared" si="1474"/>
        <v>5973.3177899999991</v>
      </c>
      <c r="EE258" s="360"/>
      <c r="EF258" s="360"/>
      <c r="EG258" s="57">
        <f t="shared" si="1172"/>
        <v>84320.145529999994</v>
      </c>
      <c r="EH258" s="57">
        <f t="shared" ref="EH258:EI258" si="1475">EH6+EH8+EH20+EH39+EH57+EH79+EH94+EH114+EH128+EH137+EH151+EH159+EH177+EH195+EH203+EH220+EH230+EH242</f>
        <v>80516.12599</v>
      </c>
      <c r="EI258" s="57">
        <f t="shared" si="1475"/>
        <v>3804.0195400000002</v>
      </c>
      <c r="EJ258" s="360"/>
      <c r="EK258" s="360"/>
      <c r="EL258" s="360"/>
      <c r="EM258" s="273"/>
      <c r="EN258" s="273"/>
      <c r="EO258" s="264"/>
      <c r="EP258" s="57">
        <f t="shared" si="1121"/>
        <v>302382.82206800004</v>
      </c>
      <c r="EQ258" s="57">
        <f t="shared" si="1175"/>
        <v>221819.15705800004</v>
      </c>
      <c r="ER258" s="57">
        <f t="shared" ref="ER258" si="1476">ER6+ER8+ER20+ER39+ER57+ER79+ER94+ER114+ER128+ER137+ER151+ER159+ER177+ER195+ER203+ER220+ER230+ER242</f>
        <v>80563.665010000012</v>
      </c>
      <c r="ES258" s="360"/>
      <c r="ET258" s="360"/>
      <c r="EU258" s="57">
        <f t="shared" si="1122"/>
        <v>223733.28399</v>
      </c>
      <c r="EV258" s="57">
        <f t="shared" ref="EV258" si="1477">EC258</f>
        <v>143217.158</v>
      </c>
      <c r="EW258" s="57">
        <f t="shared" ref="EW258" si="1478">EH258</f>
        <v>80516.12599</v>
      </c>
      <c r="EX258" s="360"/>
      <c r="EY258" s="360"/>
      <c r="EZ258" s="360"/>
      <c r="FA258" s="57"/>
      <c r="FB258" s="273"/>
      <c r="FC258" s="57">
        <f t="shared" ref="FC258" si="1479">FD258+FE258+FF258</f>
        <v>787723.10720999981</v>
      </c>
      <c r="FD258" s="57">
        <f t="shared" si="1179"/>
        <v>697042.59840999986</v>
      </c>
      <c r="FE258" s="57">
        <f t="shared" ref="FE258" si="1480">FE6+FE8+FE20+FE39+FE57+FE79+FE94+FE114+FE128+FE137+FE151+FE159+FE177+FE195+FE203+FE220+FE230+FE242</f>
        <v>90680.508799999996</v>
      </c>
      <c r="FF258" s="360"/>
      <c r="FG258" s="360"/>
      <c r="FH258" s="57">
        <f t="shared" si="1181"/>
        <v>781610.2724299999</v>
      </c>
      <c r="FI258" s="57">
        <f t="shared" si="1230"/>
        <v>691912.80420999986</v>
      </c>
      <c r="FJ258" s="57">
        <f t="shared" si="1231"/>
        <v>89697.468219999995</v>
      </c>
      <c r="FK258" s="360"/>
      <c r="FL258" s="360"/>
      <c r="FM258" s="360"/>
      <c r="FN258" s="273"/>
      <c r="FO258" s="57"/>
    </row>
    <row r="259" spans="2:171" s="218" customFormat="1" ht="18.600000000000001" hidden="1" customHeight="1" thickTop="1" thickBot="1" x14ac:dyDescent="0.3">
      <c r="B259" s="210"/>
      <c r="C259" s="211"/>
      <c r="D259" s="210"/>
      <c r="E259" s="212"/>
      <c r="F259" s="210"/>
      <c r="G259" s="211"/>
      <c r="H259" s="210"/>
      <c r="I259" s="213"/>
      <c r="J259" s="214"/>
      <c r="K259" s="214"/>
      <c r="L259" s="215"/>
      <c r="M259" s="216"/>
      <c r="N259" s="217" t="s">
        <v>256</v>
      </c>
      <c r="O259" s="217"/>
      <c r="P259" s="248">
        <f t="shared" si="1120"/>
        <v>0</v>
      </c>
      <c r="Q259" s="217"/>
      <c r="R259" s="217"/>
      <c r="S259" s="217"/>
      <c r="T259" s="217"/>
      <c r="U259" s="217"/>
      <c r="V259" s="217"/>
      <c r="W259" s="503">
        <f>X259</f>
        <v>0</v>
      </c>
      <c r="X259" s="503">
        <v>0</v>
      </c>
      <c r="Y259" s="503">
        <v>0</v>
      </c>
      <c r="Z259" s="503"/>
      <c r="AA259" s="504"/>
      <c r="AB259" s="503">
        <v>0</v>
      </c>
      <c r="AC259" s="503">
        <v>0</v>
      </c>
      <c r="AD259" s="503">
        <v>0</v>
      </c>
      <c r="AE259" s="503">
        <v>0</v>
      </c>
      <c r="AF259" s="504"/>
      <c r="AG259" s="503">
        <f>AH259+AI259+AJ259+AK259</f>
        <v>161270.64899999998</v>
      </c>
      <c r="AH259" s="503">
        <v>68113.297999999995</v>
      </c>
      <c r="AI259" s="503">
        <v>0</v>
      </c>
      <c r="AJ259" s="503">
        <v>93157.350999999995</v>
      </c>
      <c r="AK259" s="504"/>
      <c r="AL259" s="505">
        <f>AM259+AN259+AO259+AP259</f>
        <v>0</v>
      </c>
      <c r="AM259" s="503"/>
      <c r="AN259" s="503"/>
      <c r="AO259" s="503">
        <v>0</v>
      </c>
      <c r="AP259" s="503"/>
      <c r="AQ259" s="506"/>
      <c r="AR259" s="505">
        <f t="shared" ref="AR259" si="1481">AS259+AT259+AU259+AV259</f>
        <v>0</v>
      </c>
      <c r="AS259" s="507"/>
      <c r="AT259" s="507"/>
      <c r="AU259" s="507"/>
      <c r="AV259" s="507"/>
      <c r="AW259" s="503" t="e">
        <f>AX259+AY259+AZ259+BA259</f>
        <v>#REF!</v>
      </c>
      <c r="AX259" s="508" t="e">
        <f>#REF!-AS259</f>
        <v>#REF!</v>
      </c>
      <c r="AY259" s="508" t="e">
        <f>#REF!-AT259</f>
        <v>#REF!</v>
      </c>
      <c r="AZ259" s="508" t="e">
        <f>#REF!-AU259</f>
        <v>#REF!</v>
      </c>
      <c r="BA259" s="508" t="e">
        <f>#REF!-AV259</f>
        <v>#REF!</v>
      </c>
      <c r="BB259" s="505">
        <f t="shared" ref="BB259" si="1482">BC259+BD259+BE259+BF259</f>
        <v>0</v>
      </c>
      <c r="BC259" s="507"/>
      <c r="BD259" s="507"/>
      <c r="BE259" s="507"/>
      <c r="BF259" s="507"/>
      <c r="BG259" s="505">
        <f t="shared" ref="BG259" si="1483">BH259+BI259+BJ259+BK259</f>
        <v>0</v>
      </c>
      <c r="BH259" s="507"/>
      <c r="BI259" s="507"/>
      <c r="BJ259" s="507"/>
      <c r="BK259" s="507"/>
      <c r="BL259" s="505">
        <f t="shared" ref="BL259" si="1484">BM259+BN259+BO259+BP259</f>
        <v>0</v>
      </c>
      <c r="BM259" s="507"/>
      <c r="BN259" s="507"/>
      <c r="BO259" s="507"/>
      <c r="BP259" s="507"/>
      <c r="BQ259" s="505">
        <f t="shared" ref="BQ259" si="1485">BR259+BS259+BT259+BU259</f>
        <v>0</v>
      </c>
      <c r="BR259" s="507"/>
      <c r="BS259" s="507"/>
      <c r="BT259" s="507"/>
      <c r="BU259" s="507"/>
      <c r="BV259" s="509"/>
      <c r="BW259" s="507"/>
      <c r="BX259" s="507"/>
      <c r="BY259" s="507"/>
      <c r="BZ259" s="507"/>
      <c r="CA259" s="503">
        <f>CB259</f>
        <v>0</v>
      </c>
      <c r="CB259" s="505">
        <f>CC259+CD259+CE259+CF259</f>
        <v>0</v>
      </c>
      <c r="CC259" s="505">
        <f>BR259+BW259</f>
        <v>0</v>
      </c>
      <c r="CD259" s="505">
        <f>BS259+BX259</f>
        <v>0</v>
      </c>
      <c r="CE259" s="505">
        <f>BT259+BY259</f>
        <v>0</v>
      </c>
      <c r="CF259" s="505">
        <f>BU259+BZ259</f>
        <v>0</v>
      </c>
      <c r="CG259" s="503">
        <f t="shared" ref="CG259" si="1486">CH259+CI259+CJ259+CK259</f>
        <v>0</v>
      </c>
      <c r="CH259" s="505">
        <f>BC259-BR259</f>
        <v>0</v>
      </c>
      <c r="CI259" s="505">
        <f>BD259-BS259</f>
        <v>0</v>
      </c>
      <c r="CJ259" s="508">
        <f>BE259-BT259</f>
        <v>0</v>
      </c>
      <c r="CK259" s="508">
        <f>BF259-BU259</f>
        <v>0</v>
      </c>
      <c r="CL259" s="510"/>
      <c r="CM259" s="511"/>
      <c r="CN259" s="511"/>
      <c r="CO259" s="505">
        <f t="shared" ref="CO259" si="1487">CP259+CQ259+CR259+CS259</f>
        <v>0</v>
      </c>
      <c r="CP259" s="507"/>
      <c r="CQ259" s="507"/>
      <c r="CR259" s="507"/>
      <c r="CS259" s="507"/>
      <c r="CT259" s="505">
        <f t="shared" ref="CT259" si="1488">CU259+CV259+CW259+CX259</f>
        <v>0</v>
      </c>
      <c r="CU259" s="507"/>
      <c r="CV259" s="507"/>
      <c r="CW259" s="507"/>
      <c r="CX259" s="507"/>
      <c r="CY259" s="507"/>
      <c r="CZ259" s="507"/>
      <c r="DA259" s="507"/>
      <c r="DB259" s="507"/>
      <c r="DC259" s="507"/>
      <c r="DD259" s="507"/>
      <c r="DE259" s="507"/>
      <c r="DF259" s="507"/>
      <c r="DG259" s="512"/>
      <c r="DH259" s="513"/>
      <c r="DI259" s="512"/>
      <c r="DJ259" s="512"/>
      <c r="DK259" s="513"/>
      <c r="DL259" s="514"/>
      <c r="DM259" s="514"/>
      <c r="DN259" s="513"/>
      <c r="DO259" s="514"/>
      <c r="DP259" s="513"/>
      <c r="DQ259" s="513"/>
      <c r="DR259" s="514"/>
      <c r="DS259" s="514"/>
      <c r="DT259" s="514"/>
      <c r="DU259" s="514"/>
      <c r="DV259" s="515"/>
      <c r="DW259" s="514"/>
      <c r="DX259" s="514"/>
      <c r="DY259" s="514"/>
      <c r="DZ259" s="514"/>
      <c r="EA259" s="219"/>
      <c r="EB259" s="293"/>
      <c r="EC259" s="293"/>
      <c r="ED259" s="293"/>
      <c r="EE259" s="293"/>
      <c r="EF259" s="293"/>
      <c r="EG259" s="293"/>
      <c r="EH259" s="293"/>
      <c r="EI259" s="293"/>
      <c r="EJ259" s="293"/>
      <c r="EK259" s="293"/>
      <c r="EL259" s="293"/>
      <c r="EM259" s="293"/>
      <c r="EN259" s="293"/>
      <c r="EO259" s="219"/>
      <c r="EP259" s="331"/>
      <c r="EQ259" s="331"/>
      <c r="ER259" s="331"/>
      <c r="ES259" s="331"/>
      <c r="ET259" s="331"/>
      <c r="EU259" s="331"/>
      <c r="EV259" s="331"/>
      <c r="EW259" s="331"/>
      <c r="EX259" s="331"/>
      <c r="EY259" s="331"/>
      <c r="EZ259" s="331"/>
      <c r="FA259" s="331"/>
      <c r="FB259" s="331"/>
      <c r="FC259" s="293"/>
      <c r="FD259" s="293"/>
      <c r="FE259" s="293"/>
      <c r="FF259" s="293"/>
      <c r="FG259" s="293"/>
      <c r="FH259" s="293"/>
      <c r="FI259" s="293"/>
      <c r="FJ259" s="293"/>
      <c r="FK259" s="293"/>
      <c r="FL259" s="293"/>
      <c r="FM259" s="293"/>
      <c r="FN259" s="293"/>
      <c r="FO259" s="293"/>
    </row>
    <row r="260" spans="2:171" s="119" customFormat="1" ht="73.900000000000006" customHeight="1" thickTop="1" thickBot="1" x14ac:dyDescent="0.25">
      <c r="B260" s="126"/>
      <c r="C260" s="127"/>
      <c r="D260" s="126"/>
      <c r="E260" s="123"/>
      <c r="F260" s="126"/>
      <c r="G260" s="127"/>
      <c r="H260" s="126"/>
      <c r="I260" s="128"/>
      <c r="J260" s="128"/>
      <c r="K260" s="128"/>
      <c r="L260" s="128"/>
      <c r="M260" s="614" t="s">
        <v>423</v>
      </c>
      <c r="N260" s="615"/>
      <c r="O260" s="262"/>
      <c r="P260" s="416">
        <f t="shared" si="1120"/>
        <v>62701.032010000083</v>
      </c>
      <c r="Q260" s="262"/>
      <c r="R260" s="262"/>
      <c r="S260" s="262"/>
      <c r="T260" s="262"/>
      <c r="U260" s="262"/>
      <c r="V260" s="262"/>
      <c r="W260" s="516">
        <f>X260+Y260+Z260+AA260</f>
        <v>1078906.5859999999</v>
      </c>
      <c r="X260" s="516">
        <f>X258+X259</f>
        <v>143217.158</v>
      </c>
      <c r="Y260" s="516">
        <f>Y258+Y259</f>
        <v>229999.99999999997</v>
      </c>
      <c r="Z260" s="516">
        <f>Z258+Z259</f>
        <v>705689.42799999996</v>
      </c>
      <c r="AA260" s="452">
        <f>AA258+AA259</f>
        <v>0</v>
      </c>
      <c r="AB260" s="516">
        <f>AC260+AD260+AE260+AF260</f>
        <v>725517.049</v>
      </c>
      <c r="AC260" s="516">
        <f>AC258+AC259</f>
        <v>240790.99799999999</v>
      </c>
      <c r="AD260" s="516">
        <f>AD258+AD259</f>
        <v>230000.00000000003</v>
      </c>
      <c r="AE260" s="516">
        <f>AE258+AE259</f>
        <v>254726.05099999998</v>
      </c>
      <c r="AF260" s="452">
        <f>AF258+AF259</f>
        <v>0</v>
      </c>
      <c r="AG260" s="516">
        <f>AH260+AI260+AJ260+AK260</f>
        <v>725517.049</v>
      </c>
      <c r="AH260" s="516">
        <f>AH258+AH259</f>
        <v>240790.99800000002</v>
      </c>
      <c r="AI260" s="516">
        <f>AI258+AI259</f>
        <v>230000.00000000003</v>
      </c>
      <c r="AJ260" s="516">
        <f>AJ258+AJ259</f>
        <v>254726.05100000001</v>
      </c>
      <c r="AK260" s="452">
        <f>AK258+AK259</f>
        <v>0</v>
      </c>
      <c r="AL260" s="501">
        <f>AM260+AN260+AO260+AP260</f>
        <v>434246.40000000002</v>
      </c>
      <c r="AM260" s="516">
        <f>AM258+AM259</f>
        <v>172677.7</v>
      </c>
      <c r="AN260" s="516">
        <f>AN258+AN259</f>
        <v>100000</v>
      </c>
      <c r="AO260" s="516">
        <f>AO258+AO259</f>
        <v>161568.70000000001</v>
      </c>
      <c r="AP260" s="516">
        <f>AP258+AP259</f>
        <v>0</v>
      </c>
      <c r="AQ260" s="517"/>
      <c r="AR260" s="516">
        <f>AS260+AT260+AU260+AV260</f>
        <v>1062078.913468</v>
      </c>
      <c r="AS260" s="516">
        <f>AS258+AS259</f>
        <v>143217.158</v>
      </c>
      <c r="AT260" s="516">
        <f>AT258+AT259</f>
        <v>221819.15705800004</v>
      </c>
      <c r="AU260" s="516">
        <f>AU258+AU259</f>
        <v>697042.59840999986</v>
      </c>
      <c r="AV260" s="516">
        <f>AV258+AV259</f>
        <v>0</v>
      </c>
      <c r="AW260" s="516" t="e">
        <f>AX260+AY260+AZ260+BA260</f>
        <v>#REF!</v>
      </c>
      <c r="AX260" s="516" t="e">
        <f>AX258+AX259</f>
        <v>#REF!</v>
      </c>
      <c r="AY260" s="516" t="e">
        <f>AY258+AY259</f>
        <v>#REF!</v>
      </c>
      <c r="AZ260" s="516" t="e">
        <f>AZ258+AZ259</f>
        <v>#REF!</v>
      </c>
      <c r="BA260" s="516" t="e">
        <f>BA258+BA259</f>
        <v>#REF!</v>
      </c>
      <c r="BB260" s="516">
        <f>BC260+BD260+BE260+BF260</f>
        <v>642445.59034000011</v>
      </c>
      <c r="BC260" s="516">
        <f>BC258+BC259</f>
        <v>163796.96234</v>
      </c>
      <c r="BD260" s="516">
        <f>BD258+BD259</f>
        <v>223922.57699999999</v>
      </c>
      <c r="BE260" s="516">
        <f>BE258+BE259</f>
        <v>254726.05100000004</v>
      </c>
      <c r="BF260" s="516">
        <f>BF258+BF259</f>
        <v>0</v>
      </c>
      <c r="BG260" s="516">
        <f>BH260+BI260+BJ260+BK260</f>
        <v>0</v>
      </c>
      <c r="BH260" s="516">
        <f>BH258+BH259</f>
        <v>0</v>
      </c>
      <c r="BI260" s="516">
        <f>BI258+BI259</f>
        <v>0</v>
      </c>
      <c r="BJ260" s="516">
        <f>BJ258+BJ259</f>
        <v>0</v>
      </c>
      <c r="BK260" s="516">
        <f>BK258+BK259</f>
        <v>0</v>
      </c>
      <c r="BL260" s="516">
        <f>BM260+BN260+BO260+BP260</f>
        <v>1054196.76327</v>
      </c>
      <c r="BM260" s="516">
        <f>BM258+BM259</f>
        <v>143217.158</v>
      </c>
      <c r="BN260" s="516">
        <f>BN258+BN259</f>
        <v>219066.80106000003</v>
      </c>
      <c r="BO260" s="516">
        <f>BO258+BO259</f>
        <v>691912.80420999986</v>
      </c>
      <c r="BP260" s="516">
        <f>BP258+BP259</f>
        <v>0</v>
      </c>
      <c r="BQ260" s="516">
        <f>BR260+BS260+BT260+BU260</f>
        <v>991495.73125999991</v>
      </c>
      <c r="BR260" s="516">
        <f>BR258+BR259</f>
        <v>80516.12599</v>
      </c>
      <c r="BS260" s="516">
        <f>BS258+BS259</f>
        <v>219066.80106000003</v>
      </c>
      <c r="BT260" s="516">
        <f>BT258+BT259</f>
        <v>691912.80420999986</v>
      </c>
      <c r="BU260" s="516">
        <f>BU258+BU259</f>
        <v>0</v>
      </c>
      <c r="BV260" s="516">
        <f>BW260+BX260+BY260+BZ260</f>
        <v>173604.85037</v>
      </c>
      <c r="BW260" s="516">
        <f>BW258+BW259</f>
        <v>3804.0195400000002</v>
      </c>
      <c r="BX260" s="516">
        <f>BX258+BX259</f>
        <v>80103.362610000011</v>
      </c>
      <c r="BY260" s="516">
        <f>BY258+BY259</f>
        <v>89697.468219999995</v>
      </c>
      <c r="BZ260" s="516">
        <f>BZ258+BZ259</f>
        <v>0</v>
      </c>
      <c r="CA260" s="518">
        <f>CB260</f>
        <v>1165100.5816299999</v>
      </c>
      <c r="CB260" s="516">
        <f>CC260+CD260+CE260+CF260</f>
        <v>1165100.5816299999</v>
      </c>
      <c r="CC260" s="516">
        <f>CC258+CC259</f>
        <v>84320.145530000009</v>
      </c>
      <c r="CD260" s="516">
        <f>CD258+CD259</f>
        <v>299170.16367000004</v>
      </c>
      <c r="CE260" s="516">
        <f>CE258+CE259</f>
        <v>781610.2724299999</v>
      </c>
      <c r="CF260" s="516">
        <f>CF258+CF259</f>
        <v>0</v>
      </c>
      <c r="CG260" s="516">
        <f>CH260+CI260+CJ260+CK260</f>
        <v>62701.032010000003</v>
      </c>
      <c r="CH260" s="516">
        <f>CH258+CH259</f>
        <v>62701.032010000003</v>
      </c>
      <c r="CI260" s="516">
        <f>CI258+CI259</f>
        <v>0</v>
      </c>
      <c r="CJ260" s="452">
        <f>CJ258+CJ259</f>
        <v>0</v>
      </c>
      <c r="CK260" s="452">
        <f>CK258+CK259</f>
        <v>0</v>
      </c>
      <c r="CL260" s="455"/>
      <c r="CM260" s="519">
        <f>CM258+CM259</f>
        <v>649220.98596999992</v>
      </c>
      <c r="CN260" s="519">
        <f>CN258+CN259</f>
        <v>637328.28596999985</v>
      </c>
      <c r="CO260" s="516">
        <f>CP260+CQ260+CR260+CS260</f>
        <v>0</v>
      </c>
      <c r="CP260" s="516">
        <f>CP258+CP259</f>
        <v>0</v>
      </c>
      <c r="CQ260" s="516">
        <f>CQ258+CQ259</f>
        <v>0</v>
      </c>
      <c r="CR260" s="516">
        <f>CR258+CR259</f>
        <v>0</v>
      </c>
      <c r="CS260" s="516">
        <f>CS258+CS259</f>
        <v>0</v>
      </c>
      <c r="CT260" s="516">
        <f>CU260+CV260+CW260+CX260</f>
        <v>0</v>
      </c>
      <c r="CU260" s="516">
        <f>CU258+CU259</f>
        <v>0</v>
      </c>
      <c r="CV260" s="516">
        <f>CV258+CV259</f>
        <v>0</v>
      </c>
      <c r="CW260" s="516">
        <f>CW258+CW259</f>
        <v>0</v>
      </c>
      <c r="CX260" s="516">
        <f>CX258+CX259</f>
        <v>0</v>
      </c>
      <c r="CY260" s="501">
        <f>CZ260+DA260+DB260+DC260</f>
        <v>0</v>
      </c>
      <c r="CZ260" s="501">
        <f t="shared" ref="CZ260:DG260" si="1489">CZ258+CZ259</f>
        <v>0</v>
      </c>
      <c r="DA260" s="501">
        <f t="shared" si="1489"/>
        <v>0</v>
      </c>
      <c r="DB260" s="501">
        <f t="shared" si="1489"/>
        <v>0</v>
      </c>
      <c r="DC260" s="501">
        <f t="shared" si="1489"/>
        <v>0</v>
      </c>
      <c r="DD260" s="501">
        <f t="shared" si="1489"/>
        <v>0</v>
      </c>
      <c r="DE260" s="501">
        <f t="shared" si="1489"/>
        <v>0</v>
      </c>
      <c r="DF260" s="520">
        <f t="shared" si="1489"/>
        <v>0</v>
      </c>
      <c r="DG260" s="521">
        <f t="shared" si="1489"/>
        <v>62701.032010000003</v>
      </c>
      <c r="DH260" s="522"/>
      <c r="DI260" s="521">
        <f>DI258+DI259</f>
        <v>1054196.76327</v>
      </c>
      <c r="DJ260" s="521">
        <f>DJ258+DJ259</f>
        <v>991495.73126000015</v>
      </c>
      <c r="DK260" s="457"/>
      <c r="DL260" s="452">
        <f>DL258+DL259</f>
        <v>991495.73126000015</v>
      </c>
      <c r="DM260" s="452">
        <f>DM258+DM259</f>
        <v>62701.032010000003</v>
      </c>
      <c r="DN260" s="457"/>
      <c r="DO260" s="452">
        <f>DO258+DO259</f>
        <v>-354167.44529000012</v>
      </c>
      <c r="DP260" s="457"/>
      <c r="DQ260" s="457"/>
      <c r="DR260" s="452">
        <f>DS260+DT260+DU260+DV260</f>
        <v>991495.73125999991</v>
      </c>
      <c r="DS260" s="452">
        <f>DS258+DS259</f>
        <v>80516.12599</v>
      </c>
      <c r="DT260" s="452">
        <f>DT258+DT259</f>
        <v>219066.80106000003</v>
      </c>
      <c r="DU260" s="452">
        <f>DU258+DU259</f>
        <v>691912.80420999986</v>
      </c>
      <c r="DV260" s="502">
        <f>DV258+DV259</f>
        <v>0</v>
      </c>
      <c r="DW260" s="452">
        <f t="shared" si="1119"/>
        <v>173604.85037</v>
      </c>
      <c r="DX260" s="452">
        <f>DX258+DX259</f>
        <v>3804.0195400000002</v>
      </c>
      <c r="DY260" s="452">
        <f>DY258+DY259</f>
        <v>80103.362610000011</v>
      </c>
      <c r="DZ260" s="452">
        <f>DZ258+DZ259</f>
        <v>89697.468219999995</v>
      </c>
      <c r="EA260" s="57">
        <f>EA258+EA259</f>
        <v>0</v>
      </c>
      <c r="EB260" s="57">
        <f t="shared" ref="EB260" si="1490">EC260+ED260+EE260</f>
        <v>149190.47579</v>
      </c>
      <c r="EC260" s="57">
        <f>EC258+EC259</f>
        <v>143217.158</v>
      </c>
      <c r="ED260" s="57">
        <f>ED258+ED259</f>
        <v>5973.3177899999991</v>
      </c>
      <c r="EE260" s="57"/>
      <c r="EF260" s="57"/>
      <c r="EG260" s="57">
        <f t="shared" ref="EG260" si="1491">EH260+EI260+EJ260</f>
        <v>84320.145529999994</v>
      </c>
      <c r="EH260" s="57">
        <f t="shared" ref="EH260:EO260" si="1492">EH258+EH259</f>
        <v>80516.12599</v>
      </c>
      <c r="EI260" s="57">
        <f t="shared" si="1492"/>
        <v>3804.0195400000002</v>
      </c>
      <c r="EJ260" s="57"/>
      <c r="EK260" s="57"/>
      <c r="EL260" s="57"/>
      <c r="EM260" s="57"/>
      <c r="EN260" s="57"/>
      <c r="EO260" s="57">
        <f t="shared" si="1492"/>
        <v>0</v>
      </c>
      <c r="EP260" s="57">
        <f t="shared" ref="EP260" si="1493">EQ260+ER260+ES260</f>
        <v>302382.82206800004</v>
      </c>
      <c r="EQ260" s="57">
        <f>EQ258+EQ259</f>
        <v>221819.15705800004</v>
      </c>
      <c r="ER260" s="57">
        <f>ER258+ER259</f>
        <v>80563.665010000012</v>
      </c>
      <c r="ES260" s="57"/>
      <c r="ET260" s="57"/>
      <c r="EU260" s="57">
        <f t="shared" ref="EU260" si="1494">EV260+EW260+EX260</f>
        <v>223733.28399</v>
      </c>
      <c r="EV260" s="57">
        <f t="shared" ref="EV260:EW260" si="1495">EV258+EV259</f>
        <v>143217.158</v>
      </c>
      <c r="EW260" s="57">
        <f t="shared" si="1495"/>
        <v>80516.12599</v>
      </c>
      <c r="EX260" s="57"/>
      <c r="EY260" s="57"/>
      <c r="EZ260" s="57"/>
      <c r="FA260" s="57"/>
      <c r="FB260" s="57"/>
      <c r="FC260" s="57">
        <f t="shared" ref="FC260" si="1496">FD260+FE260+FF260</f>
        <v>787723.10720999981</v>
      </c>
      <c r="FD260" s="57">
        <f>FD258+FD259</f>
        <v>697042.59840999986</v>
      </c>
      <c r="FE260" s="57">
        <f>FE258+FE259</f>
        <v>90680.508799999996</v>
      </c>
      <c r="FF260" s="57">
        <f>FF258+FF259</f>
        <v>0</v>
      </c>
      <c r="FG260" s="57">
        <f>FG258+FG259</f>
        <v>0</v>
      </c>
      <c r="FH260" s="57">
        <f t="shared" ref="FH260" si="1497">FI260+FJ260+FK260</f>
        <v>781610.2724299999</v>
      </c>
      <c r="FI260" s="57">
        <f t="shared" ref="FI260:FJ260" si="1498">FI258+FI259</f>
        <v>691912.80420999986</v>
      </c>
      <c r="FJ260" s="57">
        <f t="shared" si="1498"/>
        <v>89697.468219999995</v>
      </c>
      <c r="FK260" s="57"/>
      <c r="FL260" s="57"/>
      <c r="FM260" s="57"/>
      <c r="FN260" s="57"/>
      <c r="FO260" s="57"/>
    </row>
    <row r="261" spans="2:171" s="40" customFormat="1" ht="30" hidden="1" customHeight="1" thickTop="1" x14ac:dyDescent="0.25">
      <c r="B261" s="35"/>
      <c r="C261" s="36"/>
      <c r="D261" s="35"/>
      <c r="E261" s="42"/>
      <c r="F261" s="35"/>
      <c r="G261" s="36"/>
      <c r="H261" s="35"/>
      <c r="I261" s="35"/>
      <c r="J261" s="35"/>
      <c r="K261" s="35"/>
      <c r="L261" s="35"/>
      <c r="M261" s="43" t="s">
        <v>261</v>
      </c>
      <c r="N261" s="44" t="s">
        <v>251</v>
      </c>
      <c r="O261" s="44"/>
      <c r="P261" s="94">
        <f t="shared" si="1120"/>
        <v>0</v>
      </c>
      <c r="Q261" s="44"/>
      <c r="R261" s="44"/>
      <c r="S261" s="44"/>
      <c r="T261" s="44"/>
      <c r="U261" s="44"/>
      <c r="V261" s="44"/>
      <c r="W261" s="523">
        <f>X261+Y261+Z261+AA261</f>
        <v>0</v>
      </c>
      <c r="X261" s="523">
        <f>X10+X96+X116+X139+X153+X161+X179+X232</f>
        <v>0</v>
      </c>
      <c r="Y261" s="523">
        <f>Y10+Y96+Y116+Y139+Y153+Y161+Y179+Y232</f>
        <v>0</v>
      </c>
      <c r="Z261" s="523">
        <f>Z10+Z96+Z116+Z139+Z153+Z161+Z179+Z232</f>
        <v>0</v>
      </c>
      <c r="AA261" s="464">
        <f>AA10+AA96+AA116+AA139+AA153+AA161+AA179+AA232</f>
        <v>0</v>
      </c>
      <c r="AB261" s="523">
        <f>AC261+AD261+AE261+AF261</f>
        <v>0</v>
      </c>
      <c r="AC261" s="523">
        <f>AC10+AC96+AC116+AC139+AC153+AC161+AC179+AC232</f>
        <v>0</v>
      </c>
      <c r="AD261" s="523">
        <f>AD10+AD96+AD116+AD139+AD153+AD161+AD179+AD232</f>
        <v>0</v>
      </c>
      <c r="AE261" s="523">
        <f>AE10+AE96+AE116+AE139+AE153+AE161+AE179+AE232</f>
        <v>0</v>
      </c>
      <c r="AF261" s="464">
        <f>AF10+AF96+AF116+AF139+AF153+AF161+AF179+AF232</f>
        <v>0</v>
      </c>
      <c r="AG261" s="523">
        <f>AH261+AI261+AJ261+AK261</f>
        <v>0</v>
      </c>
      <c r="AH261" s="523">
        <f>AH10+AH96+AH116+AH139+AH153+AH161+AH179+AH232</f>
        <v>0</v>
      </c>
      <c r="AI261" s="523">
        <f>AI10+AI96+AI116+AI139+AI153+AI161+AI179+AI232</f>
        <v>0</v>
      </c>
      <c r="AJ261" s="523">
        <f>AJ10+AJ96+AJ116+AJ139+AJ153+AJ161+AJ179+AJ232</f>
        <v>0</v>
      </c>
      <c r="AK261" s="464">
        <f>AK10+AK96+AK116+AK139+AK153+AK161+AK179+AK232</f>
        <v>0</v>
      </c>
      <c r="AL261" s="524">
        <f>AM261+AN261+AO261+AP261</f>
        <v>0</v>
      </c>
      <c r="AM261" s="523">
        <f>AM10+AM96+AM116+AM139+AM153+AM161+AM179+AM232</f>
        <v>0</v>
      </c>
      <c r="AN261" s="523">
        <f>AN10+AN96+AN116+AN139+AN153+AN161+AN179+AN232</f>
        <v>0</v>
      </c>
      <c r="AO261" s="523">
        <f>AO10+AO96+AO116+AO139+AO153+AO161+AO179+AO232</f>
        <v>0</v>
      </c>
      <c r="AP261" s="523">
        <f>AP10+AP96+AP116+AP139+AP153+AP161+AP179+AP232</f>
        <v>0</v>
      </c>
      <c r="AQ261" s="525"/>
      <c r="AR261" s="523">
        <f>AS261+AT261+AU261+AV261</f>
        <v>0</v>
      </c>
      <c r="AS261" s="523">
        <f>AS10+AS96+AS116+AS139+AS153+AS161+AS179+AS232</f>
        <v>0</v>
      </c>
      <c r="AT261" s="523">
        <f>AT10+AT96+AT116+AT139+AT153+AT161+AT179+AT232</f>
        <v>0</v>
      </c>
      <c r="AU261" s="523">
        <f>AU10+AU96+AU116+AU139+AU153+AU161+AU179+AU232</f>
        <v>0</v>
      </c>
      <c r="AV261" s="523">
        <f>AV10+AV96+AV116+AV139+AV153+AV161+AV179+AV232</f>
        <v>0</v>
      </c>
      <c r="AW261" s="464" t="e">
        <f>AX261+AY261+AZ261+BA261</f>
        <v>#REF!</v>
      </c>
      <c r="AX261" s="464" t="e">
        <f>AX10+AX96+AX116+AX139+AX153+AX161+AX179+AX232</f>
        <v>#REF!</v>
      </c>
      <c r="AY261" s="464" t="e">
        <f>AY10+AY96+AY116+AY139+AY153+AY161+AY179+AY232</f>
        <v>#REF!</v>
      </c>
      <c r="AZ261" s="464" t="e">
        <f>AZ10+AZ96+AZ116+AZ139+AZ153+AZ161+AZ179+AZ232</f>
        <v>#REF!</v>
      </c>
      <c r="BA261" s="464" t="e">
        <f>BA10+BA96+BA116+BA139+BA153+BA161+BA179+BA232</f>
        <v>#REF!</v>
      </c>
      <c r="BB261" s="523">
        <f>BC261+BD261+BE261+BF261</f>
        <v>0</v>
      </c>
      <c r="BC261" s="523">
        <f>BC10+BC96+BC116+BC139+BC153+BC161+BC179+BC232</f>
        <v>0</v>
      </c>
      <c r="BD261" s="523">
        <f>BD10+BD96+BD116+BD139+BD153+BD161+BD179+BD232</f>
        <v>0</v>
      </c>
      <c r="BE261" s="523">
        <f>BE10+BE96+BE116+BE139+BE153+BE161+BE179+BE232</f>
        <v>0</v>
      </c>
      <c r="BF261" s="523">
        <f>BF10+BF96+BF116+BF139+BF153+BF161+BF179+BF232</f>
        <v>0</v>
      </c>
      <c r="BG261" s="523">
        <f>BH261+BI261+BJ261+BK261</f>
        <v>0</v>
      </c>
      <c r="BH261" s="523">
        <f>BH10+BH96+BH116+BH139+BH153+BH161+BH179+BH232</f>
        <v>0</v>
      </c>
      <c r="BI261" s="523">
        <f>BI10+BI96+BI116+BI139+BI153+BI161+BI179+BI232</f>
        <v>0</v>
      </c>
      <c r="BJ261" s="523">
        <f>BJ10+BJ96+BJ116+BJ139+BJ153+BJ161+BJ179+BJ232</f>
        <v>0</v>
      </c>
      <c r="BK261" s="523">
        <f>BK10+BK96+BK116+BK139+BK153+BK161+BK179+BK232</f>
        <v>0</v>
      </c>
      <c r="BL261" s="523">
        <f>BM261+BN261+BO261+BP261</f>
        <v>0</v>
      </c>
      <c r="BM261" s="523">
        <f>BM10+BM96+BM116+BM139+BM153+BM161+BM179+BM232</f>
        <v>0</v>
      </c>
      <c r="BN261" s="523">
        <f>BN10+BN96+BN116+BN139+BN153+BN161+BN179+BN232</f>
        <v>0</v>
      </c>
      <c r="BO261" s="523">
        <f>BO10+BO96+BO116+BO139+BO153+BO161+BO179+BO232</f>
        <v>0</v>
      </c>
      <c r="BP261" s="523">
        <f>BP10+BP96+BP116+BP139+BP153+BP161+BP179+BP232</f>
        <v>0</v>
      </c>
      <c r="BQ261" s="523">
        <f>BR261+BS261+BT261+BU261</f>
        <v>0</v>
      </c>
      <c r="BR261" s="523">
        <f>BR10+BR96+BR116+BR139+BR153+BR161+BR179+BR232</f>
        <v>0</v>
      </c>
      <c r="BS261" s="523">
        <f>BS10+BS96+BS116+BS139+BS153+BS161+BS179+BS232</f>
        <v>0</v>
      </c>
      <c r="BT261" s="523">
        <f>BT10+BT96+BT116+BT139+BT153+BT161+BT179+BT232</f>
        <v>0</v>
      </c>
      <c r="BU261" s="523">
        <f>BU10+BU96+BU116+BU139+BU153+BU161+BU179+BU232</f>
        <v>0</v>
      </c>
      <c r="BV261" s="523">
        <f>BW261+BX261+BY261+BZ261</f>
        <v>0</v>
      </c>
      <c r="BW261" s="523">
        <f>BW10+BW96+BW116+BW139+BW153+BW161+BW179+BW232</f>
        <v>0</v>
      </c>
      <c r="BX261" s="523">
        <f>BX10+BX96+BX116+BX139+BX153+BX161+BX179+BX232</f>
        <v>0</v>
      </c>
      <c r="BY261" s="523">
        <f>BY10+BY96+BY116+BY139+BY153+BY161+BY179+BY232</f>
        <v>0</v>
      </c>
      <c r="BZ261" s="526">
        <f>BZ10+BZ96+BZ116+BZ139+BZ153+BZ161+BZ179+BZ232</f>
        <v>0</v>
      </c>
      <c r="CA261" s="523">
        <f>CB261</f>
        <v>0</v>
      </c>
      <c r="CB261" s="523">
        <f>CC261+CD261+CE261+CF261</f>
        <v>0</v>
      </c>
      <c r="CC261" s="523">
        <f>CC10+CC96+CC116+CC139+CC153+CC161+CC179+CC232</f>
        <v>0</v>
      </c>
      <c r="CD261" s="523">
        <f>CD10+CD96+CD116+CD139+CD153+CD161+CD179+CD232</f>
        <v>0</v>
      </c>
      <c r="CE261" s="523">
        <f>CE10+CE96+CE116+CE139+CE153+CE161+CE179+CE232</f>
        <v>0</v>
      </c>
      <c r="CF261" s="526">
        <f>CF10+CF96+CF116+CF139+CF153+CF161+CF179+CF232</f>
        <v>0</v>
      </c>
      <c r="CG261" s="523">
        <f>CH261+CI261+CJ261+CK261</f>
        <v>0</v>
      </c>
      <c r="CH261" s="523">
        <f>CH10+CH96+CH116+CH139+CH153+CH161+CH179+CH232</f>
        <v>0</v>
      </c>
      <c r="CI261" s="523">
        <f>CI10+CI96+CI116+CI139+CI153+CI161+CI179+CI232</f>
        <v>0</v>
      </c>
      <c r="CJ261" s="464">
        <f>CJ10+CJ96+CJ116+CJ139+CJ153+CJ161+CJ179+CJ232</f>
        <v>0</v>
      </c>
      <c r="CK261" s="474">
        <f>CK10+CK96+CK116+CK139+CK153+CK161+CK179+CK232</f>
        <v>0</v>
      </c>
      <c r="CL261" s="465"/>
      <c r="CM261" s="527">
        <f>CM10+CM22+CM41+CM59+CM81+CM96+CM116+CM130+CM139+CM153+CM161+CM179+CM197+CM205+CM222+CM232+CM244</f>
        <v>0</v>
      </c>
      <c r="CN261" s="527">
        <f>CN10+CN22+CN41+CN59+CN81+CN96+CN116+CN130+CN139+CN153+CN161+CN179+CN197+CN205+CN222+CN232+CN244</f>
        <v>0</v>
      </c>
      <c r="CO261" s="523">
        <f>CP261+CQ261+CR261+CS261</f>
        <v>0</v>
      </c>
      <c r="CP261" s="523">
        <f>CP10+CP96+CP116+CP139+CP153+CP161+CP179+CP232</f>
        <v>0</v>
      </c>
      <c r="CQ261" s="523">
        <f>CQ10+CQ96+CQ116+CQ139+CQ153+CQ161+CQ179+CQ232</f>
        <v>0</v>
      </c>
      <c r="CR261" s="523">
        <f>CR10+CR96+CR116+CR139+CR153+CR161+CR179+CR232</f>
        <v>0</v>
      </c>
      <c r="CS261" s="523">
        <f>CS10+CS96+CS116+CS139+CS153+CS161+CS179+CS232</f>
        <v>0</v>
      </c>
      <c r="CT261" s="523">
        <f>CU261+CV261+CW261+CX261</f>
        <v>0</v>
      </c>
      <c r="CU261" s="523">
        <f>CU10+CU96+CU116+CU139+CU153+CU161+CU179+CU232</f>
        <v>0</v>
      </c>
      <c r="CV261" s="523">
        <f>CV10+CV96+CV116+CV139+CV153+CV161+CV179+CV232</f>
        <v>0</v>
      </c>
      <c r="CW261" s="523">
        <f>CW10+CW96+CW116+CW139+CW153+CW161+CW179+CW232</f>
        <v>0</v>
      </c>
      <c r="CX261" s="523">
        <f>CX10+CX96+CX116+CX139+CX153+CX161+CX179+CX232</f>
        <v>0</v>
      </c>
      <c r="CY261" s="523">
        <f>CZ261+DA261+DB261+DC261</f>
        <v>0</v>
      </c>
      <c r="CZ261" s="523">
        <f t="shared" ref="CZ261:DG261" si="1499">CZ10+CZ22+CZ41+CZ59+CZ81+CZ96+CZ116+CZ130+CZ139+CZ153+CZ161+CZ179+CZ197+CZ205+CZ222+CZ232+CZ244</f>
        <v>0</v>
      </c>
      <c r="DA261" s="523">
        <f t="shared" si="1499"/>
        <v>0</v>
      </c>
      <c r="DB261" s="523">
        <f t="shared" si="1499"/>
        <v>0</v>
      </c>
      <c r="DC261" s="523">
        <f t="shared" si="1499"/>
        <v>0</v>
      </c>
      <c r="DD261" s="523">
        <f t="shared" si="1499"/>
        <v>0</v>
      </c>
      <c r="DE261" s="523">
        <f t="shared" si="1499"/>
        <v>0</v>
      </c>
      <c r="DF261" s="528">
        <f t="shared" si="1499"/>
        <v>0</v>
      </c>
      <c r="DG261" s="523">
        <f t="shared" si="1499"/>
        <v>0</v>
      </c>
      <c r="DH261" s="465"/>
      <c r="DI261" s="523">
        <f>DI10+DI22+DI41+DI59+DI81+DI96+DI116+DI130+DI139+DI153+DI161+DI179+DI197+DI205+DI222+DI232+DI244</f>
        <v>0</v>
      </c>
      <c r="DJ261" s="523">
        <f>DJ10+DJ22+DJ41+DJ59+DJ81+DJ96+DJ116+DJ130+DJ139+DJ153+DJ161+DJ179+DJ197+DJ205+DJ222+DJ232+DJ244</f>
        <v>0</v>
      </c>
      <c r="DK261" s="467"/>
      <c r="DL261" s="474"/>
      <c r="DM261" s="474"/>
      <c r="DN261" s="467"/>
      <c r="DO261" s="474"/>
      <c r="DP261" s="467"/>
      <c r="DQ261" s="467"/>
      <c r="DR261" s="474"/>
      <c r="DS261" s="474"/>
      <c r="DT261" s="474"/>
      <c r="DU261" s="474"/>
      <c r="DV261" s="529"/>
      <c r="DW261" s="474"/>
      <c r="DX261" s="474"/>
      <c r="DY261" s="474"/>
      <c r="DZ261" s="474"/>
      <c r="EA261" s="8"/>
      <c r="EB261" s="294"/>
      <c r="EC261" s="294"/>
      <c r="ED261" s="294"/>
      <c r="EE261" s="294"/>
      <c r="EF261" s="294"/>
      <c r="EG261" s="294"/>
      <c r="EH261" s="294"/>
      <c r="EI261" s="294"/>
      <c r="EJ261" s="294"/>
      <c r="EK261" s="294"/>
      <c r="EL261" s="294"/>
      <c r="EM261" s="294"/>
      <c r="EN261" s="294"/>
      <c r="EO261" s="8"/>
      <c r="EP261" s="332"/>
      <c r="EQ261" s="332"/>
      <c r="ER261" s="332"/>
      <c r="ES261" s="332"/>
      <c r="ET261" s="332"/>
      <c r="EU261" s="332"/>
      <c r="EV261" s="332"/>
      <c r="EW261" s="332"/>
      <c r="EX261" s="332"/>
      <c r="EY261" s="332"/>
      <c r="EZ261" s="332"/>
      <c r="FA261" s="332"/>
      <c r="FB261" s="332"/>
      <c r="FC261" s="294"/>
      <c r="FD261" s="294"/>
      <c r="FE261" s="294"/>
      <c r="FF261" s="294"/>
      <c r="FG261" s="294"/>
      <c r="FH261" s="294"/>
      <c r="FI261" s="294"/>
      <c r="FJ261" s="294"/>
      <c r="FK261" s="294"/>
      <c r="FL261" s="294"/>
      <c r="FM261" s="294"/>
      <c r="FN261" s="294"/>
      <c r="FO261" s="294"/>
    </row>
    <row r="262" spans="2:171" s="40" customFormat="1" ht="15.75" hidden="1" customHeight="1" thickBot="1" x14ac:dyDescent="0.3">
      <c r="B262" s="35"/>
      <c r="C262" s="36"/>
      <c r="D262" s="35"/>
      <c r="E262" s="42"/>
      <c r="F262" s="35"/>
      <c r="G262" s="36"/>
      <c r="H262" s="35"/>
      <c r="I262" s="35"/>
      <c r="J262" s="35"/>
      <c r="K262" s="35"/>
      <c r="L262" s="35"/>
      <c r="M262" s="42" t="s">
        <v>262</v>
      </c>
      <c r="N262" s="448" t="s">
        <v>258</v>
      </c>
      <c r="O262" s="448"/>
      <c r="P262" s="24">
        <f t="shared" si="1120"/>
        <v>0</v>
      </c>
      <c r="Q262" s="448"/>
      <c r="R262" s="448"/>
      <c r="S262" s="448"/>
      <c r="T262" s="448"/>
      <c r="U262" s="448"/>
      <c r="V262" s="448"/>
      <c r="W262" s="464">
        <f>X262+Y262+Z262+AA262</f>
        <v>1078906.5859999999</v>
      </c>
      <c r="X262" s="464">
        <f>X260-X261</f>
        <v>143217.158</v>
      </c>
      <c r="Y262" s="464">
        <f>Y260-Y261</f>
        <v>229999.99999999997</v>
      </c>
      <c r="Z262" s="464">
        <f>Z260-Z261</f>
        <v>705689.42799999996</v>
      </c>
      <c r="AA262" s="464">
        <f>AA260-AA261</f>
        <v>0</v>
      </c>
      <c r="AB262" s="464">
        <f>AC262+AD262+AE262+AF262</f>
        <v>725517.049</v>
      </c>
      <c r="AC262" s="464">
        <f>AC260-AC261</f>
        <v>240790.99799999999</v>
      </c>
      <c r="AD262" s="464">
        <f>AD260-AD261</f>
        <v>230000.00000000003</v>
      </c>
      <c r="AE262" s="464">
        <f>AE260-AE261</f>
        <v>254726.05099999998</v>
      </c>
      <c r="AF262" s="464">
        <f>AF260-AF261</f>
        <v>0</v>
      </c>
      <c r="AG262" s="464">
        <f>AH262+AI262+AJ262+AK262</f>
        <v>725517.049</v>
      </c>
      <c r="AH262" s="464">
        <f>AH260-AH261</f>
        <v>240790.99800000002</v>
      </c>
      <c r="AI262" s="464">
        <f>AI260-AI261</f>
        <v>230000.00000000003</v>
      </c>
      <c r="AJ262" s="464">
        <f>AJ260-AJ261</f>
        <v>254726.05100000001</v>
      </c>
      <c r="AK262" s="464">
        <f>AK260-AK261</f>
        <v>0</v>
      </c>
      <c r="AL262" s="459">
        <f>AM262+AN262+AO262+AP262</f>
        <v>434246.40000000002</v>
      </c>
      <c r="AM262" s="464">
        <f>AM260-AM261</f>
        <v>172677.7</v>
      </c>
      <c r="AN262" s="464">
        <f>AN260-AN261</f>
        <v>100000</v>
      </c>
      <c r="AO262" s="464">
        <f>AO260-AO261</f>
        <v>161568.70000000001</v>
      </c>
      <c r="AP262" s="464">
        <f>AP260-AP261</f>
        <v>0</v>
      </c>
      <c r="AQ262" s="384"/>
      <c r="AR262" s="464"/>
      <c r="AS262" s="464"/>
      <c r="AT262" s="464"/>
      <c r="AU262" s="464"/>
      <c r="AV262" s="464"/>
      <c r="AW262" s="464"/>
      <c r="AX262" s="464"/>
      <c r="AY262" s="464"/>
      <c r="AZ262" s="464"/>
      <c r="BA262" s="464"/>
      <c r="BB262" s="464"/>
      <c r="BC262" s="464"/>
      <c r="BD262" s="464"/>
      <c r="BE262" s="464"/>
      <c r="BF262" s="464"/>
      <c r="BG262" s="464"/>
      <c r="BH262" s="464"/>
      <c r="BI262" s="464"/>
      <c r="BJ262" s="464"/>
      <c r="BK262" s="464"/>
      <c r="BL262" s="464"/>
      <c r="BM262" s="464"/>
      <c r="BN262" s="464"/>
      <c r="BO262" s="464"/>
      <c r="BP262" s="464">
        <f>BP260-BP261</f>
        <v>0</v>
      </c>
      <c r="BQ262" s="464">
        <f>BR262+BS262+BT262+BU262</f>
        <v>0</v>
      </c>
      <c r="BR262" s="464"/>
      <c r="BS262" s="464"/>
      <c r="BT262" s="464"/>
      <c r="BU262" s="464">
        <f>BU260-BU261</f>
        <v>0</v>
      </c>
      <c r="BV262" s="464">
        <f>BW262+BX262+BY262+BZ262</f>
        <v>173604.85037</v>
      </c>
      <c r="BW262" s="464">
        <f>BW260-BW261</f>
        <v>3804.0195400000002</v>
      </c>
      <c r="BX262" s="464">
        <f>BX260-BX261</f>
        <v>80103.362610000011</v>
      </c>
      <c r="BY262" s="464">
        <f>BY260-BY261</f>
        <v>89697.468219999995</v>
      </c>
      <c r="BZ262" s="460">
        <f>BZ260-BZ261</f>
        <v>0</v>
      </c>
      <c r="CA262" s="464">
        <f>CB262</f>
        <v>1165100.5816299999</v>
      </c>
      <c r="CB262" s="464">
        <f>CC262+CD262+CE262+CF262</f>
        <v>1165100.5816299999</v>
      </c>
      <c r="CC262" s="464">
        <f>CC260-CC261</f>
        <v>84320.145530000009</v>
      </c>
      <c r="CD262" s="464">
        <f>CD260-CD261</f>
        <v>299170.16367000004</v>
      </c>
      <c r="CE262" s="464">
        <f>CE260-CE261</f>
        <v>781610.2724299999</v>
      </c>
      <c r="CF262" s="460">
        <f>CF260-CF261</f>
        <v>0</v>
      </c>
      <c r="CG262" s="464">
        <f>CH262+CI262+CJ262+CK262</f>
        <v>62701.032010000003</v>
      </c>
      <c r="CH262" s="464">
        <f>CH260-CH261</f>
        <v>62701.032010000003</v>
      </c>
      <c r="CI262" s="464">
        <f>CI260-CI261</f>
        <v>0</v>
      </c>
      <c r="CJ262" s="464">
        <f>CJ260-CJ261</f>
        <v>0</v>
      </c>
      <c r="CK262" s="474">
        <f>CK260-CK261</f>
        <v>0</v>
      </c>
      <c r="CL262" s="465"/>
      <c r="CM262" s="530">
        <f>CM260-CM261</f>
        <v>649220.98596999992</v>
      </c>
      <c r="CN262" s="530">
        <f>CN260-CN261</f>
        <v>637328.28596999985</v>
      </c>
      <c r="CO262" s="464">
        <f>CP262+CQ262+CR262+CS262</f>
        <v>0</v>
      </c>
      <c r="CP262" s="464">
        <f>CP260-CP261</f>
        <v>0</v>
      </c>
      <c r="CQ262" s="464">
        <f>CQ260-CQ261</f>
        <v>0</v>
      </c>
      <c r="CR262" s="464">
        <f>CR260-CR261</f>
        <v>0</v>
      </c>
      <c r="CS262" s="464">
        <f>CS260-CS261</f>
        <v>0</v>
      </c>
      <c r="CT262" s="464">
        <f>CU262+CV262+CW262+CX262</f>
        <v>0</v>
      </c>
      <c r="CU262" s="464">
        <f>CU260-CU261</f>
        <v>0</v>
      </c>
      <c r="CV262" s="464">
        <f>CV260-CV261</f>
        <v>0</v>
      </c>
      <c r="CW262" s="464">
        <f>CW260-CW261</f>
        <v>0</v>
      </c>
      <c r="CX262" s="464">
        <f>CX260-CX261</f>
        <v>0</v>
      </c>
      <c r="CY262" s="464">
        <f>CZ262+DA262+DB262+DC262</f>
        <v>0</v>
      </c>
      <c r="CZ262" s="464">
        <f t="shared" ref="CZ262:DG262" si="1500">CZ260-CZ261</f>
        <v>0</v>
      </c>
      <c r="DA262" s="464">
        <f t="shared" si="1500"/>
        <v>0</v>
      </c>
      <c r="DB262" s="464">
        <f t="shared" si="1500"/>
        <v>0</v>
      </c>
      <c r="DC262" s="464">
        <f t="shared" si="1500"/>
        <v>0</v>
      </c>
      <c r="DD262" s="464">
        <f t="shared" si="1500"/>
        <v>0</v>
      </c>
      <c r="DE262" s="464">
        <f t="shared" si="1500"/>
        <v>0</v>
      </c>
      <c r="DF262" s="531">
        <f t="shared" si="1500"/>
        <v>0</v>
      </c>
      <c r="DG262" s="464">
        <f t="shared" si="1500"/>
        <v>62701.032010000003</v>
      </c>
      <c r="DH262" s="465"/>
      <c r="DI262" s="464">
        <f>DI260-DI261</f>
        <v>1054196.76327</v>
      </c>
      <c r="DJ262" s="464">
        <f>DJ260-DJ261</f>
        <v>991495.73126000015</v>
      </c>
      <c r="DK262" s="467"/>
      <c r="DL262" s="474"/>
      <c r="DM262" s="474"/>
      <c r="DN262" s="467"/>
      <c r="DO262" s="474"/>
      <c r="DP262" s="467"/>
      <c r="DQ262" s="467"/>
      <c r="DR262" s="474"/>
      <c r="DS262" s="474"/>
      <c r="DT262" s="474"/>
      <c r="DU262" s="474"/>
      <c r="DV262" s="529"/>
      <c r="DW262" s="474"/>
      <c r="DX262" s="474"/>
      <c r="DY262" s="474"/>
      <c r="DZ262" s="474"/>
      <c r="EA262" s="8"/>
      <c r="EB262" s="294"/>
      <c r="EC262" s="294"/>
      <c r="ED262" s="294"/>
      <c r="EE262" s="294"/>
      <c r="EF262" s="294"/>
      <c r="EG262" s="294"/>
      <c r="EH262" s="294"/>
      <c r="EI262" s="294"/>
      <c r="EJ262" s="294"/>
      <c r="EK262" s="294"/>
      <c r="EL262" s="294"/>
      <c r="EM262" s="294"/>
      <c r="EN262" s="294"/>
      <c r="EO262" s="8"/>
      <c r="EP262" s="332"/>
      <c r="EQ262" s="332"/>
      <c r="ER262" s="332"/>
      <c r="ES262" s="332"/>
      <c r="ET262" s="332"/>
      <c r="EU262" s="332"/>
      <c r="EV262" s="332"/>
      <c r="EW262" s="332"/>
      <c r="EX262" s="332"/>
      <c r="EY262" s="332"/>
      <c r="EZ262" s="332"/>
      <c r="FA262" s="332"/>
      <c r="FB262" s="332"/>
      <c r="FC262" s="294"/>
      <c r="FD262" s="294"/>
      <c r="FE262" s="294"/>
      <c r="FF262" s="294"/>
      <c r="FG262" s="294"/>
      <c r="FH262" s="294"/>
      <c r="FI262" s="294"/>
      <c r="FJ262" s="294"/>
      <c r="FK262" s="294"/>
      <c r="FL262" s="294"/>
      <c r="FM262" s="294"/>
      <c r="FN262" s="294"/>
      <c r="FO262" s="294"/>
    </row>
    <row r="263" spans="2:171" s="221" customFormat="1" ht="17.45" hidden="1" customHeight="1" thickBot="1" x14ac:dyDescent="0.3">
      <c r="B263" s="210"/>
      <c r="C263" s="211"/>
      <c r="D263" s="210"/>
      <c r="E263" s="220"/>
      <c r="F263" s="210"/>
      <c r="G263" s="211"/>
      <c r="H263" s="210"/>
      <c r="I263" s="210"/>
      <c r="J263" s="210"/>
      <c r="K263" s="210"/>
      <c r="L263" s="210"/>
      <c r="M263" s="631" t="s">
        <v>256</v>
      </c>
      <c r="N263" s="632"/>
      <c r="O263" s="445"/>
      <c r="P263" s="412">
        <f t="shared" si="1120"/>
        <v>0</v>
      </c>
      <c r="Q263" s="445"/>
      <c r="R263" s="445"/>
      <c r="S263" s="445"/>
      <c r="T263" s="445"/>
      <c r="U263" s="445"/>
      <c r="V263" s="213"/>
      <c r="W263" s="504">
        <f>X263+Y263+Z263</f>
        <v>0</v>
      </c>
      <c r="X263" s="503">
        <v>0</v>
      </c>
      <c r="Y263" s="504"/>
      <c r="Z263" s="504"/>
      <c r="AA263" s="504"/>
      <c r="AB263" s="504">
        <v>0</v>
      </c>
      <c r="AC263" s="504">
        <v>0</v>
      </c>
      <c r="AD263" s="504"/>
      <c r="AE263" s="504"/>
      <c r="AF263" s="504"/>
      <c r="AG263" s="504">
        <f>AH263</f>
        <v>97565.494999999995</v>
      </c>
      <c r="AH263" s="504">
        <f>42565.495+55000</f>
        <v>97565.494999999995</v>
      </c>
      <c r="AI263" s="504"/>
      <c r="AJ263" s="504"/>
      <c r="AK263" s="504"/>
      <c r="AL263" s="508">
        <f>AM263</f>
        <v>0</v>
      </c>
      <c r="AM263" s="504"/>
      <c r="AN263" s="504"/>
      <c r="AO263" s="504"/>
      <c r="AP263" s="504"/>
      <c r="AQ263" s="532"/>
      <c r="AR263" s="504">
        <f>AS263</f>
        <v>0</v>
      </c>
      <c r="AS263" s="504"/>
      <c r="AT263" s="533"/>
      <c r="AU263" s="533"/>
      <c r="AV263" s="533"/>
      <c r="AW263" s="533"/>
      <c r="AX263" s="533"/>
      <c r="AY263" s="533"/>
      <c r="AZ263" s="533"/>
      <c r="BA263" s="533"/>
      <c r="BB263" s="504">
        <f>BC263</f>
        <v>0</v>
      </c>
      <c r="BC263" s="504"/>
      <c r="BD263" s="533"/>
      <c r="BE263" s="533"/>
      <c r="BF263" s="533"/>
      <c r="BG263" s="504">
        <f>BH263</f>
        <v>0</v>
      </c>
      <c r="BH263" s="504"/>
      <c r="BI263" s="533"/>
      <c r="BJ263" s="533"/>
      <c r="BK263" s="533"/>
      <c r="BL263" s="504">
        <f>BM263</f>
        <v>0</v>
      </c>
      <c r="BM263" s="504"/>
      <c r="BN263" s="533"/>
      <c r="BO263" s="533"/>
      <c r="BP263" s="533"/>
      <c r="BQ263" s="504">
        <f>BR263</f>
        <v>0</v>
      </c>
      <c r="BR263" s="504"/>
      <c r="BS263" s="533"/>
      <c r="BT263" s="533"/>
      <c r="BU263" s="533"/>
      <c r="BV263" s="534">
        <f>BW263</f>
        <v>0</v>
      </c>
      <c r="BW263" s="533"/>
      <c r="BX263" s="533"/>
      <c r="BY263" s="533"/>
      <c r="BZ263" s="533"/>
      <c r="CA263" s="504">
        <f t="shared" ref="CA263:CA318" si="1501">CB263</f>
        <v>0</v>
      </c>
      <c r="CB263" s="533">
        <f>CC263</f>
        <v>0</v>
      </c>
      <c r="CC263" s="533"/>
      <c r="CD263" s="533"/>
      <c r="CE263" s="533"/>
      <c r="CF263" s="533"/>
      <c r="CG263" s="504">
        <f>CH263</f>
        <v>0</v>
      </c>
      <c r="CH263" s="533"/>
      <c r="CI263" s="533"/>
      <c r="CJ263" s="533"/>
      <c r="CK263" s="533"/>
      <c r="CL263" s="535"/>
      <c r="CM263" s="536"/>
      <c r="CN263" s="536"/>
      <c r="CO263" s="504">
        <f>CP263</f>
        <v>0</v>
      </c>
      <c r="CP263" s="504"/>
      <c r="CQ263" s="533"/>
      <c r="CR263" s="533"/>
      <c r="CS263" s="533"/>
      <c r="CT263" s="504"/>
      <c r="CU263" s="504"/>
      <c r="CV263" s="533"/>
      <c r="CW263" s="533"/>
      <c r="CX263" s="533"/>
      <c r="CY263" s="536"/>
      <c r="CZ263" s="536"/>
      <c r="DA263" s="536"/>
      <c r="DB263" s="536"/>
      <c r="DC263" s="536"/>
      <c r="DD263" s="536"/>
      <c r="DE263" s="536"/>
      <c r="DF263" s="536"/>
      <c r="DG263" s="537" t="s">
        <v>304</v>
      </c>
      <c r="DH263" s="535"/>
      <c r="DI263" s="535"/>
      <c r="DJ263" s="538"/>
      <c r="DK263" s="536"/>
      <c r="DL263" s="536">
        <f>DJ263</f>
        <v>0</v>
      </c>
      <c r="DM263" s="533"/>
      <c r="DN263" s="536"/>
      <c r="DO263" s="533"/>
      <c r="DP263" s="536"/>
      <c r="DQ263" s="536"/>
      <c r="DR263" s="533">
        <f>DS263</f>
        <v>0</v>
      </c>
      <c r="DS263" s="533"/>
      <c r="DT263" s="533"/>
      <c r="DU263" s="533"/>
      <c r="DV263" s="539"/>
      <c r="DW263" s="533"/>
      <c r="DX263" s="533"/>
      <c r="DY263" s="533"/>
      <c r="DZ263" s="533"/>
      <c r="EA263" s="222"/>
      <c r="EB263" s="295"/>
      <c r="EC263" s="295"/>
      <c r="ED263" s="295"/>
      <c r="EE263" s="295"/>
      <c r="EF263" s="295"/>
      <c r="EG263" s="295"/>
      <c r="EH263" s="295"/>
      <c r="EI263" s="295"/>
      <c r="EJ263" s="295"/>
      <c r="EK263" s="295"/>
      <c r="EL263" s="295"/>
      <c r="EM263" s="295"/>
      <c r="EN263" s="295"/>
      <c r="EO263" s="222"/>
      <c r="EP263" s="333"/>
      <c r="EQ263" s="333"/>
      <c r="ER263" s="333"/>
      <c r="ES263" s="333"/>
      <c r="ET263" s="333"/>
      <c r="EU263" s="333"/>
      <c r="EV263" s="333"/>
      <c r="EW263" s="333"/>
      <c r="EX263" s="333"/>
      <c r="EY263" s="333"/>
      <c r="EZ263" s="333"/>
      <c r="FA263" s="333"/>
      <c r="FB263" s="333"/>
      <c r="FC263" s="295"/>
      <c r="FD263" s="295"/>
      <c r="FE263" s="295"/>
      <c r="FF263" s="295"/>
      <c r="FG263" s="295"/>
      <c r="FH263" s="295"/>
      <c r="FI263" s="295"/>
      <c r="FJ263" s="295"/>
      <c r="FK263" s="295"/>
      <c r="FL263" s="295"/>
      <c r="FM263" s="295"/>
      <c r="FN263" s="295"/>
      <c r="FO263" s="295"/>
    </row>
    <row r="264" spans="2:171" s="119" customFormat="1" ht="32.25" hidden="1" customHeight="1" thickTop="1" x14ac:dyDescent="0.2">
      <c r="B264" s="126"/>
      <c r="C264" s="127"/>
      <c r="D264" s="126"/>
      <c r="E264" s="123"/>
      <c r="F264" s="126"/>
      <c r="G264" s="127"/>
      <c r="H264" s="126"/>
      <c r="I264" s="126"/>
      <c r="J264" s="126"/>
      <c r="K264" s="126"/>
      <c r="L264" s="126"/>
      <c r="M264" s="623" t="s">
        <v>286</v>
      </c>
      <c r="N264" s="624"/>
      <c r="O264" s="441"/>
      <c r="P264" s="228">
        <f t="shared" ref="P264:P327" si="1502">BL264-BQ264</f>
        <v>62701.032010000083</v>
      </c>
      <c r="Q264" s="441"/>
      <c r="R264" s="441"/>
      <c r="S264" s="441"/>
      <c r="T264" s="441"/>
      <c r="U264" s="167">
        <f>U274+U280</f>
        <v>1</v>
      </c>
      <c r="V264" s="167">
        <f>V274+V280</f>
        <v>2</v>
      </c>
      <c r="W264" s="452">
        <f>X264+Y264+Z264+AA264</f>
        <v>1078906.5859999999</v>
      </c>
      <c r="X264" s="452">
        <f>X260+X263</f>
        <v>143217.158</v>
      </c>
      <c r="Y264" s="452">
        <f>Y260+Y263</f>
        <v>229999.99999999997</v>
      </c>
      <c r="Z264" s="452">
        <f>Z260+Z263</f>
        <v>705689.42799999996</v>
      </c>
      <c r="AA264" s="452">
        <f>AA260+AA263</f>
        <v>0</v>
      </c>
      <c r="AB264" s="452">
        <f>AC264+AD264+AE264+AF264</f>
        <v>725517.049</v>
      </c>
      <c r="AC264" s="452">
        <f>AC260+AC263</f>
        <v>240790.99799999999</v>
      </c>
      <c r="AD264" s="452">
        <f>AD260+AD263</f>
        <v>230000.00000000003</v>
      </c>
      <c r="AE264" s="452">
        <f>AE260+AE263</f>
        <v>254726.05099999998</v>
      </c>
      <c r="AF264" s="452">
        <f>AF260+AF263</f>
        <v>0</v>
      </c>
      <c r="AG264" s="452">
        <f>AH264+AI264+AJ264+AK264</f>
        <v>823082.54399999999</v>
      </c>
      <c r="AH264" s="452">
        <f>AH260+AH263</f>
        <v>338356.49300000002</v>
      </c>
      <c r="AI264" s="452">
        <f>AI260+AI263</f>
        <v>230000.00000000003</v>
      </c>
      <c r="AJ264" s="452">
        <f>AJ260+AJ263</f>
        <v>254726.05100000001</v>
      </c>
      <c r="AK264" s="452">
        <f>AK260+AK263</f>
        <v>0</v>
      </c>
      <c r="AL264" s="454">
        <f>AM264+AN264+AO264+AP264</f>
        <v>434246.40000000002</v>
      </c>
      <c r="AM264" s="452">
        <f>AM260+AM263</f>
        <v>172677.7</v>
      </c>
      <c r="AN264" s="452">
        <f>AN260+AN263</f>
        <v>100000</v>
      </c>
      <c r="AO264" s="452">
        <f>AO260+AO263</f>
        <v>161568.70000000001</v>
      </c>
      <c r="AP264" s="452">
        <f>AP260+AP263</f>
        <v>0</v>
      </c>
      <c r="AQ264" s="500"/>
      <c r="AR264" s="452">
        <f>AS264+AT264+AU264+AV264</f>
        <v>1062078.913468</v>
      </c>
      <c r="AS264" s="452">
        <f>AS260+AS263</f>
        <v>143217.158</v>
      </c>
      <c r="AT264" s="452">
        <f>AT260+AT263</f>
        <v>221819.15705800004</v>
      </c>
      <c r="AU264" s="452">
        <f>AU260+AU263</f>
        <v>697042.59840999986</v>
      </c>
      <c r="AV264" s="452">
        <f>AV260+AV263</f>
        <v>0</v>
      </c>
      <c r="AW264" s="452" t="e">
        <f>AX264+AY264+AZ264+BA264</f>
        <v>#REF!</v>
      </c>
      <c r="AX264" s="452" t="e">
        <f>AX260+AX263</f>
        <v>#REF!</v>
      </c>
      <c r="AY264" s="452" t="e">
        <f>AY260+AY263</f>
        <v>#REF!</v>
      </c>
      <c r="AZ264" s="452" t="e">
        <f>AZ260+AZ263</f>
        <v>#REF!</v>
      </c>
      <c r="BA264" s="452" t="e">
        <f>BA260+BA263</f>
        <v>#REF!</v>
      </c>
      <c r="BB264" s="452">
        <f>BC264+BD264+BE264+BF264</f>
        <v>642445.59034000011</v>
      </c>
      <c r="BC264" s="452">
        <f>BC260+BC263</f>
        <v>163796.96234</v>
      </c>
      <c r="BD264" s="452">
        <f>BD260+BD263</f>
        <v>223922.57699999999</v>
      </c>
      <c r="BE264" s="452">
        <f>BE260+BE263</f>
        <v>254726.05100000004</v>
      </c>
      <c r="BF264" s="452">
        <f>BF260+BF263</f>
        <v>0</v>
      </c>
      <c r="BG264" s="452">
        <f>BH264+BI264+BJ264+BK264</f>
        <v>0</v>
      </c>
      <c r="BH264" s="452">
        <f>BH260+BH263</f>
        <v>0</v>
      </c>
      <c r="BI264" s="452">
        <f>BI260+BI263</f>
        <v>0</v>
      </c>
      <c r="BJ264" s="452">
        <f>BJ260+BJ263</f>
        <v>0</v>
      </c>
      <c r="BK264" s="452">
        <f>BK260+BK263</f>
        <v>0</v>
      </c>
      <c r="BL264" s="452">
        <f>BM264+BN264+BO264+BP264</f>
        <v>1054196.76327</v>
      </c>
      <c r="BM264" s="452">
        <f>BM260+BM263</f>
        <v>143217.158</v>
      </c>
      <c r="BN264" s="452">
        <f>BN260+BN263</f>
        <v>219066.80106000003</v>
      </c>
      <c r="BO264" s="452">
        <f>BO260+BO263</f>
        <v>691912.80420999986</v>
      </c>
      <c r="BP264" s="452">
        <f>BP260+BP263</f>
        <v>0</v>
      </c>
      <c r="BQ264" s="452">
        <f>BR264+BS264+BT264+BU264</f>
        <v>991495.73125999991</v>
      </c>
      <c r="BR264" s="452">
        <f>BR260+BR263</f>
        <v>80516.12599</v>
      </c>
      <c r="BS264" s="452">
        <f>BS260+BS263</f>
        <v>219066.80106000003</v>
      </c>
      <c r="BT264" s="452">
        <f>BT260+BT263</f>
        <v>691912.80420999986</v>
      </c>
      <c r="BU264" s="452">
        <f>BU260+BU263</f>
        <v>0</v>
      </c>
      <c r="BV264" s="452">
        <f>BW264+BX264+BY264+BZ264</f>
        <v>173604.85037</v>
      </c>
      <c r="BW264" s="452">
        <f>BW260+BW263</f>
        <v>3804.0195400000002</v>
      </c>
      <c r="BX264" s="452">
        <f>BX260+BX263</f>
        <v>80103.362610000011</v>
      </c>
      <c r="BY264" s="452">
        <f>BY260+BY263</f>
        <v>89697.468219999995</v>
      </c>
      <c r="BZ264" s="452">
        <f>BZ260+BZ263</f>
        <v>0</v>
      </c>
      <c r="CA264" s="452">
        <f t="shared" si="1501"/>
        <v>1165100.5816299999</v>
      </c>
      <c r="CB264" s="452">
        <f>CC264+CD264+CE264+CF264</f>
        <v>1165100.5816299999</v>
      </c>
      <c r="CC264" s="452">
        <f>BR264+BW264</f>
        <v>84320.145529999994</v>
      </c>
      <c r="CD264" s="452">
        <f>CD260+CD263</f>
        <v>299170.16367000004</v>
      </c>
      <c r="CE264" s="452">
        <f>CE260+CE263</f>
        <v>781610.2724299999</v>
      </c>
      <c r="CF264" s="452">
        <f>CF260+CF263</f>
        <v>0</v>
      </c>
      <c r="CG264" s="452">
        <f>CH264+CI264+CJ264+CK264</f>
        <v>62701.032010000003</v>
      </c>
      <c r="CH264" s="452">
        <f>CH260+CH263</f>
        <v>62701.032010000003</v>
      </c>
      <c r="CI264" s="452">
        <f>CI260+CI263</f>
        <v>0</v>
      </c>
      <c r="CJ264" s="452">
        <f>CJ260+CJ263</f>
        <v>0</v>
      </c>
      <c r="CK264" s="452">
        <f>CK260+CK263</f>
        <v>0</v>
      </c>
      <c r="CL264" s="455"/>
      <c r="CM264" s="457"/>
      <c r="CN264" s="457">
        <f>CM260+CO260-BG260</f>
        <v>649220.98596999992</v>
      </c>
      <c r="CO264" s="452">
        <f>CP264+CQ264+CR264+CS264</f>
        <v>0</v>
      </c>
      <c r="CP264" s="452">
        <f>CP260+CP263</f>
        <v>0</v>
      </c>
      <c r="CQ264" s="452">
        <f>CQ260+CQ263</f>
        <v>0</v>
      </c>
      <c r="CR264" s="452">
        <f>CR260+CR263</f>
        <v>0</v>
      </c>
      <c r="CS264" s="452">
        <f>CS260+CS263</f>
        <v>0</v>
      </c>
      <c r="CT264" s="452">
        <f>CU264+CV264+CW264+CX264</f>
        <v>0</v>
      </c>
      <c r="CU264" s="452">
        <f>CU260+CU263</f>
        <v>0</v>
      </c>
      <c r="CV264" s="452">
        <f>CV260+CV263</f>
        <v>0</v>
      </c>
      <c r="CW264" s="452">
        <f>CW260+CW263</f>
        <v>0</v>
      </c>
      <c r="CX264" s="452">
        <f>CX260+CX263</f>
        <v>0</v>
      </c>
      <c r="CY264" s="452">
        <f>CZ264+DA264+DB264+DC264</f>
        <v>0</v>
      </c>
      <c r="CZ264" s="452">
        <f t="shared" ref="CZ264:DF264" si="1503">CZ260+CZ263</f>
        <v>0</v>
      </c>
      <c r="DA264" s="452">
        <f t="shared" si="1503"/>
        <v>0</v>
      </c>
      <c r="DB264" s="452">
        <f t="shared" si="1503"/>
        <v>0</v>
      </c>
      <c r="DC264" s="452">
        <f t="shared" si="1503"/>
        <v>0</v>
      </c>
      <c r="DD264" s="452">
        <f t="shared" si="1503"/>
        <v>0</v>
      </c>
      <c r="DE264" s="452">
        <f t="shared" si="1503"/>
        <v>0</v>
      </c>
      <c r="DF264" s="502">
        <f t="shared" si="1503"/>
        <v>0</v>
      </c>
      <c r="DG264" s="540"/>
      <c r="DH264" s="455"/>
      <c r="DI264" s="455"/>
      <c r="DJ264" s="541"/>
      <c r="DK264" s="457"/>
      <c r="DL264" s="452">
        <f>DL260+DL263</f>
        <v>991495.73126000015</v>
      </c>
      <c r="DM264" s="452">
        <f>DM260+DM263</f>
        <v>62701.032010000003</v>
      </c>
      <c r="DN264" s="457"/>
      <c r="DO264" s="452">
        <f>DO260+DO263</f>
        <v>-354167.44529000012</v>
      </c>
      <c r="DP264" s="457"/>
      <c r="DQ264" s="457"/>
      <c r="DR264" s="452">
        <f>DS264+DT264+DU264+DV264</f>
        <v>991495.73125999991</v>
      </c>
      <c r="DS264" s="452">
        <f>DS260+DS263</f>
        <v>80516.12599</v>
      </c>
      <c r="DT264" s="452">
        <f>DT260+DT263</f>
        <v>219066.80106000003</v>
      </c>
      <c r="DU264" s="452">
        <f>DU260+DU263</f>
        <v>691912.80420999986</v>
      </c>
      <c r="DV264" s="452">
        <f>DV260+DV263</f>
        <v>0</v>
      </c>
      <c r="DW264" s="452">
        <f t="shared" ref="DW264:DW291" si="1504">DX264+DY264+DZ264</f>
        <v>173604.85037</v>
      </c>
      <c r="DX264" s="452">
        <f>DX260+DX263</f>
        <v>3804.0195400000002</v>
      </c>
      <c r="DY264" s="452">
        <f>DY260+DY263</f>
        <v>80103.362610000011</v>
      </c>
      <c r="DZ264" s="452">
        <f>DZ260+DZ263</f>
        <v>89697.468219999995</v>
      </c>
      <c r="EA264" s="57">
        <f>EA260+EA263</f>
        <v>0</v>
      </c>
      <c r="EB264" s="57">
        <f t="shared" ref="EB264" si="1505">EC264+ED264+EE264</f>
        <v>111522.92713000001</v>
      </c>
      <c r="EC264" s="57">
        <f>EC268+EC271+EC274+EC277+EC280+EC283+EC286+EC289</f>
        <v>107839.74</v>
      </c>
      <c r="ED264" s="57">
        <f>ED268+ED271+ED274+ED277+ED280+ED283+ED286+ED289</f>
        <v>3683.1871299999998</v>
      </c>
      <c r="EE264" s="57"/>
      <c r="EF264" s="57"/>
      <c r="EG264" s="57">
        <f>EH264+EI264</f>
        <v>110356.81134000001</v>
      </c>
      <c r="EH264" s="57">
        <f>EH268+EH271+EH274+EH277+EH280+EH283+EH286+EH289</f>
        <v>106747.43900000001</v>
      </c>
      <c r="EI264" s="57">
        <f>EI268+EI271+EI274+EI277+EI280+EI283+EI286+EI289</f>
        <v>3609.3723399999999</v>
      </c>
      <c r="EJ264" s="57"/>
      <c r="EK264" s="57"/>
      <c r="EL264" s="57"/>
      <c r="EM264" s="57"/>
      <c r="EN264" s="57"/>
      <c r="EO264" s="57">
        <f t="shared" ref="EO264" si="1506">EO260+EO263</f>
        <v>0</v>
      </c>
      <c r="EP264" s="57">
        <f t="shared" ref="EP264" si="1507">EQ264+ER264+ES264</f>
        <v>302382.82206800004</v>
      </c>
      <c r="EQ264" s="57">
        <f>EQ260+EQ263</f>
        <v>221819.15705800004</v>
      </c>
      <c r="ER264" s="57">
        <f>ER260+ER263</f>
        <v>80563.665010000012</v>
      </c>
      <c r="ES264" s="57"/>
      <c r="ET264" s="57"/>
      <c r="EU264" s="57">
        <f t="shared" ref="EU264" si="1508">EV264+EW264+EX264</f>
        <v>223733.28399</v>
      </c>
      <c r="EV264" s="57">
        <f t="shared" ref="EV264:EW264" si="1509">EV260+EV263</f>
        <v>143217.158</v>
      </c>
      <c r="EW264" s="57">
        <f t="shared" si="1509"/>
        <v>80516.12599</v>
      </c>
      <c r="EX264" s="57"/>
      <c r="EY264" s="57"/>
      <c r="EZ264" s="57"/>
      <c r="FA264" s="57"/>
      <c r="FB264" s="57"/>
      <c r="FC264" s="57">
        <f t="shared" ref="FC264" si="1510">FD264+FE264+FF264</f>
        <v>787723.10720999981</v>
      </c>
      <c r="FD264" s="57">
        <f>FD260+FD263</f>
        <v>697042.59840999986</v>
      </c>
      <c r="FE264" s="57">
        <f>FE260+FE263</f>
        <v>90680.508799999996</v>
      </c>
      <c r="FF264" s="57">
        <f>FF260+FF263</f>
        <v>0</v>
      </c>
      <c r="FG264" s="57">
        <f>FG260+FG263</f>
        <v>0</v>
      </c>
      <c r="FH264" s="57">
        <f t="shared" ref="FH264" si="1511">FI264+FJ264+FK264</f>
        <v>781610.2724299999</v>
      </c>
      <c r="FI264" s="57">
        <f t="shared" ref="FI264:FJ264" si="1512">FI260+FI263</f>
        <v>691912.80420999986</v>
      </c>
      <c r="FJ264" s="57">
        <f t="shared" si="1512"/>
        <v>89697.468219999995</v>
      </c>
      <c r="FK264" s="57"/>
      <c r="FL264" s="57"/>
      <c r="FM264" s="57"/>
      <c r="FN264" s="57"/>
      <c r="FO264" s="57"/>
    </row>
    <row r="265" spans="2:171" s="40" customFormat="1" ht="39" customHeight="1" thickTop="1" x14ac:dyDescent="0.25">
      <c r="B265" s="35"/>
      <c r="C265" s="36"/>
      <c r="D265" s="35"/>
      <c r="E265" s="42"/>
      <c r="F265" s="35"/>
      <c r="G265" s="36"/>
      <c r="H265" s="35"/>
      <c r="I265" s="35"/>
      <c r="J265" s="35"/>
      <c r="K265" s="35"/>
      <c r="L265" s="35"/>
      <c r="M265" s="625" t="s">
        <v>424</v>
      </c>
      <c r="N265" s="626"/>
      <c r="O265" s="442"/>
      <c r="P265" s="414">
        <f t="shared" si="1502"/>
        <v>0</v>
      </c>
      <c r="Q265" s="442"/>
      <c r="R265" s="442"/>
      <c r="S265" s="442"/>
      <c r="T265" s="442"/>
      <c r="U265" s="168"/>
      <c r="V265" s="168"/>
      <c r="W265" s="542">
        <f>W266+W267</f>
        <v>107839.74</v>
      </c>
      <c r="X265" s="542">
        <f>X266+X267</f>
        <v>107839.74</v>
      </c>
      <c r="Y265" s="542"/>
      <c r="Z265" s="542"/>
      <c r="AA265" s="542"/>
      <c r="AB265" s="542">
        <f>AB266+AB267</f>
        <v>338354.89300000004</v>
      </c>
      <c r="AC265" s="542">
        <f>AC266+AC267</f>
        <v>338354.89300000004</v>
      </c>
      <c r="AD265" s="542"/>
      <c r="AE265" s="542"/>
      <c r="AF265" s="542"/>
      <c r="AG265" s="542">
        <f>AG266+AG267</f>
        <v>248753.59999999998</v>
      </c>
      <c r="AH265" s="542">
        <f>AH266+AH267</f>
        <v>248753.59999999998</v>
      </c>
      <c r="AI265" s="542"/>
      <c r="AJ265" s="542"/>
      <c r="AK265" s="542"/>
      <c r="AL265" s="543">
        <f>AL266+AL267</f>
        <v>248753.59999999998</v>
      </c>
      <c r="AM265" s="542">
        <f>AM266+AM267</f>
        <v>248753.59999999998</v>
      </c>
      <c r="AN265" s="542"/>
      <c r="AO265" s="542"/>
      <c r="AP265" s="542"/>
      <c r="AQ265" s="386"/>
      <c r="AR265" s="542">
        <f>AR266+AR267</f>
        <v>107839.74</v>
      </c>
      <c r="AS265" s="542">
        <f>AS266+AS267</f>
        <v>107839.74</v>
      </c>
      <c r="AT265" s="474"/>
      <c r="AU265" s="474"/>
      <c r="AV265" s="474"/>
      <c r="AW265" s="542" t="e">
        <f>AX265</f>
        <v>#REF!</v>
      </c>
      <c r="AX265" s="459" t="e">
        <f>#REF!-AS265</f>
        <v>#REF!</v>
      </c>
      <c r="AY265" s="459"/>
      <c r="AZ265" s="459"/>
      <c r="BA265" s="459"/>
      <c r="BB265" s="542">
        <f>BB266+BB267</f>
        <v>151292.26144</v>
      </c>
      <c r="BC265" s="542">
        <f>BC266+BC267</f>
        <v>151292.26144</v>
      </c>
      <c r="BD265" s="474"/>
      <c r="BE265" s="474"/>
      <c r="BF265" s="474"/>
      <c r="BG265" s="542">
        <f>BG266+BG267</f>
        <v>0</v>
      </c>
      <c r="BH265" s="542">
        <f>BH266+BH267</f>
        <v>0</v>
      </c>
      <c r="BI265" s="474"/>
      <c r="BJ265" s="474"/>
      <c r="BK265" s="474"/>
      <c r="BL265" s="542">
        <f>BL266+BL267</f>
        <v>106747.43900000001</v>
      </c>
      <c r="BM265" s="542">
        <f>BM266+BM267</f>
        <v>106747.43900000001</v>
      </c>
      <c r="BN265" s="474"/>
      <c r="BO265" s="474"/>
      <c r="BP265" s="474"/>
      <c r="BQ265" s="542">
        <f>BQ266+BQ267</f>
        <v>106747.43900000001</v>
      </c>
      <c r="BR265" s="542">
        <f>BR266+BR267</f>
        <v>106747.43900000001</v>
      </c>
      <c r="BS265" s="474"/>
      <c r="BT265" s="474"/>
      <c r="BU265" s="474"/>
      <c r="BV265" s="476">
        <f>BV266+BV267</f>
        <v>3609.3723399999999</v>
      </c>
      <c r="BW265" s="544">
        <f>BW266+BW267</f>
        <v>3609.3723399999999</v>
      </c>
      <c r="BX265" s="544"/>
      <c r="BY265" s="544"/>
      <c r="BZ265" s="544"/>
      <c r="CA265" s="542">
        <f t="shared" si="1501"/>
        <v>9872.3602100000007</v>
      </c>
      <c r="CB265" s="544">
        <f>CB266+CB267</f>
        <v>9872.3602100000007</v>
      </c>
      <c r="CC265" s="544">
        <f>BR265+BW265</f>
        <v>110356.81134000001</v>
      </c>
      <c r="CD265" s="474"/>
      <c r="CE265" s="474"/>
      <c r="CF265" s="474"/>
      <c r="CG265" s="544">
        <f>CG266+CG267</f>
        <v>0</v>
      </c>
      <c r="CH265" s="544">
        <f>BM265-BR265</f>
        <v>0</v>
      </c>
      <c r="CI265" s="544"/>
      <c r="CJ265" s="544"/>
      <c r="CK265" s="544"/>
      <c r="CL265" s="465"/>
      <c r="CM265" s="467"/>
      <c r="CN265" s="467">
        <f>CN264-CN260</f>
        <v>11892.70000000007</v>
      </c>
      <c r="CO265" s="542">
        <f t="shared" ref="CO265:CP265" si="1513">CO266+CO267</f>
        <v>0</v>
      </c>
      <c r="CP265" s="542">
        <f t="shared" si="1513"/>
        <v>0</v>
      </c>
      <c r="CQ265" s="474"/>
      <c r="CR265" s="474"/>
      <c r="CS265" s="474"/>
      <c r="CT265" s="542">
        <f t="shared" ref="CT265:CU265" si="1514">CT266+CT267</f>
        <v>0</v>
      </c>
      <c r="CU265" s="542">
        <f t="shared" si="1514"/>
        <v>0</v>
      </c>
      <c r="CV265" s="474"/>
      <c r="CW265" s="474"/>
      <c r="CX265" s="474"/>
      <c r="CY265" s="467"/>
      <c r="CZ265" s="467"/>
      <c r="DA265" s="467"/>
      <c r="DB265" s="467"/>
      <c r="DC265" s="467"/>
      <c r="DD265" s="467"/>
      <c r="DE265" s="545"/>
      <c r="DF265" s="467"/>
      <c r="DG265" s="546">
        <f>DI265-DJ265</f>
        <v>0</v>
      </c>
      <c r="DH265" s="546"/>
      <c r="DI265" s="546">
        <f>BL265</f>
        <v>106747.43900000001</v>
      </c>
      <c r="DJ265" s="546">
        <f>BQ265</f>
        <v>106747.43900000001</v>
      </c>
      <c r="DK265" s="467"/>
      <c r="DL265" s="467"/>
      <c r="DM265" s="467"/>
      <c r="DN265" s="467"/>
      <c r="DO265" s="467"/>
      <c r="DP265" s="467"/>
      <c r="DQ265" s="467"/>
      <c r="DR265" s="544">
        <f>DR266+DR267</f>
        <v>106747.43900000001</v>
      </c>
      <c r="DS265" s="544">
        <f>DS266+DS267</f>
        <v>106747.43900000001</v>
      </c>
      <c r="DT265" s="470"/>
      <c r="DU265" s="470"/>
      <c r="DV265" s="499"/>
      <c r="DW265" s="544">
        <f t="shared" si="1504"/>
        <v>3609.3723399999999</v>
      </c>
      <c r="DX265" s="544">
        <f>DX266+DX267</f>
        <v>3609.3723399999999</v>
      </c>
      <c r="DY265" s="470"/>
      <c r="DZ265" s="470"/>
      <c r="EA265" s="8"/>
      <c r="EB265" s="281"/>
      <c r="EC265" s="281"/>
      <c r="ED265" s="281"/>
      <c r="EE265" s="281"/>
      <c r="EF265" s="281"/>
      <c r="EG265" s="281"/>
      <c r="EH265" s="281"/>
      <c r="EI265" s="281"/>
      <c r="EJ265" s="281"/>
      <c r="EK265" s="281"/>
      <c r="EL265" s="281"/>
      <c r="EM265" s="281"/>
      <c r="EN265" s="281"/>
      <c r="EO265" s="231"/>
      <c r="EP265" s="324"/>
      <c r="EQ265" s="324"/>
      <c r="ER265" s="324"/>
      <c r="ES265" s="324"/>
      <c r="ET265" s="324"/>
      <c r="EU265" s="324"/>
      <c r="EV265" s="324"/>
      <c r="EW265" s="324"/>
      <c r="EX265" s="324"/>
      <c r="EY265" s="324"/>
      <c r="EZ265" s="324"/>
      <c r="FA265" s="324"/>
      <c r="FB265" s="324"/>
      <c r="FC265" s="281"/>
      <c r="FD265" s="281"/>
      <c r="FE265" s="281"/>
      <c r="FF265" s="281"/>
      <c r="FG265" s="281"/>
      <c r="FH265" s="281"/>
      <c r="FI265" s="281"/>
      <c r="FJ265" s="281"/>
      <c r="FK265" s="281"/>
      <c r="FL265" s="281"/>
      <c r="FM265" s="281"/>
      <c r="FN265" s="281"/>
      <c r="FO265" s="281"/>
    </row>
    <row r="266" spans="2:171" s="40" customFormat="1" ht="18.600000000000001" customHeight="1" x14ac:dyDescent="0.25">
      <c r="B266" s="35"/>
      <c r="C266" s="36"/>
      <c r="D266" s="35"/>
      <c r="E266" s="42"/>
      <c r="F266" s="35"/>
      <c r="G266" s="36"/>
      <c r="H266" s="35"/>
      <c r="I266" s="35"/>
      <c r="J266" s="35"/>
      <c r="K266" s="35"/>
      <c r="L266" s="35"/>
      <c r="M266" s="65"/>
      <c r="N266" s="66" t="s">
        <v>289</v>
      </c>
      <c r="O266" s="66"/>
      <c r="P266" s="414">
        <f t="shared" si="1502"/>
        <v>0</v>
      </c>
      <c r="Q266" s="66"/>
      <c r="R266" s="66"/>
      <c r="S266" s="66"/>
      <c r="T266" s="66"/>
      <c r="U266" s="169"/>
      <c r="V266" s="169"/>
      <c r="W266" s="459">
        <f>W269+W272+W275+W278+W281+W284+W287+W290</f>
        <v>107839.74</v>
      </c>
      <c r="X266" s="459">
        <f>X269+X272+X275+X278+X281+X284+X287+X290</f>
        <v>107839.74</v>
      </c>
      <c r="Y266" s="459"/>
      <c r="Z266" s="542"/>
      <c r="AA266" s="542"/>
      <c r="AB266" s="459">
        <f>AB269+AB272+AB275+AB278+AB281+AB284+AB287+AB290</f>
        <v>304613.59300000005</v>
      </c>
      <c r="AC266" s="459">
        <f>AC269+AC272+AC275+AC278+AC281+AC284+AC287+AC290</f>
        <v>304613.59300000005</v>
      </c>
      <c r="AD266" s="459"/>
      <c r="AE266" s="542"/>
      <c r="AF266" s="542"/>
      <c r="AG266" s="459">
        <f>AG269+AG272+AG275+AG278+AG281</f>
        <v>248753.59999999998</v>
      </c>
      <c r="AH266" s="459">
        <f>AH269+AH272+AH275+AH278+AH281</f>
        <v>248753.59999999998</v>
      </c>
      <c r="AI266" s="459"/>
      <c r="AJ266" s="542"/>
      <c r="AK266" s="542"/>
      <c r="AL266" s="459">
        <f>AL269+AL272+AL275+AL278+AL281</f>
        <v>248753.59999999998</v>
      </c>
      <c r="AM266" s="459">
        <f>AM269+AM272+AM275+AM278+AM281</f>
        <v>248753.59999999998</v>
      </c>
      <c r="AN266" s="459"/>
      <c r="AO266" s="542"/>
      <c r="AP266" s="542"/>
      <c r="AQ266" s="386"/>
      <c r="AR266" s="459">
        <f>AR269+AR272+AR275+AR278+AR281+AR284+AR287+AR290</f>
        <v>107839.74</v>
      </c>
      <c r="AS266" s="459">
        <f>AS269+AS272+AS275+AS278+AS281+AS284+AS287+AS290</f>
        <v>107839.74</v>
      </c>
      <c r="AT266" s="474"/>
      <c r="AU266" s="474"/>
      <c r="AV266" s="474"/>
      <c r="AW266" s="459" t="e">
        <f>AX266</f>
        <v>#REF!</v>
      </c>
      <c r="AX266" s="459" t="e">
        <f>#REF!-AS266</f>
        <v>#REF!</v>
      </c>
      <c r="AY266" s="459"/>
      <c r="AZ266" s="459"/>
      <c r="BA266" s="459"/>
      <c r="BB266" s="459">
        <f>BB269+BB272+BB275+BB278+BB281+BB284+BB287+BB290</f>
        <v>128904.21818</v>
      </c>
      <c r="BC266" s="459">
        <f>BC269+BC272+BC275+BC278+BC281+BC284+BC287+BC290</f>
        <v>128904.21818</v>
      </c>
      <c r="BD266" s="474"/>
      <c r="BE266" s="474"/>
      <c r="BF266" s="474"/>
      <c r="BG266" s="459">
        <f>BG269+BG272+BG275+BG278+BG281</f>
        <v>0</v>
      </c>
      <c r="BH266" s="459">
        <f>BH269+BH272+BH275+BH278+BH281</f>
        <v>0</v>
      </c>
      <c r="BI266" s="474"/>
      <c r="BJ266" s="474"/>
      <c r="BK266" s="474"/>
      <c r="BL266" s="459">
        <f>BL269+BL272+BL275+BL278+BL281+BL284+BL287+BL290</f>
        <v>106747.43900000001</v>
      </c>
      <c r="BM266" s="459">
        <f>BM269+BM272+BM275+BM278+BM281+BM284+BM287+BM290</f>
        <v>106747.43900000001</v>
      </c>
      <c r="BN266" s="474"/>
      <c r="BO266" s="474"/>
      <c r="BP266" s="474"/>
      <c r="BQ266" s="459">
        <f>BQ269+BQ272+BQ275+BQ278+BQ281+BQ284+BQ287+BQ290</f>
        <v>106747.43900000001</v>
      </c>
      <c r="BR266" s="459">
        <f>BR269+BR272+BR275+BR278+BR281+BR284+BR287+BR290</f>
        <v>106747.43900000001</v>
      </c>
      <c r="BS266" s="474"/>
      <c r="BT266" s="474"/>
      <c r="BU266" s="474"/>
      <c r="BV266" s="473">
        <f>BV269+BV272+BV275+BV278+BV281+BV284+BV287+BV290</f>
        <v>3609.3723399999999</v>
      </c>
      <c r="BW266" s="460">
        <f>BW269+BW272+BW275+BW278+BW281+BW284+BW287+BW290</f>
        <v>3609.3723399999999</v>
      </c>
      <c r="BX266" s="474"/>
      <c r="BY266" s="474"/>
      <c r="BZ266" s="474"/>
      <c r="CA266" s="464">
        <f>CA269+CA272+CA275+CA278+CA281</f>
        <v>110356.81134000001</v>
      </c>
      <c r="CB266" s="460">
        <f>CB269+CB272+CB278+CB281+CB291</f>
        <v>9872.3602100000007</v>
      </c>
      <c r="CC266" s="460">
        <f>BR266+BW266</f>
        <v>110356.81134000001</v>
      </c>
      <c r="CD266" s="474"/>
      <c r="CE266" s="474"/>
      <c r="CF266" s="474"/>
      <c r="CG266" s="460">
        <f>CG269+CG272+CG278+CG281+CG291</f>
        <v>0</v>
      </c>
      <c r="CH266" s="460">
        <f>BM266-BR266</f>
        <v>0</v>
      </c>
      <c r="CI266" s="474"/>
      <c r="CJ266" s="474"/>
      <c r="CK266" s="474"/>
      <c r="CL266" s="465"/>
      <c r="CM266" s="467"/>
      <c r="CN266" s="467"/>
      <c r="CO266" s="459">
        <f t="shared" ref="CO266:CP267" si="1515">CO269+CO272+CO275+CO278+CO281</f>
        <v>0</v>
      </c>
      <c r="CP266" s="459">
        <f t="shared" si="1515"/>
        <v>0</v>
      </c>
      <c r="CQ266" s="474"/>
      <c r="CR266" s="474"/>
      <c r="CS266" s="474"/>
      <c r="CT266" s="459">
        <f t="shared" ref="CT266:CU267" si="1516">CT269+CT272+CT275+CT278+CT281</f>
        <v>0</v>
      </c>
      <c r="CU266" s="459">
        <f t="shared" si="1516"/>
        <v>0</v>
      </c>
      <c r="CV266" s="474"/>
      <c r="CW266" s="474"/>
      <c r="CX266" s="474"/>
      <c r="CY266" s="467"/>
      <c r="CZ266" s="467"/>
      <c r="DA266" s="467"/>
      <c r="DB266" s="467"/>
      <c r="DC266" s="467"/>
      <c r="DD266" s="467"/>
      <c r="DE266" s="547"/>
      <c r="DF266" s="467"/>
      <c r="DG266" s="548"/>
      <c r="DH266" s="465"/>
      <c r="DI266" s="465"/>
      <c r="DJ266" s="549"/>
      <c r="DK266" s="467"/>
      <c r="DL266" s="467"/>
      <c r="DM266" s="467"/>
      <c r="DN266" s="467"/>
      <c r="DO266" s="467"/>
      <c r="DP266" s="467"/>
      <c r="DQ266" s="467"/>
      <c r="DR266" s="459">
        <f>DR269+DR272+DR275+DR278+DR281+DR284+DR287+DR290</f>
        <v>106747.43900000001</v>
      </c>
      <c r="DS266" s="459">
        <f>DS269+DS272+DS275+DS278+DS281+DS284+DS287+DS290</f>
        <v>106747.43900000001</v>
      </c>
      <c r="DT266" s="460"/>
      <c r="DU266" s="460"/>
      <c r="DV266" s="498"/>
      <c r="DW266" s="460">
        <f t="shared" si="1504"/>
        <v>3609.3723399999999</v>
      </c>
      <c r="DX266" s="460">
        <f>DX269+DX272+DX275+DX278+DX281+DX284+DX287+DX290</f>
        <v>3609.3723399999999</v>
      </c>
      <c r="DY266" s="474"/>
      <c r="DZ266" s="474"/>
      <c r="EA266" s="8"/>
      <c r="EB266" s="286"/>
      <c r="EC266" s="286"/>
      <c r="ED266" s="294"/>
      <c r="EE266" s="294"/>
      <c r="EF266" s="294"/>
      <c r="EG266" s="286"/>
      <c r="EH266" s="286"/>
      <c r="EI266" s="294"/>
      <c r="EJ266" s="294"/>
      <c r="EK266" s="294"/>
      <c r="EL266" s="294"/>
      <c r="EM266" s="294"/>
      <c r="EN266" s="294"/>
      <c r="EO266" s="8"/>
      <c r="EP266" s="328"/>
      <c r="EQ266" s="328"/>
      <c r="ER266" s="332"/>
      <c r="ES266" s="332"/>
      <c r="ET266" s="332"/>
      <c r="EU266" s="328"/>
      <c r="EV266" s="328"/>
      <c r="EW266" s="332"/>
      <c r="EX266" s="332"/>
      <c r="EY266" s="332"/>
      <c r="EZ266" s="332"/>
      <c r="FA266" s="332"/>
      <c r="FB266" s="332"/>
      <c r="FC266" s="286"/>
      <c r="FD266" s="286"/>
      <c r="FE266" s="294"/>
      <c r="FF266" s="294"/>
      <c r="FG266" s="294"/>
      <c r="FH266" s="286"/>
      <c r="FI266" s="286"/>
      <c r="FJ266" s="294"/>
      <c r="FK266" s="294"/>
      <c r="FL266" s="294"/>
      <c r="FM266" s="294"/>
      <c r="FN266" s="294"/>
      <c r="FO266" s="294"/>
    </row>
    <row r="267" spans="2:171" s="40" customFormat="1" ht="18.75" hidden="1" customHeight="1" x14ac:dyDescent="0.25">
      <c r="B267" s="35"/>
      <c r="C267" s="36"/>
      <c r="D267" s="35"/>
      <c r="E267" s="42"/>
      <c r="F267" s="35"/>
      <c r="G267" s="36"/>
      <c r="H267" s="35"/>
      <c r="I267" s="35"/>
      <c r="J267" s="35"/>
      <c r="K267" s="35"/>
      <c r="L267" s="35"/>
      <c r="M267" s="65"/>
      <c r="N267" s="66" t="s">
        <v>288</v>
      </c>
      <c r="O267" s="66"/>
      <c r="P267" s="414">
        <f t="shared" si="1502"/>
        <v>0</v>
      </c>
      <c r="Q267" s="66"/>
      <c r="R267" s="66"/>
      <c r="S267" s="66"/>
      <c r="T267" s="66"/>
      <c r="U267" s="169"/>
      <c r="V267" s="169"/>
      <c r="W267" s="459">
        <f>W270+W273+W276+W279+W282+W285+W288+W291</f>
        <v>0</v>
      </c>
      <c r="X267" s="459">
        <f>X270+X273+X276+X279+X282+X285+X288+X291</f>
        <v>0</v>
      </c>
      <c r="Y267" s="459"/>
      <c r="Z267" s="542"/>
      <c r="AA267" s="542"/>
      <c r="AB267" s="459">
        <f>AB270+AB273+AB276+AB279+AB282+AB285+AB288+AB291</f>
        <v>33741.300000000003</v>
      </c>
      <c r="AC267" s="459">
        <f>AC270+AC273+AC276+AC279+AC282+AC285+AC288+AC291</f>
        <v>33741.300000000003</v>
      </c>
      <c r="AD267" s="459"/>
      <c r="AE267" s="542"/>
      <c r="AF267" s="542"/>
      <c r="AG267" s="459">
        <f>AG270+AG273+AG276+AG279+AG282</f>
        <v>0</v>
      </c>
      <c r="AH267" s="459">
        <f>AH270+AH273+AH276+AH279+AH282</f>
        <v>0</v>
      </c>
      <c r="AI267" s="459"/>
      <c r="AJ267" s="542"/>
      <c r="AK267" s="542"/>
      <c r="AL267" s="459">
        <f>AL270+AL273+AL276+AL279+AL282</f>
        <v>0</v>
      </c>
      <c r="AM267" s="459">
        <f>AM270+AM273+AM276+AM279+AM282</f>
        <v>0</v>
      </c>
      <c r="AN267" s="459"/>
      <c r="AO267" s="542"/>
      <c r="AP267" s="542"/>
      <c r="AQ267" s="386"/>
      <c r="AR267" s="459">
        <f>AR270+AR273+AR276+AR279+AR282+AR285+AR288+AR291</f>
        <v>0</v>
      </c>
      <c r="AS267" s="459">
        <f>AS270+AS273+AS276+AS279+AS282+AS285+AS288+AS291</f>
        <v>0</v>
      </c>
      <c r="AT267" s="474"/>
      <c r="AU267" s="474"/>
      <c r="AV267" s="474"/>
      <c r="AW267" s="459" t="e">
        <f>AX267</f>
        <v>#REF!</v>
      </c>
      <c r="AX267" s="459" t="e">
        <f>#REF!-AS267</f>
        <v>#REF!</v>
      </c>
      <c r="AY267" s="474"/>
      <c r="AZ267" s="474"/>
      <c r="BA267" s="474"/>
      <c r="BB267" s="459">
        <f>BB270+BB273+BB276+BB279+BB282+BB285+BB288+BB291</f>
        <v>22388.043260000002</v>
      </c>
      <c r="BC267" s="459">
        <f>BC270+BC273+BC276+BC279+BC282+BC285+BC288+BC291</f>
        <v>22388.043260000002</v>
      </c>
      <c r="BD267" s="474"/>
      <c r="BE267" s="474"/>
      <c r="BF267" s="474"/>
      <c r="BG267" s="459">
        <f>BG270+BG273+BG276+BG279+BG282</f>
        <v>0</v>
      </c>
      <c r="BH267" s="459">
        <f>BH270+BH273+BH276+BH279+BH282</f>
        <v>0</v>
      </c>
      <c r="BI267" s="474"/>
      <c r="BJ267" s="474"/>
      <c r="BK267" s="474"/>
      <c r="BL267" s="459">
        <f>BL270+BL273+BL276+BL279+BL282+BL285+BL288+BL291</f>
        <v>0</v>
      </c>
      <c r="BM267" s="459">
        <f>BM270+BM273+BM276+BM279+BM282+BM285+BM288+BM291</f>
        <v>0</v>
      </c>
      <c r="BN267" s="474"/>
      <c r="BO267" s="474"/>
      <c r="BP267" s="474"/>
      <c r="BQ267" s="459">
        <f>BQ270+BQ273+BQ276+BQ279+BQ282+BQ285+BQ288+BQ291</f>
        <v>0</v>
      </c>
      <c r="BR267" s="459">
        <f>BR270+BR273+BR276+BR279+BR282+BR285+BR288+BR291</f>
        <v>0</v>
      </c>
      <c r="BS267" s="474"/>
      <c r="BT267" s="474"/>
      <c r="BU267" s="474"/>
      <c r="BV267" s="473">
        <f>BV270+BV273+BV276+BV279+BV282+BV285+BV288+BV291</f>
        <v>0</v>
      </c>
      <c r="BW267" s="460">
        <f>BW270+BW273+BW276+BW279+BW282+BW285+BW288+BW291</f>
        <v>0</v>
      </c>
      <c r="BX267" s="474"/>
      <c r="BY267" s="474"/>
      <c r="BZ267" s="474"/>
      <c r="CA267" s="464">
        <f>CA270+CA273+CA276+CA279+CA282</f>
        <v>0</v>
      </c>
      <c r="CB267" s="460">
        <f>CB270+CB273+CB279+CB282</f>
        <v>0</v>
      </c>
      <c r="CC267" s="460">
        <f>BR267+BW267</f>
        <v>0</v>
      </c>
      <c r="CD267" s="474"/>
      <c r="CE267" s="474"/>
      <c r="CF267" s="474"/>
      <c r="CG267" s="460">
        <f>CG270+CG273+CG279+CG282</f>
        <v>0</v>
      </c>
      <c r="CH267" s="460">
        <f t="shared" ref="CH267:CI318" si="1517">BM267-BR267</f>
        <v>0</v>
      </c>
      <c r="CI267" s="474"/>
      <c r="CJ267" s="474"/>
      <c r="CK267" s="474"/>
      <c r="CL267" s="465"/>
      <c r="CM267" s="467"/>
      <c r="CN267" s="467"/>
      <c r="CO267" s="459">
        <f t="shared" si="1515"/>
        <v>0</v>
      </c>
      <c r="CP267" s="459">
        <f t="shared" si="1515"/>
        <v>0</v>
      </c>
      <c r="CQ267" s="474"/>
      <c r="CR267" s="474"/>
      <c r="CS267" s="474"/>
      <c r="CT267" s="459">
        <f t="shared" si="1516"/>
        <v>0</v>
      </c>
      <c r="CU267" s="459">
        <f t="shared" si="1516"/>
        <v>0</v>
      </c>
      <c r="CV267" s="474"/>
      <c r="CW267" s="474"/>
      <c r="CX267" s="474"/>
      <c r="CY267" s="467"/>
      <c r="CZ267" s="467"/>
      <c r="DA267" s="467"/>
      <c r="DB267" s="467"/>
      <c r="DC267" s="467"/>
      <c r="DD267" s="467"/>
      <c r="DE267" s="547"/>
      <c r="DF267" s="467"/>
      <c r="DG267" s="548"/>
      <c r="DH267" s="465"/>
      <c r="DI267" s="465"/>
      <c r="DJ267" s="549"/>
      <c r="DK267" s="467"/>
      <c r="DL267" s="467"/>
      <c r="DM267" s="467"/>
      <c r="DN267" s="467"/>
      <c r="DO267" s="467"/>
      <c r="DP267" s="467"/>
      <c r="DQ267" s="467"/>
      <c r="DR267" s="459">
        <f>DR270+DR273+DR276+DR279+DR282+DR285+DR288+DR291</f>
        <v>0</v>
      </c>
      <c r="DS267" s="459">
        <f>DS270+DS273+DS276+DS279+DS282+DS285+DS288+DS291</f>
        <v>0</v>
      </c>
      <c r="DT267" s="460"/>
      <c r="DU267" s="460"/>
      <c r="DV267" s="498"/>
      <c r="DW267" s="460">
        <f t="shared" si="1504"/>
        <v>0</v>
      </c>
      <c r="DX267" s="460"/>
      <c r="DY267" s="529"/>
      <c r="DZ267" s="474"/>
      <c r="EA267" s="7"/>
      <c r="EB267" s="286"/>
      <c r="EC267" s="286"/>
      <c r="ED267" s="296"/>
      <c r="EE267" s="294"/>
      <c r="EF267" s="294"/>
      <c r="EG267" s="286"/>
      <c r="EH267" s="286"/>
      <c r="EI267" s="296"/>
      <c r="EJ267" s="294"/>
      <c r="EK267" s="294"/>
      <c r="EL267" s="294"/>
      <c r="EM267" s="294"/>
      <c r="EN267" s="294"/>
      <c r="EO267" s="8"/>
      <c r="EP267" s="328"/>
      <c r="EQ267" s="328"/>
      <c r="ER267" s="334"/>
      <c r="ES267" s="332"/>
      <c r="ET267" s="332"/>
      <c r="EU267" s="328"/>
      <c r="EV267" s="328"/>
      <c r="EW267" s="334"/>
      <c r="EX267" s="332"/>
      <c r="EY267" s="332"/>
      <c r="EZ267" s="332"/>
      <c r="FA267" s="332"/>
      <c r="FB267" s="332"/>
      <c r="FC267" s="286"/>
      <c r="FD267" s="286"/>
      <c r="FE267" s="296"/>
      <c r="FF267" s="294"/>
      <c r="FG267" s="294"/>
      <c r="FH267" s="286"/>
      <c r="FI267" s="286"/>
      <c r="FJ267" s="296"/>
      <c r="FK267" s="294"/>
      <c r="FL267" s="294"/>
      <c r="FM267" s="294"/>
      <c r="FN267" s="294"/>
      <c r="FO267" s="294"/>
    </row>
    <row r="268" spans="2:171" s="40" customFormat="1" ht="52.9" hidden="1" customHeight="1" x14ac:dyDescent="0.25">
      <c r="B268" s="35"/>
      <c r="C268" s="36"/>
      <c r="D268" s="35"/>
      <c r="E268" s="42"/>
      <c r="F268" s="35"/>
      <c r="G268" s="36"/>
      <c r="H268" s="35"/>
      <c r="I268" s="35"/>
      <c r="J268" s="35"/>
      <c r="K268" s="35"/>
      <c r="L268" s="35"/>
      <c r="M268" s="446">
        <v>1</v>
      </c>
      <c r="N268" s="208" t="s">
        <v>322</v>
      </c>
      <c r="O268" s="208"/>
      <c r="P268" s="417">
        <f t="shared" si="1502"/>
        <v>0</v>
      </c>
      <c r="Q268" s="208"/>
      <c r="R268" s="208"/>
      <c r="S268" s="208"/>
      <c r="T268" s="208"/>
      <c r="U268" s="434"/>
      <c r="V268" s="434"/>
      <c r="W268" s="542">
        <f>W269+W270</f>
        <v>0</v>
      </c>
      <c r="X268" s="542">
        <f>X269+X270</f>
        <v>0</v>
      </c>
      <c r="Y268" s="542"/>
      <c r="Z268" s="542"/>
      <c r="AA268" s="542"/>
      <c r="AB268" s="542">
        <f>AB269+AB270</f>
        <v>94135.453000000009</v>
      </c>
      <c r="AC268" s="542">
        <f>AC269+AC270</f>
        <v>94135.453000000009</v>
      </c>
      <c r="AD268" s="542"/>
      <c r="AE268" s="542"/>
      <c r="AF268" s="542"/>
      <c r="AG268" s="542">
        <f>AG269+AG270</f>
        <v>4000</v>
      </c>
      <c r="AH268" s="542">
        <f>AH269+AH270</f>
        <v>4000</v>
      </c>
      <c r="AI268" s="542"/>
      <c r="AJ268" s="542"/>
      <c r="AK268" s="542"/>
      <c r="AL268" s="543">
        <f>AL269+AL270</f>
        <v>4000</v>
      </c>
      <c r="AM268" s="542">
        <f>AM269+AM270</f>
        <v>4000</v>
      </c>
      <c r="AN268" s="542"/>
      <c r="AO268" s="542"/>
      <c r="AP268" s="542"/>
      <c r="AQ268" s="550"/>
      <c r="AR268" s="542">
        <f>AR269+AR270</f>
        <v>0</v>
      </c>
      <c r="AS268" s="542">
        <f>AS269+AS270</f>
        <v>0</v>
      </c>
      <c r="AT268" s="474"/>
      <c r="AU268" s="474"/>
      <c r="AV268" s="474"/>
      <c r="AW268" s="542" t="e">
        <f>AW269+AW270</f>
        <v>#REF!</v>
      </c>
      <c r="AX268" s="542" t="e">
        <f>AX269+AX270</f>
        <v>#REF!</v>
      </c>
      <c r="AY268" s="474"/>
      <c r="AZ268" s="474"/>
      <c r="BA268" s="474"/>
      <c r="BB268" s="542">
        <f>BB269+BB270</f>
        <v>93739.195559999993</v>
      </c>
      <c r="BC268" s="542">
        <f>BC269+BC270</f>
        <v>93739.195559999993</v>
      </c>
      <c r="BD268" s="474"/>
      <c r="BE268" s="474"/>
      <c r="BF268" s="474"/>
      <c r="BG268" s="542">
        <f>BG269+BG270</f>
        <v>0</v>
      </c>
      <c r="BH268" s="542">
        <f>BH269+BH270</f>
        <v>0</v>
      </c>
      <c r="BI268" s="474"/>
      <c r="BJ268" s="474"/>
      <c r="BK268" s="474"/>
      <c r="BL268" s="542">
        <f>BL269+BL270</f>
        <v>0</v>
      </c>
      <c r="BM268" s="542">
        <f>BM269+BM270</f>
        <v>0</v>
      </c>
      <c r="BN268" s="474"/>
      <c r="BO268" s="474"/>
      <c r="BP268" s="474"/>
      <c r="BQ268" s="542">
        <f>BQ269+BQ270</f>
        <v>0</v>
      </c>
      <c r="BR268" s="542">
        <f>BR269+BR270</f>
        <v>0</v>
      </c>
      <c r="BS268" s="474"/>
      <c r="BT268" s="474"/>
      <c r="BU268" s="474"/>
      <c r="BV268" s="476">
        <f>BV269+BV270</f>
        <v>0</v>
      </c>
      <c r="BW268" s="544">
        <f>BW269+BW270</f>
        <v>0</v>
      </c>
      <c r="BX268" s="544"/>
      <c r="BY268" s="544"/>
      <c r="BZ268" s="544"/>
      <c r="CA268" s="542">
        <f t="shared" si="1501"/>
        <v>0</v>
      </c>
      <c r="CB268" s="544">
        <f>CB269+CB270</f>
        <v>0</v>
      </c>
      <c r="CC268" s="544">
        <f t="shared" ref="CC268:CC294" si="1518">BR268+BW268</f>
        <v>0</v>
      </c>
      <c r="CD268" s="544"/>
      <c r="CE268" s="544"/>
      <c r="CF268" s="544"/>
      <c r="CG268" s="543">
        <f>CG269+CG270</f>
        <v>0</v>
      </c>
      <c r="CH268" s="543">
        <f t="shared" si="1517"/>
        <v>0</v>
      </c>
      <c r="CI268" s="543"/>
      <c r="CJ268" s="543"/>
      <c r="CK268" s="543"/>
      <c r="CL268" s="551"/>
      <c r="CM268" s="552">
        <f>963443.06185-CM260</f>
        <v>314222.07588000013</v>
      </c>
      <c r="CN268" s="552">
        <f>963443.06185-CN260</f>
        <v>326114.7758800002</v>
      </c>
      <c r="CO268" s="542">
        <f>CO269+CO270</f>
        <v>0</v>
      </c>
      <c r="CP268" s="542">
        <f>CP269+CP270</f>
        <v>0</v>
      </c>
      <c r="CQ268" s="544"/>
      <c r="CR268" s="544"/>
      <c r="CS268" s="544"/>
      <c r="CT268" s="542">
        <f>CT269+CT270</f>
        <v>0</v>
      </c>
      <c r="CU268" s="542">
        <f>CU269+CU270</f>
        <v>0</v>
      </c>
      <c r="CV268" s="544"/>
      <c r="CW268" s="544"/>
      <c r="CX268" s="544"/>
      <c r="CY268" s="552"/>
      <c r="CZ268" s="552"/>
      <c r="DA268" s="552"/>
      <c r="DB268" s="552"/>
      <c r="DC268" s="552"/>
      <c r="DD268" s="552"/>
      <c r="DE268" s="553"/>
      <c r="DF268" s="552"/>
      <c r="DG268" s="554"/>
      <c r="DH268" s="551"/>
      <c r="DI268" s="551"/>
      <c r="DJ268" s="555"/>
      <c r="DK268" s="552"/>
      <c r="DL268" s="552"/>
      <c r="DM268" s="552"/>
      <c r="DN268" s="552"/>
      <c r="DO268" s="552"/>
      <c r="DP268" s="552"/>
      <c r="DQ268" s="552"/>
      <c r="DR268" s="544">
        <f t="shared" ref="DR268:DR291" si="1519">DS268</f>
        <v>0</v>
      </c>
      <c r="DS268" s="542">
        <f>DS269+DS270</f>
        <v>0</v>
      </c>
      <c r="DT268" s="544"/>
      <c r="DU268" s="544"/>
      <c r="DV268" s="556"/>
      <c r="DW268" s="544">
        <f t="shared" si="1504"/>
        <v>0</v>
      </c>
      <c r="DX268" s="544">
        <f>DX269+DX270</f>
        <v>0</v>
      </c>
      <c r="DY268" s="556"/>
      <c r="DZ268" s="544"/>
      <c r="EA268" s="7"/>
      <c r="EB268" s="297">
        <f>EC268+ED268</f>
        <v>0</v>
      </c>
      <c r="EC268" s="297">
        <f>AS269+AS270</f>
        <v>0</v>
      </c>
      <c r="ED268" s="298">
        <v>0</v>
      </c>
      <c r="EE268" s="373" t="e">
        <f t="shared" ref="EE268" si="1520">EC268/EB268</f>
        <v>#DIV/0!</v>
      </c>
      <c r="EF268" s="373" t="e">
        <f t="shared" ref="EF268" si="1521">ED268/EB268</f>
        <v>#DIV/0!</v>
      </c>
      <c r="EG268" s="297">
        <f>EH268+EI268</f>
        <v>0</v>
      </c>
      <c r="EH268" s="297">
        <f>DS268</f>
        <v>0</v>
      </c>
      <c r="EI268" s="298">
        <f>DX268</f>
        <v>0</v>
      </c>
      <c r="EJ268" s="373" t="e">
        <f t="shared" ref="EJ268" si="1522">EH268/EG268</f>
        <v>#DIV/0!</v>
      </c>
      <c r="EK268" s="373" t="e">
        <f t="shared" ref="EK268" si="1523">EI268/EG268</f>
        <v>#DIV/0!</v>
      </c>
      <c r="EL268" s="373"/>
      <c r="EM268" s="297" t="e">
        <f>EG268*EE268</f>
        <v>#DIV/0!</v>
      </c>
      <c r="EN268" s="297" t="e">
        <f>EH268-EM268</f>
        <v>#DIV/0!</v>
      </c>
      <c r="EO268" s="249"/>
      <c r="EP268" s="335"/>
      <c r="EQ268" s="335"/>
      <c r="ER268" s="336"/>
      <c r="ES268" s="335"/>
      <c r="ET268" s="335"/>
      <c r="EU268" s="335"/>
      <c r="EV268" s="335"/>
      <c r="EW268" s="336"/>
      <c r="EX268" s="335"/>
      <c r="EY268" s="335"/>
      <c r="EZ268" s="335"/>
      <c r="FA268" s="335"/>
      <c r="FB268" s="335"/>
      <c r="FC268" s="297"/>
      <c r="FD268" s="297"/>
      <c r="FE268" s="298"/>
      <c r="FF268" s="297"/>
      <c r="FG268" s="297"/>
      <c r="FH268" s="297"/>
      <c r="FI268" s="297"/>
      <c r="FJ268" s="298"/>
      <c r="FK268" s="297"/>
      <c r="FL268" s="297"/>
      <c r="FM268" s="297"/>
      <c r="FN268" s="297"/>
      <c r="FO268" s="297"/>
    </row>
    <row r="269" spans="2:171" s="40" customFormat="1" ht="15" hidden="1" customHeight="1" x14ac:dyDescent="0.25">
      <c r="B269" s="35"/>
      <c r="C269" s="36"/>
      <c r="D269" s="35"/>
      <c r="E269" s="42"/>
      <c r="F269" s="35"/>
      <c r="G269" s="36"/>
      <c r="H269" s="35"/>
      <c r="I269" s="35"/>
      <c r="J269" s="35"/>
      <c r="K269" s="35"/>
      <c r="L269" s="35"/>
      <c r="M269" s="400"/>
      <c r="N269" s="66" t="s">
        <v>289</v>
      </c>
      <c r="O269" s="66"/>
      <c r="P269" s="414">
        <f t="shared" si="1502"/>
        <v>0</v>
      </c>
      <c r="Q269" s="66"/>
      <c r="R269" s="66"/>
      <c r="S269" s="66"/>
      <c r="T269" s="66"/>
      <c r="U269" s="169"/>
      <c r="V269" s="169"/>
      <c r="W269" s="459">
        <f>X269+Y269+Z269+AA269</f>
        <v>0</v>
      </c>
      <c r="X269" s="464">
        <v>0</v>
      </c>
      <c r="Y269" s="464"/>
      <c r="Z269" s="542"/>
      <c r="AA269" s="542"/>
      <c r="AB269" s="459">
        <f>AC269+AD269+AE269+AF269</f>
        <v>78963.653000000006</v>
      </c>
      <c r="AC269" s="464">
        <v>78963.653000000006</v>
      </c>
      <c r="AD269" s="464"/>
      <c r="AE269" s="542"/>
      <c r="AF269" s="542"/>
      <c r="AG269" s="459">
        <f>AH269+AI269+AJ269+AK269</f>
        <v>4000</v>
      </c>
      <c r="AH269" s="464">
        <v>4000</v>
      </c>
      <c r="AI269" s="464"/>
      <c r="AJ269" s="542"/>
      <c r="AK269" s="542"/>
      <c r="AL269" s="459">
        <f>AM269+AN269+AO269+AP269</f>
        <v>4000</v>
      </c>
      <c r="AM269" s="464">
        <v>4000</v>
      </c>
      <c r="AN269" s="464"/>
      <c r="AO269" s="542"/>
      <c r="AP269" s="542"/>
      <c r="AQ269" s="386"/>
      <c r="AR269" s="459">
        <f>AS269+AT269+AU269+AV269</f>
        <v>0</v>
      </c>
      <c r="AS269" s="464">
        <v>0</v>
      </c>
      <c r="AT269" s="474"/>
      <c r="AU269" s="474"/>
      <c r="AV269" s="474"/>
      <c r="AW269" s="459" t="e">
        <f>AX269+AY269+AZ269+BA269</f>
        <v>#REF!</v>
      </c>
      <c r="AX269" s="459" t="e">
        <f>#REF!-AS269</f>
        <v>#REF!</v>
      </c>
      <c r="AY269" s="474"/>
      <c r="AZ269" s="474"/>
      <c r="BA269" s="474"/>
      <c r="BB269" s="459">
        <f>BC269+BD269+BE269+BF269</f>
        <v>76014.812239999999</v>
      </c>
      <c r="BC269" s="464">
        <f>1928.96697+12545.9942+14322.88144+31013.62217+16203.34746</f>
        <v>76014.812239999999</v>
      </c>
      <c r="BD269" s="474"/>
      <c r="BE269" s="474"/>
      <c r="BF269" s="474"/>
      <c r="BG269" s="459">
        <f>BH269+BI269+BJ269+BK269</f>
        <v>0</v>
      </c>
      <c r="BH269" s="464"/>
      <c r="BI269" s="474"/>
      <c r="BJ269" s="474"/>
      <c r="BK269" s="474"/>
      <c r="BL269" s="459">
        <f>BM269+BN269+BO269+BP269</f>
        <v>0</v>
      </c>
      <c r="BM269" s="464">
        <v>0</v>
      </c>
      <c r="BN269" s="474"/>
      <c r="BO269" s="474"/>
      <c r="BP269" s="474"/>
      <c r="BQ269" s="459">
        <f>BR269+BS269+BT269+BU269</f>
        <v>0</v>
      </c>
      <c r="BR269" s="464"/>
      <c r="BS269" s="474"/>
      <c r="BT269" s="474"/>
      <c r="BU269" s="474"/>
      <c r="BV269" s="473">
        <f>BW269+BX269+BY269+BZ269</f>
        <v>0</v>
      </c>
      <c r="BW269" s="460"/>
      <c r="BX269" s="474"/>
      <c r="BY269" s="474"/>
      <c r="BZ269" s="474"/>
      <c r="CA269" s="464">
        <f t="shared" si="1501"/>
        <v>0</v>
      </c>
      <c r="CB269" s="460">
        <f>CC269+CD269+CE269+CF269</f>
        <v>0</v>
      </c>
      <c r="CC269" s="460">
        <f>BR269+BW269</f>
        <v>0</v>
      </c>
      <c r="CD269" s="474"/>
      <c r="CE269" s="474"/>
      <c r="CF269" s="474"/>
      <c r="CG269" s="459">
        <f>CH269+CI269+CJ269+CK269</f>
        <v>0</v>
      </c>
      <c r="CH269" s="459">
        <f t="shared" si="1517"/>
        <v>0</v>
      </c>
      <c r="CI269" s="459"/>
      <c r="CJ269" s="459"/>
      <c r="CK269" s="459"/>
      <c r="CL269" s="465"/>
      <c r="CM269" s="467"/>
      <c r="CN269" s="467"/>
      <c r="CO269" s="459">
        <f>CP269+CQ269+CR269+CS269</f>
        <v>0</v>
      </c>
      <c r="CP269" s="464"/>
      <c r="CQ269" s="474"/>
      <c r="CR269" s="474"/>
      <c r="CS269" s="474"/>
      <c r="CT269" s="459">
        <f>CU269+CV269+CW269+CX269</f>
        <v>0</v>
      </c>
      <c r="CU269" s="464"/>
      <c r="CV269" s="474"/>
      <c r="CW269" s="474"/>
      <c r="CX269" s="474"/>
      <c r="CY269" s="467"/>
      <c r="CZ269" s="467"/>
      <c r="DA269" s="467"/>
      <c r="DB269" s="467"/>
      <c r="DC269" s="467"/>
      <c r="DD269" s="467"/>
      <c r="DE269" s="557"/>
      <c r="DF269" s="467"/>
      <c r="DG269" s="548"/>
      <c r="DH269" s="465"/>
      <c r="DI269" s="465"/>
      <c r="DJ269" s="549"/>
      <c r="DK269" s="467"/>
      <c r="DL269" s="467"/>
      <c r="DM269" s="467"/>
      <c r="DN269" s="467"/>
      <c r="DO269" s="467"/>
      <c r="DP269" s="467"/>
      <c r="DQ269" s="467"/>
      <c r="DR269" s="460">
        <f t="shared" si="1519"/>
        <v>0</v>
      </c>
      <c r="DS269" s="464"/>
      <c r="DT269" s="460"/>
      <c r="DU269" s="460"/>
      <c r="DV269" s="498"/>
      <c r="DW269" s="460">
        <f t="shared" si="1504"/>
        <v>0</v>
      </c>
      <c r="DX269" s="460"/>
      <c r="DY269" s="529"/>
      <c r="DZ269" s="474"/>
      <c r="EA269" s="7"/>
      <c r="EB269" s="286"/>
      <c r="EC269" s="286"/>
      <c r="ED269" s="296"/>
      <c r="EE269" s="294"/>
      <c r="EF269" s="294"/>
      <c r="EG269" s="286"/>
      <c r="EH269" s="286"/>
      <c r="EI269" s="296"/>
      <c r="EJ269" s="294"/>
      <c r="EK269" s="294"/>
      <c r="EL269" s="294"/>
      <c r="EM269" s="294"/>
      <c r="EN269" s="294"/>
      <c r="EO269" s="8"/>
      <c r="EP269" s="328"/>
      <c r="EQ269" s="328"/>
      <c r="ER269" s="334"/>
      <c r="ES269" s="332"/>
      <c r="ET269" s="332"/>
      <c r="EU269" s="328"/>
      <c r="EV269" s="328"/>
      <c r="EW269" s="334"/>
      <c r="EX269" s="332"/>
      <c r="EY269" s="332"/>
      <c r="EZ269" s="332"/>
      <c r="FA269" s="332"/>
      <c r="FB269" s="332"/>
      <c r="FC269" s="286"/>
      <c r="FD269" s="286"/>
      <c r="FE269" s="296"/>
      <c r="FF269" s="294"/>
      <c r="FG269" s="294"/>
      <c r="FH269" s="286"/>
      <c r="FI269" s="286"/>
      <c r="FJ269" s="296"/>
      <c r="FK269" s="294"/>
      <c r="FL269" s="294"/>
      <c r="FM269" s="294"/>
      <c r="FN269" s="294"/>
      <c r="FO269" s="294"/>
    </row>
    <row r="270" spans="2:171" s="40" customFormat="1" ht="15" hidden="1" customHeight="1" x14ac:dyDescent="0.25">
      <c r="B270" s="35"/>
      <c r="C270" s="36"/>
      <c r="D270" s="35"/>
      <c r="E270" s="42"/>
      <c r="F270" s="35"/>
      <c r="G270" s="36"/>
      <c r="H270" s="35"/>
      <c r="I270" s="35"/>
      <c r="J270" s="35"/>
      <c r="K270" s="35"/>
      <c r="L270" s="35"/>
      <c r="M270" s="400"/>
      <c r="N270" s="66" t="s">
        <v>288</v>
      </c>
      <c r="O270" s="66"/>
      <c r="P270" s="414">
        <f t="shared" si="1502"/>
        <v>0</v>
      </c>
      <c r="Q270" s="66"/>
      <c r="R270" s="66"/>
      <c r="S270" s="66"/>
      <c r="T270" s="66"/>
      <c r="U270" s="169"/>
      <c r="V270" s="169"/>
      <c r="W270" s="459">
        <f>X270+Y270+Z270+AA270</f>
        <v>0</v>
      </c>
      <c r="X270" s="464">
        <v>0</v>
      </c>
      <c r="Y270" s="464"/>
      <c r="Z270" s="542"/>
      <c r="AA270" s="542"/>
      <c r="AB270" s="459">
        <f>AC270+AD270+AE270+AF270</f>
        <v>15171.8</v>
      </c>
      <c r="AC270" s="464">
        <v>15171.8</v>
      </c>
      <c r="AD270" s="464"/>
      <c r="AE270" s="542"/>
      <c r="AF270" s="542"/>
      <c r="AG270" s="459">
        <f>AH270+AI270+AJ270+AK270</f>
        <v>0</v>
      </c>
      <c r="AH270" s="464"/>
      <c r="AI270" s="464"/>
      <c r="AJ270" s="542"/>
      <c r="AK270" s="542"/>
      <c r="AL270" s="459">
        <f>AM270+AN270+AO270+AP270</f>
        <v>0</v>
      </c>
      <c r="AM270" s="464"/>
      <c r="AN270" s="464"/>
      <c r="AO270" s="542"/>
      <c r="AP270" s="542"/>
      <c r="AQ270" s="386"/>
      <c r="AR270" s="459">
        <f>AS270+AT270+AU270+AV270</f>
        <v>0</v>
      </c>
      <c r="AS270" s="464">
        <v>0</v>
      </c>
      <c r="AT270" s="474"/>
      <c r="AU270" s="474"/>
      <c r="AV270" s="474"/>
      <c r="AW270" s="459" t="e">
        <f>AX270+AY270+AZ270+BA270</f>
        <v>#REF!</v>
      </c>
      <c r="AX270" s="459" t="e">
        <f>#REF!-AS270</f>
        <v>#REF!</v>
      </c>
      <c r="AY270" s="474"/>
      <c r="AZ270" s="474"/>
      <c r="BA270" s="474"/>
      <c r="BB270" s="459">
        <f>BC270+BD270+BE270+BF270</f>
        <v>17724.383320000001</v>
      </c>
      <c r="BC270" s="464">
        <f>449.82057+2925.63138+3339.66807+7231.45018+3777.81312</f>
        <v>17724.383320000001</v>
      </c>
      <c r="BD270" s="474"/>
      <c r="BE270" s="474"/>
      <c r="BF270" s="474"/>
      <c r="BG270" s="459">
        <f>BH270+BI270+BJ270+BK270</f>
        <v>0</v>
      </c>
      <c r="BH270" s="464"/>
      <c r="BI270" s="474"/>
      <c r="BJ270" s="474"/>
      <c r="BK270" s="474"/>
      <c r="BL270" s="459">
        <f>BM270+BN270+BO270+BP270</f>
        <v>0</v>
      </c>
      <c r="BM270" s="464">
        <v>0</v>
      </c>
      <c r="BN270" s="474"/>
      <c r="BO270" s="474"/>
      <c r="BP270" s="474"/>
      <c r="BQ270" s="459">
        <f>BR270+BS270+BT270+BU270</f>
        <v>0</v>
      </c>
      <c r="BR270" s="464"/>
      <c r="BS270" s="474"/>
      <c r="BT270" s="474"/>
      <c r="BU270" s="474"/>
      <c r="BV270" s="473">
        <f>BW270+BX270+BY270+BZ270</f>
        <v>0</v>
      </c>
      <c r="BW270" s="460"/>
      <c r="BX270" s="474"/>
      <c r="BY270" s="474"/>
      <c r="BZ270" s="474"/>
      <c r="CA270" s="464">
        <f t="shared" si="1501"/>
        <v>0</v>
      </c>
      <c r="CB270" s="460">
        <f>CC270+CD270+CE270+CF270</f>
        <v>0</v>
      </c>
      <c r="CC270" s="460">
        <f>BR270+BW270</f>
        <v>0</v>
      </c>
      <c r="CD270" s="474"/>
      <c r="CE270" s="474"/>
      <c r="CF270" s="474"/>
      <c r="CG270" s="459">
        <f>CH270+CI270+CJ270+CK270</f>
        <v>0</v>
      </c>
      <c r="CH270" s="459">
        <f t="shared" si="1517"/>
        <v>0</v>
      </c>
      <c r="CI270" s="459"/>
      <c r="CJ270" s="459"/>
      <c r="CK270" s="459"/>
      <c r="CL270" s="465"/>
      <c r="CM270" s="467"/>
      <c r="CN270" s="467"/>
      <c r="CO270" s="459">
        <f>CP270+CQ270+CR270+CS270</f>
        <v>0</v>
      </c>
      <c r="CP270" s="464"/>
      <c r="CQ270" s="474"/>
      <c r="CR270" s="474"/>
      <c r="CS270" s="474"/>
      <c r="CT270" s="459">
        <f>CU270+CV270+CW270+CX270</f>
        <v>0</v>
      </c>
      <c r="CU270" s="464"/>
      <c r="CV270" s="474"/>
      <c r="CW270" s="474"/>
      <c r="CX270" s="474"/>
      <c r="CY270" s="467"/>
      <c r="CZ270" s="467"/>
      <c r="DA270" s="467"/>
      <c r="DB270" s="467"/>
      <c r="DC270" s="467"/>
      <c r="DD270" s="467"/>
      <c r="DE270" s="467"/>
      <c r="DF270" s="467"/>
      <c r="DG270" s="548"/>
      <c r="DH270" s="465"/>
      <c r="DI270" s="465"/>
      <c r="DJ270" s="549"/>
      <c r="DK270" s="467"/>
      <c r="DL270" s="467"/>
      <c r="DM270" s="467"/>
      <c r="DN270" s="467"/>
      <c r="DO270" s="467"/>
      <c r="DP270" s="467"/>
      <c r="DQ270" s="467"/>
      <c r="DR270" s="460">
        <f t="shared" si="1519"/>
        <v>0</v>
      </c>
      <c r="DS270" s="464"/>
      <c r="DT270" s="460"/>
      <c r="DU270" s="460"/>
      <c r="DV270" s="498"/>
      <c r="DW270" s="460">
        <f t="shared" si="1504"/>
        <v>0</v>
      </c>
      <c r="DX270" s="460"/>
      <c r="DY270" s="529"/>
      <c r="DZ270" s="474"/>
      <c r="EA270" s="7"/>
      <c r="EB270" s="286"/>
      <c r="EC270" s="286"/>
      <c r="ED270" s="296"/>
      <c r="EE270" s="294"/>
      <c r="EF270" s="294"/>
      <c r="EG270" s="286"/>
      <c r="EH270" s="286"/>
      <c r="EI270" s="296"/>
      <c r="EJ270" s="294"/>
      <c r="EK270" s="294"/>
      <c r="EL270" s="294"/>
      <c r="EM270" s="294"/>
      <c r="EN270" s="294"/>
      <c r="EO270" s="8"/>
      <c r="EP270" s="328"/>
      <c r="EQ270" s="328"/>
      <c r="ER270" s="334"/>
      <c r="ES270" s="332"/>
      <c r="ET270" s="332"/>
      <c r="EU270" s="328"/>
      <c r="EV270" s="328"/>
      <c r="EW270" s="334"/>
      <c r="EX270" s="332"/>
      <c r="EY270" s="332"/>
      <c r="EZ270" s="332"/>
      <c r="FA270" s="332"/>
      <c r="FB270" s="332"/>
      <c r="FC270" s="286"/>
      <c r="FD270" s="286"/>
      <c r="FE270" s="296"/>
      <c r="FF270" s="294"/>
      <c r="FG270" s="294"/>
      <c r="FH270" s="286"/>
      <c r="FI270" s="286"/>
      <c r="FJ270" s="296"/>
      <c r="FK270" s="294"/>
      <c r="FL270" s="294"/>
      <c r="FM270" s="294"/>
      <c r="FN270" s="294"/>
      <c r="FO270" s="294"/>
    </row>
    <row r="271" spans="2:171" s="40" customFormat="1" ht="59.45" hidden="1" customHeight="1" x14ac:dyDescent="0.25">
      <c r="B271" s="35"/>
      <c r="C271" s="36"/>
      <c r="D271" s="35"/>
      <c r="E271" s="42"/>
      <c r="F271" s="35"/>
      <c r="G271" s="36"/>
      <c r="H271" s="35"/>
      <c r="I271" s="35"/>
      <c r="J271" s="35"/>
      <c r="K271" s="35"/>
      <c r="L271" s="35"/>
      <c r="M271" s="446">
        <v>2</v>
      </c>
      <c r="N271" s="208" t="s">
        <v>327</v>
      </c>
      <c r="O271" s="208"/>
      <c r="P271" s="417">
        <f t="shared" si="1502"/>
        <v>0</v>
      </c>
      <c r="Q271" s="208"/>
      <c r="R271" s="208"/>
      <c r="S271" s="208"/>
      <c r="T271" s="208"/>
      <c r="U271" s="434"/>
      <c r="V271" s="434"/>
      <c r="W271" s="542">
        <f>W272+W273</f>
        <v>0</v>
      </c>
      <c r="X271" s="542">
        <f>X272+X273</f>
        <v>0</v>
      </c>
      <c r="Y271" s="542"/>
      <c r="Z271" s="542"/>
      <c r="AA271" s="542"/>
      <c r="AB271" s="542">
        <f>AB272+AB273</f>
        <v>84312.638999999996</v>
      </c>
      <c r="AC271" s="542">
        <f>AC272+AC273</f>
        <v>84312.638999999996</v>
      </c>
      <c r="AD271" s="542"/>
      <c r="AE271" s="542"/>
      <c r="AF271" s="542"/>
      <c r="AG271" s="542">
        <f>AG272+AG273</f>
        <v>85442.017999999996</v>
      </c>
      <c r="AH271" s="542">
        <f>AH272+AH273</f>
        <v>85442.017999999996</v>
      </c>
      <c r="AI271" s="542"/>
      <c r="AJ271" s="542"/>
      <c r="AK271" s="542"/>
      <c r="AL271" s="543">
        <f>AL272+AL273</f>
        <v>85442.017999999996</v>
      </c>
      <c r="AM271" s="542">
        <f>AM272+AM273</f>
        <v>85442.017999999996</v>
      </c>
      <c r="AN271" s="542"/>
      <c r="AO271" s="542"/>
      <c r="AP271" s="542"/>
      <c r="AQ271" s="384"/>
      <c r="AR271" s="542">
        <f>AR272+AR273</f>
        <v>0</v>
      </c>
      <c r="AS271" s="542">
        <f>AS272+AS273</f>
        <v>0</v>
      </c>
      <c r="AT271" s="474"/>
      <c r="AU271" s="474"/>
      <c r="AV271" s="474"/>
      <c r="AW271" s="542" t="e">
        <f>AW272+AW273</f>
        <v>#REF!</v>
      </c>
      <c r="AX271" s="542" t="e">
        <f>AX272+AX273</f>
        <v>#REF!</v>
      </c>
      <c r="AY271" s="474"/>
      <c r="AZ271" s="474"/>
      <c r="BA271" s="474"/>
      <c r="BB271" s="542">
        <f>BB272+BB273</f>
        <v>0</v>
      </c>
      <c r="BC271" s="542"/>
      <c r="BD271" s="474"/>
      <c r="BE271" s="474"/>
      <c r="BF271" s="474"/>
      <c r="BG271" s="542">
        <f>BG272+BG273</f>
        <v>0</v>
      </c>
      <c r="BH271" s="542">
        <f>BH272+BH273</f>
        <v>0</v>
      </c>
      <c r="BI271" s="474"/>
      <c r="BJ271" s="474"/>
      <c r="BK271" s="474"/>
      <c r="BL271" s="542">
        <f>BL272+BL273</f>
        <v>0</v>
      </c>
      <c r="BM271" s="542">
        <f>BM272+BM273</f>
        <v>0</v>
      </c>
      <c r="BN271" s="474"/>
      <c r="BO271" s="474"/>
      <c r="BP271" s="474"/>
      <c r="BQ271" s="542">
        <f>BQ272+BQ273</f>
        <v>0</v>
      </c>
      <c r="BR271" s="542">
        <f>BR272+BR273</f>
        <v>0</v>
      </c>
      <c r="BS271" s="474"/>
      <c r="BT271" s="474"/>
      <c r="BU271" s="474"/>
      <c r="BV271" s="476">
        <f>BV272+BV273</f>
        <v>0</v>
      </c>
      <c r="BW271" s="544">
        <f>BW272+BW273</f>
        <v>0</v>
      </c>
      <c r="BX271" s="544"/>
      <c r="BY271" s="544"/>
      <c r="BZ271" s="544"/>
      <c r="CA271" s="542">
        <f t="shared" si="1501"/>
        <v>0</v>
      </c>
      <c r="CB271" s="544">
        <f>CB272+CB273</f>
        <v>0</v>
      </c>
      <c r="CC271" s="544">
        <f t="shared" si="1518"/>
        <v>0</v>
      </c>
      <c r="CD271" s="544"/>
      <c r="CE271" s="544"/>
      <c r="CF271" s="544"/>
      <c r="CG271" s="543">
        <f>CG272+CG273</f>
        <v>0</v>
      </c>
      <c r="CH271" s="543">
        <f t="shared" si="1517"/>
        <v>0</v>
      </c>
      <c r="CI271" s="543"/>
      <c r="CJ271" s="543"/>
      <c r="CK271" s="543"/>
      <c r="CL271" s="551"/>
      <c r="CM271" s="552"/>
      <c r="CN271" s="552"/>
      <c r="CO271" s="542">
        <f>CO272+CO273</f>
        <v>0</v>
      </c>
      <c r="CP271" s="542">
        <f>CP272+CP273</f>
        <v>0</v>
      </c>
      <c r="CQ271" s="544"/>
      <c r="CR271" s="544"/>
      <c r="CS271" s="544"/>
      <c r="CT271" s="542">
        <f>CT272+CT273</f>
        <v>0</v>
      </c>
      <c r="CU271" s="542">
        <f>CU272+CU273</f>
        <v>0</v>
      </c>
      <c r="CV271" s="544"/>
      <c r="CW271" s="544"/>
      <c r="CX271" s="544"/>
      <c r="CY271" s="552"/>
      <c r="CZ271" s="552"/>
      <c r="DA271" s="552"/>
      <c r="DB271" s="552"/>
      <c r="DC271" s="552"/>
      <c r="DD271" s="552"/>
      <c r="DE271" s="552"/>
      <c r="DF271" s="552"/>
      <c r="DG271" s="554"/>
      <c r="DH271" s="551"/>
      <c r="DI271" s="551"/>
      <c r="DJ271" s="555"/>
      <c r="DK271" s="552"/>
      <c r="DL271" s="552"/>
      <c r="DM271" s="552"/>
      <c r="DN271" s="552"/>
      <c r="DO271" s="552"/>
      <c r="DP271" s="552"/>
      <c r="DQ271" s="552"/>
      <c r="DR271" s="544">
        <f t="shared" si="1519"/>
        <v>0</v>
      </c>
      <c r="DS271" s="542">
        <f>DS272+DS273</f>
        <v>0</v>
      </c>
      <c r="DT271" s="544"/>
      <c r="DU271" s="544"/>
      <c r="DV271" s="556"/>
      <c r="DW271" s="544">
        <f t="shared" si="1504"/>
        <v>0</v>
      </c>
      <c r="DX271" s="544">
        <f>DX272+DX273</f>
        <v>0</v>
      </c>
      <c r="DY271" s="556"/>
      <c r="DZ271" s="544"/>
      <c r="EA271" s="7"/>
      <c r="EB271" s="297">
        <f>EC271+ED271</f>
        <v>0</v>
      </c>
      <c r="EC271" s="297">
        <f>AS272+AS273</f>
        <v>0</v>
      </c>
      <c r="ED271" s="298"/>
      <c r="EE271" s="373" t="e">
        <f t="shared" ref="EE271" si="1524">EC271/EB271</f>
        <v>#DIV/0!</v>
      </c>
      <c r="EF271" s="373" t="e">
        <f t="shared" ref="EF271" si="1525">ED271/EB271</f>
        <v>#DIV/0!</v>
      </c>
      <c r="EG271" s="297">
        <f>EH271+EI271</f>
        <v>0</v>
      </c>
      <c r="EH271" s="297">
        <f>DS271</f>
        <v>0</v>
      </c>
      <c r="EI271" s="298">
        <f>DX271</f>
        <v>0</v>
      </c>
      <c r="EJ271" s="373" t="e">
        <f t="shared" ref="EJ271" si="1526">EH271/EG271</f>
        <v>#DIV/0!</v>
      </c>
      <c r="EK271" s="373" t="e">
        <f t="shared" ref="EK271" si="1527">EI271/EG271</f>
        <v>#DIV/0!</v>
      </c>
      <c r="EL271" s="373"/>
      <c r="EM271" s="297" t="e">
        <f>EG271*EE271</f>
        <v>#DIV/0!</v>
      </c>
      <c r="EN271" s="297" t="e">
        <f>EH271-EM271</f>
        <v>#DIV/0!</v>
      </c>
      <c r="EO271" s="249"/>
      <c r="EP271" s="335"/>
      <c r="EQ271" s="335"/>
      <c r="ER271" s="336"/>
      <c r="ES271" s="335"/>
      <c r="ET271" s="335"/>
      <c r="EU271" s="335"/>
      <c r="EV271" s="335"/>
      <c r="EW271" s="336"/>
      <c r="EX271" s="335"/>
      <c r="EY271" s="335"/>
      <c r="EZ271" s="335"/>
      <c r="FA271" s="335"/>
      <c r="FB271" s="335"/>
      <c r="FC271" s="297"/>
      <c r="FD271" s="297"/>
      <c r="FE271" s="298"/>
      <c r="FF271" s="297"/>
      <c r="FG271" s="297"/>
      <c r="FH271" s="297"/>
      <c r="FI271" s="297"/>
      <c r="FJ271" s="298"/>
      <c r="FK271" s="297"/>
      <c r="FL271" s="297"/>
      <c r="FM271" s="297"/>
      <c r="FN271" s="297"/>
      <c r="FO271" s="297"/>
    </row>
    <row r="272" spans="2:171" s="40" customFormat="1" ht="19.5" hidden="1" customHeight="1" x14ac:dyDescent="0.25">
      <c r="B272" s="35"/>
      <c r="C272" s="36"/>
      <c r="D272" s="35"/>
      <c r="E272" s="42"/>
      <c r="F272" s="35"/>
      <c r="G272" s="36"/>
      <c r="H272" s="35"/>
      <c r="I272" s="35"/>
      <c r="J272" s="35"/>
      <c r="K272" s="35"/>
      <c r="L272" s="35"/>
      <c r="M272" s="400"/>
      <c r="N272" s="66" t="s">
        <v>289</v>
      </c>
      <c r="O272" s="66"/>
      <c r="P272" s="414">
        <f t="shared" si="1502"/>
        <v>0</v>
      </c>
      <c r="Q272" s="66"/>
      <c r="R272" s="66"/>
      <c r="S272" s="66"/>
      <c r="T272" s="66"/>
      <c r="U272" s="169"/>
      <c r="V272" s="169"/>
      <c r="W272" s="459">
        <f>X272+Y272+Z272+AA272</f>
        <v>0</v>
      </c>
      <c r="X272" s="464"/>
      <c r="Y272" s="464"/>
      <c r="Z272" s="542"/>
      <c r="AA272" s="542"/>
      <c r="AB272" s="459">
        <f>AC272+AD272+AE272+AF272</f>
        <v>65743.138999999996</v>
      </c>
      <c r="AC272" s="464">
        <v>65743.138999999996</v>
      </c>
      <c r="AD272" s="464"/>
      <c r="AE272" s="542"/>
      <c r="AF272" s="542"/>
      <c r="AG272" s="459">
        <f>AH272+AI272+AJ272+AK272</f>
        <v>85442.017999999996</v>
      </c>
      <c r="AH272" s="464">
        <v>85442.017999999996</v>
      </c>
      <c r="AI272" s="464"/>
      <c r="AJ272" s="542"/>
      <c r="AK272" s="542"/>
      <c r="AL272" s="459">
        <f>AM272+AN272+AO272+AP272</f>
        <v>85442.017999999996</v>
      </c>
      <c r="AM272" s="464">
        <v>85442.017999999996</v>
      </c>
      <c r="AN272" s="464"/>
      <c r="AO272" s="542"/>
      <c r="AP272" s="542"/>
      <c r="AQ272" s="386"/>
      <c r="AR272" s="459">
        <f>AS272+AT272+AU272+AV272</f>
        <v>0</v>
      </c>
      <c r="AS272" s="464"/>
      <c r="AT272" s="474"/>
      <c r="AU272" s="474"/>
      <c r="AV272" s="474"/>
      <c r="AW272" s="459" t="e">
        <f>AX272+AY272+AZ272+BA272</f>
        <v>#REF!</v>
      </c>
      <c r="AX272" s="459" t="e">
        <f>#REF!-AS272</f>
        <v>#REF!</v>
      </c>
      <c r="AY272" s="474"/>
      <c r="AZ272" s="474"/>
      <c r="BA272" s="474"/>
      <c r="BB272" s="459">
        <f>BC272+BD272+BE272+BF272</f>
        <v>0</v>
      </c>
      <c r="BC272" s="464"/>
      <c r="BD272" s="474"/>
      <c r="BE272" s="474"/>
      <c r="BF272" s="474"/>
      <c r="BG272" s="459">
        <f>BH272+BI272+BJ272+BK272</f>
        <v>0</v>
      </c>
      <c r="BH272" s="464"/>
      <c r="BI272" s="474"/>
      <c r="BJ272" s="474"/>
      <c r="BK272" s="474"/>
      <c r="BL272" s="459">
        <f>BM272+BN272+BO272+BP272</f>
        <v>0</v>
      </c>
      <c r="BM272" s="464">
        <v>0</v>
      </c>
      <c r="BN272" s="474"/>
      <c r="BO272" s="474"/>
      <c r="BP272" s="474"/>
      <c r="BQ272" s="459">
        <f>BR272+BS272+BT272+BU272</f>
        <v>0</v>
      </c>
      <c r="BR272" s="464"/>
      <c r="BS272" s="474"/>
      <c r="BT272" s="474"/>
      <c r="BU272" s="474"/>
      <c r="BV272" s="473">
        <f>BW272+BX272+BY272+BZ272</f>
        <v>0</v>
      </c>
      <c r="BW272" s="460">
        <v>0</v>
      </c>
      <c r="BX272" s="474"/>
      <c r="BY272" s="474"/>
      <c r="BZ272" s="474"/>
      <c r="CA272" s="464">
        <f t="shared" si="1501"/>
        <v>0</v>
      </c>
      <c r="CB272" s="460">
        <f>CC272+CD272+CE272+CF272</f>
        <v>0</v>
      </c>
      <c r="CC272" s="460">
        <f>BR272+BW272</f>
        <v>0</v>
      </c>
      <c r="CD272" s="474"/>
      <c r="CE272" s="474"/>
      <c r="CF272" s="474"/>
      <c r="CG272" s="459">
        <f>CH272+CI272+CJ272+CK272</f>
        <v>0</v>
      </c>
      <c r="CH272" s="459">
        <f t="shared" si="1517"/>
        <v>0</v>
      </c>
      <c r="CI272" s="459"/>
      <c r="CJ272" s="459"/>
      <c r="CK272" s="459"/>
      <c r="CL272" s="465"/>
      <c r="CM272" s="467"/>
      <c r="CN272" s="467"/>
      <c r="CO272" s="459">
        <f>CP272+CQ272+CR272+CS272</f>
        <v>0</v>
      </c>
      <c r="CP272" s="464"/>
      <c r="CQ272" s="474"/>
      <c r="CR272" s="474"/>
      <c r="CS272" s="474"/>
      <c r="CT272" s="459">
        <f>CU272+CV272+CW272+CX272</f>
        <v>0</v>
      </c>
      <c r="CU272" s="464"/>
      <c r="CV272" s="474"/>
      <c r="CW272" s="474"/>
      <c r="CX272" s="474"/>
      <c r="CY272" s="467"/>
      <c r="CZ272" s="467"/>
      <c r="DA272" s="467"/>
      <c r="DB272" s="467"/>
      <c r="DC272" s="467"/>
      <c r="DD272" s="467"/>
      <c r="DE272" s="467"/>
      <c r="DF272" s="467"/>
      <c r="DG272" s="548"/>
      <c r="DH272" s="465"/>
      <c r="DI272" s="465"/>
      <c r="DJ272" s="549"/>
      <c r="DK272" s="467"/>
      <c r="DL272" s="467"/>
      <c r="DM272" s="467"/>
      <c r="DN272" s="467"/>
      <c r="DO272" s="467"/>
      <c r="DP272" s="467"/>
      <c r="DQ272" s="467"/>
      <c r="DR272" s="460">
        <f t="shared" si="1519"/>
        <v>0</v>
      </c>
      <c r="DS272" s="464"/>
      <c r="DT272" s="460"/>
      <c r="DU272" s="460"/>
      <c r="DV272" s="498"/>
      <c r="DW272" s="460">
        <f t="shared" si="1504"/>
        <v>0</v>
      </c>
      <c r="DX272" s="460">
        <v>0</v>
      </c>
      <c r="DY272" s="529"/>
      <c r="DZ272" s="474"/>
      <c r="EA272" s="7"/>
      <c r="EB272" s="286"/>
      <c r="EC272" s="286"/>
      <c r="ED272" s="296"/>
      <c r="EE272" s="294"/>
      <c r="EF272" s="294"/>
      <c r="EG272" s="286"/>
      <c r="EH272" s="286"/>
      <c r="EI272" s="296"/>
      <c r="EJ272" s="294"/>
      <c r="EK272" s="294"/>
      <c r="EL272" s="294"/>
      <c r="EM272" s="294"/>
      <c r="EN272" s="294"/>
      <c r="EO272" s="8"/>
      <c r="EP272" s="328"/>
      <c r="EQ272" s="328"/>
      <c r="ER272" s="334"/>
      <c r="ES272" s="332"/>
      <c r="ET272" s="332"/>
      <c r="EU272" s="328"/>
      <c r="EV272" s="328"/>
      <c r="EW272" s="334"/>
      <c r="EX272" s="332"/>
      <c r="EY272" s="332"/>
      <c r="EZ272" s="332"/>
      <c r="FA272" s="332"/>
      <c r="FB272" s="332"/>
      <c r="FC272" s="286"/>
      <c r="FD272" s="286"/>
      <c r="FE272" s="296"/>
      <c r="FF272" s="294"/>
      <c r="FG272" s="294"/>
      <c r="FH272" s="286"/>
      <c r="FI272" s="286"/>
      <c r="FJ272" s="296"/>
      <c r="FK272" s="294"/>
      <c r="FL272" s="294"/>
      <c r="FM272" s="294"/>
      <c r="FN272" s="294"/>
      <c r="FO272" s="294"/>
    </row>
    <row r="273" spans="2:171" s="40" customFormat="1" ht="19.5" hidden="1" customHeight="1" x14ac:dyDescent="0.25">
      <c r="B273" s="35"/>
      <c r="C273" s="36"/>
      <c r="D273" s="35"/>
      <c r="E273" s="42"/>
      <c r="F273" s="35"/>
      <c r="G273" s="36"/>
      <c r="H273" s="35"/>
      <c r="I273" s="35"/>
      <c r="J273" s="35"/>
      <c r="K273" s="35"/>
      <c r="L273" s="35"/>
      <c r="M273" s="400"/>
      <c r="N273" s="66" t="s">
        <v>288</v>
      </c>
      <c r="O273" s="66"/>
      <c r="P273" s="414">
        <f t="shared" si="1502"/>
        <v>0</v>
      </c>
      <c r="Q273" s="66"/>
      <c r="R273" s="66"/>
      <c r="S273" s="66"/>
      <c r="T273" s="66"/>
      <c r="U273" s="169"/>
      <c r="V273" s="169"/>
      <c r="W273" s="459">
        <f>X273+Y273+Z273+AA273</f>
        <v>0</v>
      </c>
      <c r="X273" s="464"/>
      <c r="Y273" s="464"/>
      <c r="Z273" s="542"/>
      <c r="AA273" s="542"/>
      <c r="AB273" s="459">
        <f>AC273+AD273+AE273+AF273</f>
        <v>18569.5</v>
      </c>
      <c r="AC273" s="464">
        <v>18569.5</v>
      </c>
      <c r="AD273" s="464"/>
      <c r="AE273" s="542"/>
      <c r="AF273" s="542"/>
      <c r="AG273" s="459">
        <f>AH273+AI273+AJ273+AK273</f>
        <v>0</v>
      </c>
      <c r="AH273" s="464"/>
      <c r="AI273" s="464"/>
      <c r="AJ273" s="542"/>
      <c r="AK273" s="542"/>
      <c r="AL273" s="459">
        <f>AM273+AN273+AO273+AP273</f>
        <v>0</v>
      </c>
      <c r="AM273" s="464"/>
      <c r="AN273" s="464"/>
      <c r="AO273" s="542"/>
      <c r="AP273" s="542"/>
      <c r="AQ273" s="386"/>
      <c r="AR273" s="459">
        <f>AS273+AT273+AU273+AV273</f>
        <v>0</v>
      </c>
      <c r="AS273" s="464"/>
      <c r="AT273" s="474"/>
      <c r="AU273" s="474"/>
      <c r="AV273" s="474"/>
      <c r="AW273" s="459" t="e">
        <f>AX273+AY273+AZ273+BA273</f>
        <v>#REF!</v>
      </c>
      <c r="AX273" s="459" t="e">
        <f>#REF!-AS273</f>
        <v>#REF!</v>
      </c>
      <c r="AY273" s="474"/>
      <c r="AZ273" s="474"/>
      <c r="BA273" s="474"/>
      <c r="BB273" s="459">
        <f>BC273+BD273+BE273+BF273</f>
        <v>0</v>
      </c>
      <c r="BC273" s="464"/>
      <c r="BD273" s="474"/>
      <c r="BE273" s="474"/>
      <c r="BF273" s="474"/>
      <c r="BG273" s="459">
        <f>BH273+BI273+BJ273+BK273</f>
        <v>0</v>
      </c>
      <c r="BH273" s="464"/>
      <c r="BI273" s="474"/>
      <c r="BJ273" s="474"/>
      <c r="BK273" s="474"/>
      <c r="BL273" s="459">
        <f>BM273+BN273+BO273+BP273</f>
        <v>0</v>
      </c>
      <c r="BM273" s="464">
        <v>0</v>
      </c>
      <c r="BN273" s="474"/>
      <c r="BO273" s="474"/>
      <c r="BP273" s="474"/>
      <c r="BQ273" s="459">
        <f>BR273+BS273+BT273+BU273</f>
        <v>0</v>
      </c>
      <c r="BR273" s="464"/>
      <c r="BS273" s="474"/>
      <c r="BT273" s="474"/>
      <c r="BU273" s="474"/>
      <c r="BV273" s="473">
        <f>BW273+BX273+BY273+BZ273</f>
        <v>0</v>
      </c>
      <c r="BW273" s="460"/>
      <c r="BX273" s="474"/>
      <c r="BY273" s="474"/>
      <c r="BZ273" s="474"/>
      <c r="CA273" s="464">
        <f t="shared" si="1501"/>
        <v>0</v>
      </c>
      <c r="CB273" s="460">
        <f>CC273+CD273+CE273+CF273</f>
        <v>0</v>
      </c>
      <c r="CC273" s="460">
        <f>BR273+BW273</f>
        <v>0</v>
      </c>
      <c r="CD273" s="474"/>
      <c r="CE273" s="474"/>
      <c r="CF273" s="474"/>
      <c r="CG273" s="459">
        <f>CH273+CI273+CJ273+CK273</f>
        <v>0</v>
      </c>
      <c r="CH273" s="459">
        <f t="shared" si="1517"/>
        <v>0</v>
      </c>
      <c r="CI273" s="459"/>
      <c r="CJ273" s="459"/>
      <c r="CK273" s="459"/>
      <c r="CL273" s="465"/>
      <c r="CM273" s="467"/>
      <c r="CN273" s="467"/>
      <c r="CO273" s="459">
        <f>CP273+CQ273+CR273+CS273</f>
        <v>0</v>
      </c>
      <c r="CP273" s="464"/>
      <c r="CQ273" s="474"/>
      <c r="CR273" s="474"/>
      <c r="CS273" s="474"/>
      <c r="CT273" s="459">
        <f>CU273+CV273+CW273+CX273</f>
        <v>0</v>
      </c>
      <c r="CU273" s="464"/>
      <c r="CV273" s="474"/>
      <c r="CW273" s="474"/>
      <c r="CX273" s="474"/>
      <c r="CY273" s="467"/>
      <c r="CZ273" s="467"/>
      <c r="DA273" s="467"/>
      <c r="DB273" s="467"/>
      <c r="DC273" s="467"/>
      <c r="DD273" s="467"/>
      <c r="DE273" s="467"/>
      <c r="DF273" s="467"/>
      <c r="DG273" s="548"/>
      <c r="DH273" s="465"/>
      <c r="DI273" s="465"/>
      <c r="DJ273" s="549"/>
      <c r="DK273" s="467"/>
      <c r="DL273" s="467"/>
      <c r="DM273" s="467"/>
      <c r="DN273" s="467"/>
      <c r="DO273" s="467"/>
      <c r="DP273" s="467"/>
      <c r="DQ273" s="467"/>
      <c r="DR273" s="460">
        <f t="shared" si="1519"/>
        <v>0</v>
      </c>
      <c r="DS273" s="464"/>
      <c r="DT273" s="460"/>
      <c r="DU273" s="460"/>
      <c r="DV273" s="498"/>
      <c r="DW273" s="460">
        <f t="shared" si="1504"/>
        <v>0</v>
      </c>
      <c r="DX273" s="460"/>
      <c r="DY273" s="529"/>
      <c r="DZ273" s="474"/>
      <c r="EA273" s="7"/>
      <c r="EB273" s="286"/>
      <c r="EC273" s="286"/>
      <c r="ED273" s="296"/>
      <c r="EE273" s="294"/>
      <c r="EF273" s="294"/>
      <c r="EG273" s="286"/>
      <c r="EH273" s="286"/>
      <c r="EI273" s="296"/>
      <c r="EJ273" s="294"/>
      <c r="EK273" s="294"/>
      <c r="EL273" s="294"/>
      <c r="EM273" s="294"/>
      <c r="EN273" s="294"/>
      <c r="EO273" s="8"/>
      <c r="EP273" s="328"/>
      <c r="EQ273" s="328"/>
      <c r="ER273" s="334"/>
      <c r="ES273" s="332"/>
      <c r="ET273" s="332"/>
      <c r="EU273" s="328"/>
      <c r="EV273" s="328"/>
      <c r="EW273" s="334"/>
      <c r="EX273" s="332"/>
      <c r="EY273" s="332"/>
      <c r="EZ273" s="332"/>
      <c r="FA273" s="332"/>
      <c r="FB273" s="332"/>
      <c r="FC273" s="286"/>
      <c r="FD273" s="286"/>
      <c r="FE273" s="296"/>
      <c r="FF273" s="294"/>
      <c r="FG273" s="294"/>
      <c r="FH273" s="286"/>
      <c r="FI273" s="286"/>
      <c r="FJ273" s="296"/>
      <c r="FK273" s="294"/>
      <c r="FL273" s="294"/>
      <c r="FM273" s="294"/>
      <c r="FN273" s="294"/>
      <c r="FO273" s="294"/>
    </row>
    <row r="274" spans="2:171" s="40" customFormat="1" ht="52.9" customHeight="1" x14ac:dyDescent="0.25">
      <c r="B274" s="35"/>
      <c r="C274" s="36"/>
      <c r="D274" s="35"/>
      <c r="E274" s="42"/>
      <c r="F274" s="35"/>
      <c r="G274" s="36"/>
      <c r="H274" s="35"/>
      <c r="I274" s="35"/>
      <c r="J274" s="35"/>
      <c r="K274" s="35"/>
      <c r="L274" s="35"/>
      <c r="M274" s="446">
        <v>1</v>
      </c>
      <c r="N274" s="208" t="s">
        <v>323</v>
      </c>
      <c r="O274" s="208"/>
      <c r="P274" s="417">
        <f t="shared" si="1502"/>
        <v>0</v>
      </c>
      <c r="Q274" s="208"/>
      <c r="R274" s="208"/>
      <c r="S274" s="208"/>
      <c r="T274" s="208"/>
      <c r="U274" s="434"/>
      <c r="V274" s="434">
        <v>2</v>
      </c>
      <c r="W274" s="542">
        <f>W275+W276</f>
        <v>97500</v>
      </c>
      <c r="X274" s="542">
        <f>X275+X276</f>
        <v>97500</v>
      </c>
      <c r="Y274" s="542"/>
      <c r="Z274" s="542"/>
      <c r="AA274" s="542"/>
      <c r="AB274" s="542">
        <f>AB275+AB276</f>
        <v>55000</v>
      </c>
      <c r="AC274" s="542">
        <f>AC275+AC276</f>
        <v>55000</v>
      </c>
      <c r="AD274" s="542"/>
      <c r="AE274" s="542"/>
      <c r="AF274" s="542"/>
      <c r="AG274" s="542">
        <f>AG275+AG276</f>
        <v>159311.58199999999</v>
      </c>
      <c r="AH274" s="542">
        <f>AH275+AH276</f>
        <v>159311.58199999999</v>
      </c>
      <c r="AI274" s="542"/>
      <c r="AJ274" s="542"/>
      <c r="AK274" s="542"/>
      <c r="AL274" s="543">
        <f>AL275+AL276</f>
        <v>159311.58199999999</v>
      </c>
      <c r="AM274" s="542">
        <f>AM275+AM276</f>
        <v>159311.58199999999</v>
      </c>
      <c r="AN274" s="542"/>
      <c r="AO274" s="542"/>
      <c r="AP274" s="542"/>
      <c r="AQ274" s="384" t="s">
        <v>502</v>
      </c>
      <c r="AR274" s="542">
        <f>AR275+AR276</f>
        <v>97500</v>
      </c>
      <c r="AS274" s="542">
        <f>AS275+AS276</f>
        <v>97500</v>
      </c>
      <c r="AT274" s="474"/>
      <c r="AU274" s="474"/>
      <c r="AV274" s="474"/>
      <c r="AW274" s="542" t="e">
        <f>AW275+AW276</f>
        <v>#REF!</v>
      </c>
      <c r="AX274" s="542" t="e">
        <f>AX275+AX276</f>
        <v>#REF!</v>
      </c>
      <c r="AY274" s="474"/>
      <c r="AZ274" s="474"/>
      <c r="BA274" s="474"/>
      <c r="BB274" s="542">
        <f>BB275+BB276</f>
        <v>0</v>
      </c>
      <c r="BC274" s="542"/>
      <c r="BD274" s="474"/>
      <c r="BE274" s="474"/>
      <c r="BF274" s="474"/>
      <c r="BG274" s="542">
        <f>BG275+BG276</f>
        <v>0</v>
      </c>
      <c r="BH274" s="542">
        <f>BH275+BH276</f>
        <v>0</v>
      </c>
      <c r="BI274" s="474"/>
      <c r="BJ274" s="474"/>
      <c r="BK274" s="474"/>
      <c r="BL274" s="542">
        <f>BL275+BL276</f>
        <v>97500.000000000015</v>
      </c>
      <c r="BM274" s="542">
        <f>BM275+BM276</f>
        <v>97500.000000000015</v>
      </c>
      <c r="BN274" s="474"/>
      <c r="BO274" s="474"/>
      <c r="BP274" s="474"/>
      <c r="BQ274" s="542">
        <f>BQ275+BQ276</f>
        <v>97500.000000000015</v>
      </c>
      <c r="BR274" s="542">
        <f>BR275+BR276</f>
        <v>97500.000000000015</v>
      </c>
      <c r="BS274" s="474"/>
      <c r="BT274" s="474"/>
      <c r="BU274" s="474"/>
      <c r="BV274" s="476">
        <f>BV275+BV276</f>
        <v>2984.4511299999999</v>
      </c>
      <c r="BW274" s="544">
        <f>BW275+BW276</f>
        <v>2984.4511299999999</v>
      </c>
      <c r="BX274" s="544"/>
      <c r="BY274" s="544"/>
      <c r="BZ274" s="544"/>
      <c r="CA274" s="542">
        <f t="shared" si="1501"/>
        <v>100484.45113000002</v>
      </c>
      <c r="CB274" s="544">
        <f>CB275+CB276</f>
        <v>100484.45113000002</v>
      </c>
      <c r="CC274" s="544">
        <f t="shared" si="1518"/>
        <v>100484.45113000002</v>
      </c>
      <c r="CD274" s="544"/>
      <c r="CE274" s="544"/>
      <c r="CF274" s="544"/>
      <c r="CG274" s="543">
        <f>CG275+CG276</f>
        <v>0</v>
      </c>
      <c r="CH274" s="543">
        <f t="shared" si="1517"/>
        <v>0</v>
      </c>
      <c r="CI274" s="543"/>
      <c r="CJ274" s="543"/>
      <c r="CK274" s="543"/>
      <c r="CL274" s="551"/>
      <c r="CM274" s="552"/>
      <c r="CN274" s="552"/>
      <c r="CO274" s="542">
        <f>CO275+CO276</f>
        <v>0</v>
      </c>
      <c r="CP274" s="542">
        <f>CP275+CP276</f>
        <v>0</v>
      </c>
      <c r="CQ274" s="544"/>
      <c r="CR274" s="544"/>
      <c r="CS274" s="544"/>
      <c r="CT274" s="542">
        <f>CT275+CT276</f>
        <v>0</v>
      </c>
      <c r="CU274" s="542">
        <f>CU275+CU276</f>
        <v>0</v>
      </c>
      <c r="CV274" s="544"/>
      <c r="CW274" s="544"/>
      <c r="CX274" s="544"/>
      <c r="CY274" s="552"/>
      <c r="CZ274" s="552"/>
      <c r="DA274" s="552"/>
      <c r="DB274" s="552"/>
      <c r="DC274" s="552"/>
      <c r="DD274" s="552"/>
      <c r="DE274" s="552"/>
      <c r="DF274" s="552"/>
      <c r="DG274" s="554"/>
      <c r="DH274" s="551"/>
      <c r="DI274" s="551"/>
      <c r="DJ274" s="555"/>
      <c r="DK274" s="552"/>
      <c r="DL274" s="552"/>
      <c r="DM274" s="552"/>
      <c r="DN274" s="552"/>
      <c r="DO274" s="552"/>
      <c r="DP274" s="552"/>
      <c r="DQ274" s="552"/>
      <c r="DR274" s="544">
        <f t="shared" si="1519"/>
        <v>97500.000000000015</v>
      </c>
      <c r="DS274" s="542">
        <f>DS275+DS276</f>
        <v>97500.000000000015</v>
      </c>
      <c r="DT274" s="474"/>
      <c r="DU274" s="474"/>
      <c r="DV274" s="529"/>
      <c r="DW274" s="544">
        <f t="shared" si="1504"/>
        <v>2984.4511299999999</v>
      </c>
      <c r="DX274" s="544">
        <f>DX275+DX276</f>
        <v>2984.4511299999999</v>
      </c>
      <c r="DY274" s="529"/>
      <c r="DZ274" s="474"/>
      <c r="EA274" s="7"/>
      <c r="EB274" s="297">
        <f>EC274+ED274</f>
        <v>100484.45113</v>
      </c>
      <c r="EC274" s="297">
        <f>AS275+AS276</f>
        <v>97500</v>
      </c>
      <c r="ED274" s="298">
        <v>2984.4511299999999</v>
      </c>
      <c r="EE274" s="373">
        <f t="shared" ref="EE274" si="1528">EC274/EB274</f>
        <v>0.97029937371963226</v>
      </c>
      <c r="EF274" s="373">
        <f t="shared" ref="EF274" si="1529">ED274/EB274</f>
        <v>2.9700626280367681E-2</v>
      </c>
      <c r="EG274" s="297">
        <f>EH274+EI274</f>
        <v>100484.45113000002</v>
      </c>
      <c r="EH274" s="297">
        <f>DS274</f>
        <v>97500.000000000015</v>
      </c>
      <c r="EI274" s="298">
        <f>DX274</f>
        <v>2984.4511299999999</v>
      </c>
      <c r="EJ274" s="373">
        <f t="shared" ref="EJ274" si="1530">EH274/EG274</f>
        <v>0.97029937371963226</v>
      </c>
      <c r="EK274" s="373">
        <f t="shared" ref="EK274" si="1531">EI274/EG274</f>
        <v>2.9700626280367678E-2</v>
      </c>
      <c r="EL274" s="373"/>
      <c r="EM274" s="297">
        <f>EG274*EE274</f>
        <v>97500.000000000015</v>
      </c>
      <c r="EN274" s="297">
        <f>EH274-EM274</f>
        <v>0</v>
      </c>
      <c r="EO274" s="8"/>
      <c r="EP274" s="335"/>
      <c r="EQ274" s="335"/>
      <c r="ER274" s="334"/>
      <c r="ES274" s="332"/>
      <c r="ET274" s="332"/>
      <c r="EU274" s="335"/>
      <c r="EV274" s="335"/>
      <c r="EW274" s="334"/>
      <c r="EX274" s="332"/>
      <c r="EY274" s="332"/>
      <c r="EZ274" s="332"/>
      <c r="FA274" s="332"/>
      <c r="FB274" s="332"/>
      <c r="FC274" s="297"/>
      <c r="FD274" s="297"/>
      <c r="FE274" s="296"/>
      <c r="FF274" s="294"/>
      <c r="FG274" s="294"/>
      <c r="FH274" s="297"/>
      <c r="FI274" s="297"/>
      <c r="FJ274" s="296"/>
      <c r="FK274" s="294"/>
      <c r="FL274" s="294"/>
      <c r="FM274" s="294"/>
      <c r="FN274" s="294"/>
      <c r="FO274" s="294"/>
    </row>
    <row r="275" spans="2:171" s="40" customFormat="1" ht="16.5" customHeight="1" x14ac:dyDescent="0.25">
      <c r="B275" s="35"/>
      <c r="C275" s="36"/>
      <c r="D275" s="35"/>
      <c r="E275" s="42"/>
      <c r="F275" s="35"/>
      <c r="G275" s="36"/>
      <c r="H275" s="35"/>
      <c r="I275" s="35"/>
      <c r="J275" s="35"/>
      <c r="K275" s="35"/>
      <c r="L275" s="35"/>
      <c r="M275" s="400"/>
      <c r="N275" s="66" t="s">
        <v>289</v>
      </c>
      <c r="O275" s="66"/>
      <c r="P275" s="414">
        <f t="shared" si="1502"/>
        <v>0</v>
      </c>
      <c r="Q275" s="66"/>
      <c r="R275" s="66"/>
      <c r="S275" s="66" t="s">
        <v>490</v>
      </c>
      <c r="T275" s="66" t="s">
        <v>488</v>
      </c>
      <c r="U275" s="169"/>
      <c r="V275" s="169"/>
      <c r="W275" s="459">
        <f>X275+Y275+Z275+AA275</f>
        <v>97500</v>
      </c>
      <c r="X275" s="459">
        <f>100000-2500</f>
        <v>97500</v>
      </c>
      <c r="Y275" s="464"/>
      <c r="Z275" s="542"/>
      <c r="AA275" s="542"/>
      <c r="AB275" s="459">
        <f>AC275+AD275+AE275+AF275</f>
        <v>55000</v>
      </c>
      <c r="AC275" s="459">
        <v>55000</v>
      </c>
      <c r="AD275" s="464"/>
      <c r="AE275" s="542"/>
      <c r="AF275" s="542"/>
      <c r="AG275" s="459">
        <f>AH275+AI275+AJ275+AK275</f>
        <v>159311.58199999999</v>
      </c>
      <c r="AH275" s="459">
        <v>159311.58199999999</v>
      </c>
      <c r="AI275" s="464"/>
      <c r="AJ275" s="542"/>
      <c r="AK275" s="542"/>
      <c r="AL275" s="459">
        <f>AM275+AN275+AO275+AP275</f>
        <v>159311.58199999999</v>
      </c>
      <c r="AM275" s="459">
        <v>159311.58199999999</v>
      </c>
      <c r="AN275" s="464"/>
      <c r="AO275" s="542"/>
      <c r="AP275" s="542"/>
      <c r="AQ275" s="386"/>
      <c r="AR275" s="459">
        <f>AS275+AT275+AU275+AV275</f>
        <v>97500</v>
      </c>
      <c r="AS275" s="459">
        <f>100000-2500</f>
        <v>97500</v>
      </c>
      <c r="AT275" s="474"/>
      <c r="AU275" s="474"/>
      <c r="AV275" s="474"/>
      <c r="AW275" s="459" t="e">
        <f>AX275+AY275+AZ275+BA275</f>
        <v>#REF!</v>
      </c>
      <c r="AX275" s="459" t="e">
        <f>#REF!-AS275</f>
        <v>#REF!</v>
      </c>
      <c r="AY275" s="474"/>
      <c r="AZ275" s="474"/>
      <c r="BA275" s="474"/>
      <c r="BB275" s="459">
        <f>BC275+BD275+BE275+BF275</f>
        <v>0</v>
      </c>
      <c r="BC275" s="464"/>
      <c r="BD275" s="474"/>
      <c r="BE275" s="474"/>
      <c r="BF275" s="474"/>
      <c r="BG275" s="459">
        <f>BH275+BI275+BJ275+BK275</f>
        <v>0</v>
      </c>
      <c r="BH275" s="464"/>
      <c r="BI275" s="474"/>
      <c r="BJ275" s="474"/>
      <c r="BK275" s="474"/>
      <c r="BL275" s="459">
        <f>BM275+BN275+BO275+BP275</f>
        <v>97500.000000000015</v>
      </c>
      <c r="BM275" s="464">
        <f>7285.30578+6589.1732+6125.52102+1300.38478+6895.73849+1803.87673+3796.32092+14641.43571+3125.74451+37517.5605+3824.94745+3985.91964+608.07127</f>
        <v>97500.000000000015</v>
      </c>
      <c r="BN275" s="474"/>
      <c r="BO275" s="474"/>
      <c r="BP275" s="474"/>
      <c r="BQ275" s="459">
        <f>BR275+BS275+BT275+BU275</f>
        <v>97500.000000000015</v>
      </c>
      <c r="BR275" s="464">
        <f>7285.30578+6589.1732+7425.9058+6895.73849+5600.19765+14641.43571+3125.74451+37517.5605+3824.94745+3985.91964+608.07127</f>
        <v>97500.000000000015</v>
      </c>
      <c r="BS275" s="474"/>
      <c r="BT275" s="474"/>
      <c r="BU275" s="474"/>
      <c r="BV275" s="473">
        <f>BW275+BX275+BY275+BZ275</f>
        <v>2984.4511299999999</v>
      </c>
      <c r="BW275" s="460">
        <f>222.99658+201.6886+227.30022+211.07228+171.41695+448.16102+95.6762+1148.37838+117.07979+122.00707+18.67404</f>
        <v>2984.4511299999999</v>
      </c>
      <c r="BX275" s="460"/>
      <c r="BY275" s="474"/>
      <c r="BZ275" s="474"/>
      <c r="CA275" s="464">
        <f t="shared" si="1501"/>
        <v>100484.45113000002</v>
      </c>
      <c r="CB275" s="460">
        <f>CC275+CD275+CE275+CF275</f>
        <v>100484.45113000002</v>
      </c>
      <c r="CC275" s="460">
        <f>BR275+BW275</f>
        <v>100484.45113000002</v>
      </c>
      <c r="CD275" s="474"/>
      <c r="CE275" s="474"/>
      <c r="CF275" s="474"/>
      <c r="CG275" s="459">
        <f>CH275+CI275+CJ275+CK275</f>
        <v>0</v>
      </c>
      <c r="CH275" s="459">
        <f t="shared" si="1517"/>
        <v>0</v>
      </c>
      <c r="CI275" s="459"/>
      <c r="CJ275" s="459"/>
      <c r="CK275" s="459"/>
      <c r="CL275" s="465"/>
      <c r="CM275" s="467"/>
      <c r="CN275" s="467"/>
      <c r="CO275" s="459">
        <f>CP275+CQ275+CR275+CS275</f>
        <v>0</v>
      </c>
      <c r="CP275" s="464"/>
      <c r="CQ275" s="474"/>
      <c r="CR275" s="474"/>
      <c r="CS275" s="474"/>
      <c r="CT275" s="459">
        <f>CU275+CV275+CW275+CX275</f>
        <v>0</v>
      </c>
      <c r="CU275" s="464"/>
      <c r="CV275" s="474"/>
      <c r="CW275" s="474"/>
      <c r="CX275" s="474"/>
      <c r="CY275" s="467"/>
      <c r="CZ275" s="467"/>
      <c r="DA275" s="467"/>
      <c r="DB275" s="467"/>
      <c r="DC275" s="467"/>
      <c r="DD275" s="467"/>
      <c r="DE275" s="467"/>
      <c r="DF275" s="467"/>
      <c r="DG275" s="548"/>
      <c r="DH275" s="465"/>
      <c r="DI275" s="465"/>
      <c r="DJ275" s="549"/>
      <c r="DK275" s="467"/>
      <c r="DL275" s="467"/>
      <c r="DM275" s="467"/>
      <c r="DN275" s="467"/>
      <c r="DO275" s="467"/>
      <c r="DP275" s="467"/>
      <c r="DQ275" s="467"/>
      <c r="DR275" s="460">
        <f t="shared" si="1519"/>
        <v>97500.000000000015</v>
      </c>
      <c r="DS275" s="464">
        <f>7285.30578+6589.1732+6125.52102+1300.38478+6895.73849+1803.87673+3796.32092+14641.43571+3125.74451+37517.5605+3824.94745+3985.91964+608.07127</f>
        <v>97500.000000000015</v>
      </c>
      <c r="DT275" s="460"/>
      <c r="DU275" s="460"/>
      <c r="DV275" s="498"/>
      <c r="DW275" s="460">
        <f t="shared" si="1504"/>
        <v>2984.4511299999999</v>
      </c>
      <c r="DX275" s="460">
        <f>222.99658+201.6886+227.30022+211.07228+171.41695+448.16102+95.6762+1148.37838+117.07979+122.00707+18.67404</f>
        <v>2984.4511299999999</v>
      </c>
      <c r="DY275" s="529"/>
      <c r="DZ275" s="474"/>
      <c r="EA275" s="7"/>
      <c r="EB275" s="286"/>
      <c r="EC275" s="286"/>
      <c r="ED275" s="296"/>
      <c r="EE275" s="294"/>
      <c r="EF275" s="294"/>
      <c r="EG275" s="286"/>
      <c r="EH275" s="286"/>
      <c r="EI275" s="296"/>
      <c r="EJ275" s="294"/>
      <c r="EK275" s="294"/>
      <c r="EL275" s="294"/>
      <c r="EM275" s="294"/>
      <c r="EN275" s="294"/>
      <c r="EO275" s="8"/>
      <c r="EP275" s="328"/>
      <c r="EQ275" s="328"/>
      <c r="ER275" s="334"/>
      <c r="ES275" s="332"/>
      <c r="ET275" s="332"/>
      <c r="EU275" s="328"/>
      <c r="EV275" s="328"/>
      <c r="EW275" s="334"/>
      <c r="EX275" s="332"/>
      <c r="EY275" s="332"/>
      <c r="EZ275" s="332"/>
      <c r="FA275" s="332"/>
      <c r="FB275" s="332"/>
      <c r="FC275" s="286"/>
      <c r="FD275" s="286"/>
      <c r="FE275" s="296"/>
      <c r="FF275" s="294"/>
      <c r="FG275" s="294"/>
      <c r="FH275" s="286"/>
      <c r="FI275" s="286"/>
      <c r="FJ275" s="296"/>
      <c r="FK275" s="294"/>
      <c r="FL275" s="294"/>
      <c r="FM275" s="294"/>
      <c r="FN275" s="294"/>
      <c r="FO275" s="294"/>
    </row>
    <row r="276" spans="2:171" s="40" customFormat="1" ht="16.5" hidden="1" customHeight="1" x14ac:dyDescent="0.25">
      <c r="B276" s="35"/>
      <c r="C276" s="36"/>
      <c r="D276" s="35"/>
      <c r="E276" s="42"/>
      <c r="F276" s="35"/>
      <c r="G276" s="36"/>
      <c r="H276" s="35"/>
      <c r="I276" s="35"/>
      <c r="J276" s="35"/>
      <c r="K276" s="35"/>
      <c r="L276" s="35"/>
      <c r="M276" s="400"/>
      <c r="N276" s="66" t="s">
        <v>288</v>
      </c>
      <c r="O276" s="66"/>
      <c r="P276" s="414">
        <f t="shared" si="1502"/>
        <v>0</v>
      </c>
      <c r="Q276" s="66"/>
      <c r="R276" s="66"/>
      <c r="S276" s="66"/>
      <c r="T276" s="66"/>
      <c r="U276" s="169"/>
      <c r="V276" s="169"/>
      <c r="W276" s="459">
        <f>X276+Y276+Z276+AA276</f>
        <v>0</v>
      </c>
      <c r="X276" s="464"/>
      <c r="Y276" s="464"/>
      <c r="Z276" s="542"/>
      <c r="AA276" s="542"/>
      <c r="AB276" s="459">
        <f>AC276+AD276+AE276+AF276</f>
        <v>0</v>
      </c>
      <c r="AC276" s="464"/>
      <c r="AD276" s="464"/>
      <c r="AE276" s="542"/>
      <c r="AF276" s="542"/>
      <c r="AG276" s="459">
        <f>AH276+AI276+AJ276+AK276</f>
        <v>0</v>
      </c>
      <c r="AH276" s="464"/>
      <c r="AI276" s="464"/>
      <c r="AJ276" s="542"/>
      <c r="AK276" s="542"/>
      <c r="AL276" s="459">
        <f>AM276+AN276+AO276+AP276</f>
        <v>0</v>
      </c>
      <c r="AM276" s="464"/>
      <c r="AN276" s="464"/>
      <c r="AO276" s="542"/>
      <c r="AP276" s="542"/>
      <c r="AQ276" s="386"/>
      <c r="AR276" s="459">
        <f>AS276+AT276+AU276+AV276</f>
        <v>0</v>
      </c>
      <c r="AS276" s="464">
        <v>0</v>
      </c>
      <c r="AT276" s="474"/>
      <c r="AU276" s="474"/>
      <c r="AV276" s="474"/>
      <c r="AW276" s="459" t="e">
        <f>AX276+AY276+AZ276+BA276</f>
        <v>#REF!</v>
      </c>
      <c r="AX276" s="459" t="e">
        <f>#REF!-AS276</f>
        <v>#REF!</v>
      </c>
      <c r="AY276" s="474"/>
      <c r="AZ276" s="474"/>
      <c r="BA276" s="474"/>
      <c r="BB276" s="459">
        <f>BC276+BD276+BE276+BF276</f>
        <v>0</v>
      </c>
      <c r="BC276" s="464"/>
      <c r="BD276" s="474"/>
      <c r="BE276" s="474"/>
      <c r="BF276" s="474"/>
      <c r="BG276" s="459">
        <f>BH276+BI276+BJ276+BK276</f>
        <v>0</v>
      </c>
      <c r="BH276" s="464"/>
      <c r="BI276" s="474"/>
      <c r="BJ276" s="474"/>
      <c r="BK276" s="474"/>
      <c r="BL276" s="459">
        <f>BM276+BN276+BO276+BP276</f>
        <v>0</v>
      </c>
      <c r="BM276" s="464">
        <v>0</v>
      </c>
      <c r="BN276" s="474"/>
      <c r="BO276" s="474"/>
      <c r="BP276" s="474"/>
      <c r="BQ276" s="459">
        <f>BR276+BS276+BT276+BU276</f>
        <v>0</v>
      </c>
      <c r="BR276" s="464"/>
      <c r="BS276" s="474"/>
      <c r="BT276" s="474"/>
      <c r="BU276" s="474"/>
      <c r="BV276" s="473">
        <f>BW276+BX276+BY276+BZ276</f>
        <v>0</v>
      </c>
      <c r="BW276" s="460">
        <v>0</v>
      </c>
      <c r="BX276" s="474"/>
      <c r="BY276" s="474"/>
      <c r="BZ276" s="474"/>
      <c r="CA276" s="464">
        <f t="shared" si="1501"/>
        <v>0</v>
      </c>
      <c r="CB276" s="460">
        <f>CC276+CD276+CE276+CF276</f>
        <v>0</v>
      </c>
      <c r="CC276" s="460">
        <f>BR276+BW276</f>
        <v>0</v>
      </c>
      <c r="CD276" s="474"/>
      <c r="CE276" s="474"/>
      <c r="CF276" s="474"/>
      <c r="CG276" s="459">
        <f>CH276+CI276+CJ276+CK276</f>
        <v>0</v>
      </c>
      <c r="CH276" s="459">
        <f t="shared" si="1517"/>
        <v>0</v>
      </c>
      <c r="CI276" s="459"/>
      <c r="CJ276" s="459"/>
      <c r="CK276" s="459"/>
      <c r="CL276" s="465"/>
      <c r="CM276" s="467"/>
      <c r="CN276" s="467"/>
      <c r="CO276" s="459">
        <f>CP276+CQ276+CR276+CS276</f>
        <v>0</v>
      </c>
      <c r="CP276" s="464"/>
      <c r="CQ276" s="474"/>
      <c r="CR276" s="474"/>
      <c r="CS276" s="474"/>
      <c r="CT276" s="459">
        <f>CU276+CV276+CW276+CX276</f>
        <v>0</v>
      </c>
      <c r="CU276" s="464"/>
      <c r="CV276" s="474"/>
      <c r="CW276" s="474"/>
      <c r="CX276" s="474"/>
      <c r="CY276" s="467"/>
      <c r="CZ276" s="467"/>
      <c r="DA276" s="467"/>
      <c r="DB276" s="467"/>
      <c r="DC276" s="467"/>
      <c r="DD276" s="467"/>
      <c r="DE276" s="467"/>
      <c r="DF276" s="467"/>
      <c r="DG276" s="548"/>
      <c r="DH276" s="465"/>
      <c r="DI276" s="465"/>
      <c r="DJ276" s="549"/>
      <c r="DK276" s="467"/>
      <c r="DL276" s="467"/>
      <c r="DM276" s="467"/>
      <c r="DN276" s="467"/>
      <c r="DO276" s="467"/>
      <c r="DP276" s="467"/>
      <c r="DQ276" s="467"/>
      <c r="DR276" s="460">
        <f t="shared" si="1519"/>
        <v>0</v>
      </c>
      <c r="DS276" s="464"/>
      <c r="DT276" s="460"/>
      <c r="DU276" s="460"/>
      <c r="DV276" s="498"/>
      <c r="DW276" s="460">
        <f t="shared" si="1504"/>
        <v>0</v>
      </c>
      <c r="DX276" s="460"/>
      <c r="DY276" s="529"/>
      <c r="DZ276" s="474"/>
      <c r="EA276" s="7"/>
      <c r="EB276" s="286"/>
      <c r="EC276" s="286"/>
      <c r="ED276" s="296"/>
      <c r="EE276" s="294"/>
      <c r="EF276" s="294"/>
      <c r="EG276" s="286"/>
      <c r="EH276" s="286"/>
      <c r="EI276" s="296"/>
      <c r="EJ276" s="294"/>
      <c r="EK276" s="294"/>
      <c r="EL276" s="294"/>
      <c r="EM276" s="294"/>
      <c r="EN276" s="294"/>
      <c r="EO276" s="8"/>
      <c r="EP276" s="328"/>
      <c r="EQ276" s="328"/>
      <c r="ER276" s="334"/>
      <c r="ES276" s="332"/>
      <c r="ET276" s="332"/>
      <c r="EU276" s="328"/>
      <c r="EV276" s="328"/>
      <c r="EW276" s="334"/>
      <c r="EX276" s="332"/>
      <c r="EY276" s="332"/>
      <c r="EZ276" s="332"/>
      <c r="FA276" s="332"/>
      <c r="FB276" s="332"/>
      <c r="FC276" s="286"/>
      <c r="FD276" s="286"/>
      <c r="FE276" s="296"/>
      <c r="FF276" s="294"/>
      <c r="FG276" s="294"/>
      <c r="FH276" s="286"/>
      <c r="FI276" s="286"/>
      <c r="FJ276" s="296"/>
      <c r="FK276" s="294"/>
      <c r="FL276" s="294"/>
      <c r="FM276" s="294"/>
      <c r="FN276" s="294"/>
      <c r="FO276" s="294"/>
    </row>
    <row r="277" spans="2:171" s="40" customFormat="1" ht="49.15" hidden="1" customHeight="1" x14ac:dyDescent="0.25">
      <c r="B277" s="35"/>
      <c r="C277" s="36"/>
      <c r="D277" s="35"/>
      <c r="E277" s="42"/>
      <c r="F277" s="35"/>
      <c r="G277" s="36"/>
      <c r="H277" s="35"/>
      <c r="I277" s="35"/>
      <c r="J277" s="35"/>
      <c r="K277" s="35"/>
      <c r="L277" s="35"/>
      <c r="M277" s="446">
        <v>4</v>
      </c>
      <c r="N277" s="208" t="s">
        <v>328</v>
      </c>
      <c r="O277" s="208"/>
      <c r="P277" s="417">
        <f t="shared" si="1502"/>
        <v>0</v>
      </c>
      <c r="Q277" s="208"/>
      <c r="R277" s="208"/>
      <c r="S277" s="208"/>
      <c r="T277" s="208"/>
      <c r="U277" s="434">
        <v>1</v>
      </c>
      <c r="V277" s="434"/>
      <c r="W277" s="542">
        <f>W278+W279</f>
        <v>0</v>
      </c>
      <c r="X277" s="542">
        <f>X278+X279</f>
        <v>0</v>
      </c>
      <c r="Y277" s="542"/>
      <c r="Z277" s="542"/>
      <c r="AA277" s="542"/>
      <c r="AB277" s="542">
        <f>AB278+AB279</f>
        <v>15700</v>
      </c>
      <c r="AC277" s="542">
        <f>AC278+AC279</f>
        <v>15700</v>
      </c>
      <c r="AD277" s="542"/>
      <c r="AE277" s="542"/>
      <c r="AF277" s="542"/>
      <c r="AG277" s="542">
        <f>AG278+AG279</f>
        <v>0</v>
      </c>
      <c r="AH277" s="542">
        <f>AH278+AH279</f>
        <v>0</v>
      </c>
      <c r="AI277" s="542"/>
      <c r="AJ277" s="542"/>
      <c r="AK277" s="542"/>
      <c r="AL277" s="543">
        <f>AL278+AL279</f>
        <v>0</v>
      </c>
      <c r="AM277" s="542">
        <f>AM278+AM279</f>
        <v>0</v>
      </c>
      <c r="AN277" s="542"/>
      <c r="AO277" s="542"/>
      <c r="AP277" s="542"/>
      <c r="AQ277" s="384"/>
      <c r="AR277" s="542">
        <f>AR278+AR279</f>
        <v>0</v>
      </c>
      <c r="AS277" s="542">
        <f>AS278+AS279</f>
        <v>0</v>
      </c>
      <c r="AT277" s="474"/>
      <c r="AU277" s="474"/>
      <c r="AV277" s="474"/>
      <c r="AW277" s="542" t="e">
        <f>AW278+AW279</f>
        <v>#REF!</v>
      </c>
      <c r="AX277" s="542" t="e">
        <f>AX278+AX279</f>
        <v>#REF!</v>
      </c>
      <c r="AY277" s="474"/>
      <c r="AZ277" s="474"/>
      <c r="BA277" s="474"/>
      <c r="BB277" s="542">
        <f>BB278+BB279</f>
        <v>2844.5320000000002</v>
      </c>
      <c r="BC277" s="542"/>
      <c r="BD277" s="474"/>
      <c r="BE277" s="474"/>
      <c r="BF277" s="474"/>
      <c r="BG277" s="542">
        <f>BG278+BG279</f>
        <v>0</v>
      </c>
      <c r="BH277" s="542">
        <f>BH278+BH279</f>
        <v>0</v>
      </c>
      <c r="BI277" s="474"/>
      <c r="BJ277" s="474"/>
      <c r="BK277" s="474"/>
      <c r="BL277" s="542">
        <f>BL278+BL279</f>
        <v>0</v>
      </c>
      <c r="BM277" s="542">
        <f>BM278+BM279</f>
        <v>0</v>
      </c>
      <c r="BN277" s="474"/>
      <c r="BO277" s="474"/>
      <c r="BP277" s="474"/>
      <c r="BQ277" s="542">
        <f>BQ278+BQ279</f>
        <v>0</v>
      </c>
      <c r="BR277" s="542">
        <f>BR278+BR279</f>
        <v>0</v>
      </c>
      <c r="BS277" s="474"/>
      <c r="BT277" s="474"/>
      <c r="BU277" s="474"/>
      <c r="BV277" s="476">
        <f>BV278+BV279</f>
        <v>0</v>
      </c>
      <c r="BW277" s="544">
        <f>BW278+BW279</f>
        <v>0</v>
      </c>
      <c r="BX277" s="544"/>
      <c r="BY277" s="544"/>
      <c r="BZ277" s="544"/>
      <c r="CA277" s="542">
        <f t="shared" si="1501"/>
        <v>0</v>
      </c>
      <c r="CB277" s="544">
        <f>CB278+CB279</f>
        <v>0</v>
      </c>
      <c r="CC277" s="544">
        <f>CC278+CC279</f>
        <v>0</v>
      </c>
      <c r="CD277" s="544"/>
      <c r="CE277" s="544"/>
      <c r="CF277" s="544"/>
      <c r="CG277" s="543">
        <f>CG278+CG279</f>
        <v>0</v>
      </c>
      <c r="CH277" s="543">
        <f t="shared" si="1517"/>
        <v>0</v>
      </c>
      <c r="CI277" s="543"/>
      <c r="CJ277" s="543"/>
      <c r="CK277" s="543"/>
      <c r="CL277" s="551"/>
      <c r="CM277" s="552"/>
      <c r="CN277" s="552"/>
      <c r="CO277" s="542">
        <f>CO278+CO279</f>
        <v>0</v>
      </c>
      <c r="CP277" s="542">
        <f>CP278+CP279</f>
        <v>0</v>
      </c>
      <c r="CQ277" s="544"/>
      <c r="CR277" s="544"/>
      <c r="CS277" s="544"/>
      <c r="CT277" s="542">
        <f>CT278+CT279</f>
        <v>0</v>
      </c>
      <c r="CU277" s="542">
        <f>CU278+CU279</f>
        <v>0</v>
      </c>
      <c r="CV277" s="544"/>
      <c r="CW277" s="544"/>
      <c r="CX277" s="544"/>
      <c r="CY277" s="552"/>
      <c r="CZ277" s="552"/>
      <c r="DA277" s="552"/>
      <c r="DB277" s="552"/>
      <c r="DC277" s="552"/>
      <c r="DD277" s="552"/>
      <c r="DE277" s="552"/>
      <c r="DF277" s="552"/>
      <c r="DG277" s="554"/>
      <c r="DH277" s="551"/>
      <c r="DI277" s="551"/>
      <c r="DJ277" s="555"/>
      <c r="DK277" s="552"/>
      <c r="DL277" s="552"/>
      <c r="DM277" s="552"/>
      <c r="DN277" s="552"/>
      <c r="DO277" s="552"/>
      <c r="DP277" s="552"/>
      <c r="DQ277" s="552"/>
      <c r="DR277" s="544">
        <f t="shared" si="1519"/>
        <v>0</v>
      </c>
      <c r="DS277" s="542">
        <f>DS278+DS279</f>
        <v>0</v>
      </c>
      <c r="DT277" s="544"/>
      <c r="DU277" s="544"/>
      <c r="DV277" s="556"/>
      <c r="DW277" s="544">
        <f t="shared" si="1504"/>
        <v>0</v>
      </c>
      <c r="DX277" s="544">
        <f>DX278+DX279</f>
        <v>0</v>
      </c>
      <c r="DY277" s="556"/>
      <c r="DZ277" s="544"/>
      <c r="EA277" s="7"/>
      <c r="EB277" s="297">
        <f>EC277+ED277</f>
        <v>0</v>
      </c>
      <c r="EC277" s="297">
        <f>AS278+AS279</f>
        <v>0</v>
      </c>
      <c r="ED277" s="298">
        <v>0</v>
      </c>
      <c r="EE277" s="373" t="e">
        <f t="shared" ref="EE277" si="1532">EC277/EB277</f>
        <v>#DIV/0!</v>
      </c>
      <c r="EF277" s="373" t="e">
        <f t="shared" ref="EF277" si="1533">ED277/EB277</f>
        <v>#DIV/0!</v>
      </c>
      <c r="EG277" s="297">
        <f>EH277+EI277</f>
        <v>0</v>
      </c>
      <c r="EH277" s="297">
        <f>DS277</f>
        <v>0</v>
      </c>
      <c r="EI277" s="298">
        <f>DX277</f>
        <v>0</v>
      </c>
      <c r="EJ277" s="373" t="e">
        <f t="shared" ref="EJ277" si="1534">EH277/EG277</f>
        <v>#DIV/0!</v>
      </c>
      <c r="EK277" s="373" t="e">
        <f t="shared" ref="EK277" si="1535">EI277/EG277</f>
        <v>#DIV/0!</v>
      </c>
      <c r="EL277" s="373"/>
      <c r="EM277" s="297" t="e">
        <f>EG277*EE277</f>
        <v>#DIV/0!</v>
      </c>
      <c r="EN277" s="297" t="e">
        <f>EH277-EM277</f>
        <v>#DIV/0!</v>
      </c>
      <c r="EO277" s="249"/>
      <c r="EP277" s="335"/>
      <c r="EQ277" s="335"/>
      <c r="ER277" s="336"/>
      <c r="ES277" s="335"/>
      <c r="ET277" s="335"/>
      <c r="EU277" s="335"/>
      <c r="EV277" s="335"/>
      <c r="EW277" s="336"/>
      <c r="EX277" s="335"/>
      <c r="EY277" s="335"/>
      <c r="EZ277" s="335"/>
      <c r="FA277" s="335"/>
      <c r="FB277" s="335"/>
      <c r="FC277" s="297"/>
      <c r="FD277" s="297"/>
      <c r="FE277" s="298"/>
      <c r="FF277" s="297"/>
      <c r="FG277" s="297"/>
      <c r="FH277" s="297"/>
      <c r="FI277" s="297"/>
      <c r="FJ277" s="298"/>
      <c r="FK277" s="297"/>
      <c r="FL277" s="297"/>
      <c r="FM277" s="297"/>
      <c r="FN277" s="297"/>
      <c r="FO277" s="297"/>
    </row>
    <row r="278" spans="2:171" s="40" customFormat="1" ht="16.5" hidden="1" customHeight="1" x14ac:dyDescent="0.25">
      <c r="B278" s="35"/>
      <c r="C278" s="36"/>
      <c r="D278" s="35"/>
      <c r="E278" s="42"/>
      <c r="F278" s="35"/>
      <c r="G278" s="36"/>
      <c r="H278" s="35"/>
      <c r="I278" s="35"/>
      <c r="J278" s="35"/>
      <c r="K278" s="35"/>
      <c r="L278" s="35"/>
      <c r="M278" s="400"/>
      <c r="N278" s="66" t="s">
        <v>289</v>
      </c>
      <c r="O278" s="66"/>
      <c r="P278" s="414">
        <f t="shared" si="1502"/>
        <v>0</v>
      </c>
      <c r="Q278" s="66"/>
      <c r="R278" s="66"/>
      <c r="S278" s="66"/>
      <c r="T278" s="66"/>
      <c r="U278" s="169"/>
      <c r="V278" s="169"/>
      <c r="W278" s="459">
        <f>X278+Y278+Z278+AA278</f>
        <v>0</v>
      </c>
      <c r="X278" s="464">
        <v>0</v>
      </c>
      <c r="Y278" s="464"/>
      <c r="Z278" s="542"/>
      <c r="AA278" s="542"/>
      <c r="AB278" s="459">
        <f>AC278+AD278+AE278+AF278</f>
        <v>15700</v>
      </c>
      <c r="AC278" s="464">
        <v>15700</v>
      </c>
      <c r="AD278" s="464"/>
      <c r="AE278" s="542"/>
      <c r="AF278" s="542"/>
      <c r="AG278" s="459">
        <f>AH278+AI278+AJ278+AK278</f>
        <v>0</v>
      </c>
      <c r="AH278" s="464"/>
      <c r="AI278" s="464"/>
      <c r="AJ278" s="542"/>
      <c r="AK278" s="542"/>
      <c r="AL278" s="459">
        <f>AM278+AN278+AO278+AP278</f>
        <v>0</v>
      </c>
      <c r="AM278" s="464"/>
      <c r="AN278" s="464"/>
      <c r="AO278" s="542"/>
      <c r="AP278" s="542"/>
      <c r="AQ278" s="386"/>
      <c r="AR278" s="459">
        <f>AS278+AT278+AU278+AV278</f>
        <v>0</v>
      </c>
      <c r="AS278" s="464">
        <v>0</v>
      </c>
      <c r="AT278" s="474"/>
      <c r="AU278" s="474"/>
      <c r="AV278" s="474"/>
      <c r="AW278" s="459" t="e">
        <f>AX278+AY278+AZ278+BA278</f>
        <v>#REF!</v>
      </c>
      <c r="AX278" s="459" t="e">
        <f>#REF!-AS278</f>
        <v>#REF!</v>
      </c>
      <c r="AY278" s="474"/>
      <c r="AZ278" s="474"/>
      <c r="BA278" s="474"/>
      <c r="BB278" s="459">
        <f>BC278+BD278+BE278+BF278</f>
        <v>2844.5320000000002</v>
      </c>
      <c r="BC278" s="464">
        <v>2844.5320000000002</v>
      </c>
      <c r="BD278" s="474"/>
      <c r="BE278" s="474"/>
      <c r="BF278" s="474"/>
      <c r="BG278" s="459">
        <f>BH278+BI278+BJ278+BK278</f>
        <v>0</v>
      </c>
      <c r="BH278" s="464"/>
      <c r="BI278" s="474"/>
      <c r="BJ278" s="474"/>
      <c r="BK278" s="474"/>
      <c r="BL278" s="459">
        <f>BM278+BN278+BO278+BP278</f>
        <v>0</v>
      </c>
      <c r="BM278" s="464">
        <v>0</v>
      </c>
      <c r="BN278" s="474"/>
      <c r="BO278" s="474"/>
      <c r="BP278" s="474"/>
      <c r="BQ278" s="459">
        <f>BR278+BS278+BT278+BU278</f>
        <v>0</v>
      </c>
      <c r="BR278" s="464"/>
      <c r="BS278" s="474"/>
      <c r="BT278" s="474"/>
      <c r="BU278" s="474"/>
      <c r="BV278" s="473">
        <f>BW278+BX278+BY278+BZ278</f>
        <v>0</v>
      </c>
      <c r="BW278" s="460"/>
      <c r="BX278" s="474"/>
      <c r="BY278" s="474"/>
      <c r="BZ278" s="474"/>
      <c r="CA278" s="464">
        <f t="shared" si="1501"/>
        <v>0</v>
      </c>
      <c r="CB278" s="460">
        <f>CC278</f>
        <v>0</v>
      </c>
      <c r="CC278" s="460">
        <f>BR278+BW278</f>
        <v>0</v>
      </c>
      <c r="CD278" s="474"/>
      <c r="CE278" s="474"/>
      <c r="CF278" s="474"/>
      <c r="CG278" s="459">
        <f>CH278+CI278+CJ278+CK278</f>
        <v>0</v>
      </c>
      <c r="CH278" s="459">
        <f t="shared" si="1517"/>
        <v>0</v>
      </c>
      <c r="CI278" s="459"/>
      <c r="CJ278" s="459"/>
      <c r="CK278" s="459"/>
      <c r="CL278" s="465"/>
      <c r="CM278" s="467"/>
      <c r="CN278" s="467"/>
      <c r="CO278" s="459">
        <f>CP278+CQ278+CR278+CS278</f>
        <v>0</v>
      </c>
      <c r="CP278" s="464"/>
      <c r="CQ278" s="474"/>
      <c r="CR278" s="474"/>
      <c r="CS278" s="474"/>
      <c r="CT278" s="459">
        <f>CU278+CV278+CW278+CX278</f>
        <v>0</v>
      </c>
      <c r="CU278" s="464"/>
      <c r="CV278" s="474"/>
      <c r="CW278" s="474"/>
      <c r="CX278" s="474"/>
      <c r="CY278" s="467"/>
      <c r="CZ278" s="467"/>
      <c r="DA278" s="467"/>
      <c r="DB278" s="467"/>
      <c r="DC278" s="467"/>
      <c r="DD278" s="467"/>
      <c r="DE278" s="467"/>
      <c r="DF278" s="467"/>
      <c r="DG278" s="548"/>
      <c r="DH278" s="465"/>
      <c r="DI278" s="465"/>
      <c r="DJ278" s="549"/>
      <c r="DK278" s="467"/>
      <c r="DL278" s="467"/>
      <c r="DM278" s="467"/>
      <c r="DN278" s="467"/>
      <c r="DO278" s="467"/>
      <c r="DP278" s="467"/>
      <c r="DQ278" s="467"/>
      <c r="DR278" s="460">
        <f t="shared" si="1519"/>
        <v>0</v>
      </c>
      <c r="DS278" s="464"/>
      <c r="DT278" s="460"/>
      <c r="DU278" s="460"/>
      <c r="DV278" s="498"/>
      <c r="DW278" s="460">
        <f t="shared" si="1504"/>
        <v>0</v>
      </c>
      <c r="DX278" s="460"/>
      <c r="DY278" s="529"/>
      <c r="DZ278" s="474"/>
      <c r="EA278" s="7"/>
      <c r="EB278" s="286"/>
      <c r="EC278" s="286"/>
      <c r="ED278" s="296"/>
      <c r="EE278" s="294"/>
      <c r="EF278" s="294"/>
      <c r="EG278" s="286"/>
      <c r="EH278" s="286"/>
      <c r="EI278" s="296"/>
      <c r="EJ278" s="294"/>
      <c r="EK278" s="294"/>
      <c r="EL278" s="294"/>
      <c r="EM278" s="294"/>
      <c r="EN278" s="294"/>
      <c r="EO278" s="8"/>
      <c r="EP278" s="328"/>
      <c r="EQ278" s="328"/>
      <c r="ER278" s="334"/>
      <c r="ES278" s="332"/>
      <c r="ET278" s="332"/>
      <c r="EU278" s="328"/>
      <c r="EV278" s="328"/>
      <c r="EW278" s="334"/>
      <c r="EX278" s="332"/>
      <c r="EY278" s="332"/>
      <c r="EZ278" s="332"/>
      <c r="FA278" s="332"/>
      <c r="FB278" s="332"/>
      <c r="FC278" s="286"/>
      <c r="FD278" s="286"/>
      <c r="FE278" s="296"/>
      <c r="FF278" s="294"/>
      <c r="FG278" s="294"/>
      <c r="FH278" s="286"/>
      <c r="FI278" s="286"/>
      <c r="FJ278" s="296"/>
      <c r="FK278" s="294"/>
      <c r="FL278" s="294"/>
      <c r="FM278" s="294"/>
      <c r="FN278" s="294"/>
      <c r="FO278" s="294"/>
    </row>
    <row r="279" spans="2:171" s="40" customFormat="1" ht="16.5" hidden="1" customHeight="1" x14ac:dyDescent="0.25">
      <c r="B279" s="35"/>
      <c r="C279" s="36"/>
      <c r="D279" s="35"/>
      <c r="E279" s="42"/>
      <c r="F279" s="35"/>
      <c r="G279" s="36"/>
      <c r="H279" s="35"/>
      <c r="I279" s="35"/>
      <c r="J279" s="35"/>
      <c r="K279" s="35"/>
      <c r="L279" s="35"/>
      <c r="M279" s="400"/>
      <c r="N279" s="66" t="s">
        <v>288</v>
      </c>
      <c r="O279" s="66"/>
      <c r="P279" s="414">
        <f t="shared" si="1502"/>
        <v>0</v>
      </c>
      <c r="Q279" s="66"/>
      <c r="R279" s="66"/>
      <c r="S279" s="66"/>
      <c r="T279" s="66"/>
      <c r="U279" s="169"/>
      <c r="V279" s="169"/>
      <c r="W279" s="459">
        <f>X279+Y279+Z279+AA279</f>
        <v>0</v>
      </c>
      <c r="X279" s="464">
        <v>0</v>
      </c>
      <c r="Y279" s="464"/>
      <c r="Z279" s="542"/>
      <c r="AA279" s="542"/>
      <c r="AB279" s="459">
        <f>AC279+AD279+AE279+AF279</f>
        <v>0</v>
      </c>
      <c r="AC279" s="464"/>
      <c r="AD279" s="464"/>
      <c r="AE279" s="542"/>
      <c r="AF279" s="542"/>
      <c r="AG279" s="459">
        <f>AH279+AI279+AJ279+AK279</f>
        <v>0</v>
      </c>
      <c r="AH279" s="464"/>
      <c r="AI279" s="464"/>
      <c r="AJ279" s="542"/>
      <c r="AK279" s="542"/>
      <c r="AL279" s="459">
        <f>AM279+AN279+AO279+AP279</f>
        <v>0</v>
      </c>
      <c r="AM279" s="464"/>
      <c r="AN279" s="464"/>
      <c r="AO279" s="542"/>
      <c r="AP279" s="542"/>
      <c r="AQ279" s="386"/>
      <c r="AR279" s="459">
        <f>AS279+AT279+AU279+AV279</f>
        <v>0</v>
      </c>
      <c r="AS279" s="464">
        <v>0</v>
      </c>
      <c r="AT279" s="474"/>
      <c r="AU279" s="474"/>
      <c r="AV279" s="474"/>
      <c r="AW279" s="459" t="e">
        <f>AX279+AY279+AZ279+BA279</f>
        <v>#REF!</v>
      </c>
      <c r="AX279" s="459" t="e">
        <f>#REF!-AS279</f>
        <v>#REF!</v>
      </c>
      <c r="AY279" s="474"/>
      <c r="AZ279" s="474"/>
      <c r="BA279" s="474"/>
      <c r="BB279" s="459">
        <f>BC279+BD279+BE279+BF279</f>
        <v>0</v>
      </c>
      <c r="BC279" s="464"/>
      <c r="BD279" s="474"/>
      <c r="BE279" s="474"/>
      <c r="BF279" s="474"/>
      <c r="BG279" s="459">
        <f>BH279+BI279+BJ279+BK279</f>
        <v>0</v>
      </c>
      <c r="BH279" s="464"/>
      <c r="BI279" s="474"/>
      <c r="BJ279" s="474"/>
      <c r="BK279" s="474"/>
      <c r="BL279" s="459">
        <f>BM279+BN279+BO279+BP279</f>
        <v>0</v>
      </c>
      <c r="BM279" s="464">
        <v>0</v>
      </c>
      <c r="BN279" s="474"/>
      <c r="BO279" s="474"/>
      <c r="BP279" s="474"/>
      <c r="BQ279" s="459">
        <f>BR279+BS279+BT279+BU279</f>
        <v>0</v>
      </c>
      <c r="BR279" s="464"/>
      <c r="BS279" s="474"/>
      <c r="BT279" s="474"/>
      <c r="BU279" s="474"/>
      <c r="BV279" s="473"/>
      <c r="BW279" s="460"/>
      <c r="BX279" s="474"/>
      <c r="BY279" s="474"/>
      <c r="BZ279" s="474"/>
      <c r="CA279" s="464">
        <f t="shared" si="1501"/>
        <v>0</v>
      </c>
      <c r="CB279" s="460">
        <f>CC279</f>
        <v>0</v>
      </c>
      <c r="CC279" s="460">
        <f>BR279+BW279</f>
        <v>0</v>
      </c>
      <c r="CD279" s="474"/>
      <c r="CE279" s="474"/>
      <c r="CF279" s="474"/>
      <c r="CG279" s="459">
        <f>CH279+CI279+CJ279+CK279</f>
        <v>0</v>
      </c>
      <c r="CH279" s="459">
        <f t="shared" si="1517"/>
        <v>0</v>
      </c>
      <c r="CI279" s="459"/>
      <c r="CJ279" s="459"/>
      <c r="CK279" s="459"/>
      <c r="CL279" s="465"/>
      <c r="CM279" s="467"/>
      <c r="CN279" s="467"/>
      <c r="CO279" s="459">
        <f>CP279+CQ279+CR279+CS279</f>
        <v>0</v>
      </c>
      <c r="CP279" s="464"/>
      <c r="CQ279" s="474"/>
      <c r="CR279" s="474"/>
      <c r="CS279" s="474"/>
      <c r="CT279" s="459">
        <f>CU279+CV279+CW279+CX279</f>
        <v>0</v>
      </c>
      <c r="CU279" s="464"/>
      <c r="CV279" s="474"/>
      <c r="CW279" s="474"/>
      <c r="CX279" s="474"/>
      <c r="CY279" s="467"/>
      <c r="CZ279" s="467"/>
      <c r="DA279" s="467"/>
      <c r="DB279" s="467"/>
      <c r="DC279" s="467"/>
      <c r="DD279" s="467"/>
      <c r="DE279" s="467"/>
      <c r="DF279" s="467"/>
      <c r="DG279" s="548"/>
      <c r="DH279" s="465"/>
      <c r="DI279" s="465"/>
      <c r="DJ279" s="549"/>
      <c r="DK279" s="467"/>
      <c r="DL279" s="467"/>
      <c r="DM279" s="467"/>
      <c r="DN279" s="467"/>
      <c r="DO279" s="467"/>
      <c r="DP279" s="467"/>
      <c r="DQ279" s="467"/>
      <c r="DR279" s="460">
        <f t="shared" si="1519"/>
        <v>0</v>
      </c>
      <c r="DS279" s="464"/>
      <c r="DT279" s="460"/>
      <c r="DU279" s="460"/>
      <c r="DV279" s="498"/>
      <c r="DW279" s="460">
        <f t="shared" si="1504"/>
        <v>0</v>
      </c>
      <c r="DX279" s="460"/>
      <c r="DY279" s="529"/>
      <c r="DZ279" s="474"/>
      <c r="EA279" s="7"/>
      <c r="EB279" s="286"/>
      <c r="EC279" s="286"/>
      <c r="ED279" s="296"/>
      <c r="EE279" s="294"/>
      <c r="EF279" s="294"/>
      <c r="EG279" s="286"/>
      <c r="EH279" s="286"/>
      <c r="EI279" s="296"/>
      <c r="EJ279" s="294"/>
      <c r="EK279" s="294"/>
      <c r="EL279" s="294"/>
      <c r="EM279" s="294"/>
      <c r="EN279" s="294"/>
      <c r="EO279" s="8"/>
      <c r="EP279" s="328"/>
      <c r="EQ279" s="328"/>
      <c r="ER279" s="334"/>
      <c r="ES279" s="332"/>
      <c r="ET279" s="332"/>
      <c r="EU279" s="328"/>
      <c r="EV279" s="328"/>
      <c r="EW279" s="334"/>
      <c r="EX279" s="332"/>
      <c r="EY279" s="332"/>
      <c r="EZ279" s="332"/>
      <c r="FA279" s="332"/>
      <c r="FB279" s="332"/>
      <c r="FC279" s="286"/>
      <c r="FD279" s="286"/>
      <c r="FE279" s="296"/>
      <c r="FF279" s="294"/>
      <c r="FG279" s="294"/>
      <c r="FH279" s="286"/>
      <c r="FI279" s="286"/>
      <c r="FJ279" s="296"/>
      <c r="FK279" s="294"/>
      <c r="FL279" s="294"/>
      <c r="FM279" s="294"/>
      <c r="FN279" s="294"/>
      <c r="FO279" s="294"/>
    </row>
    <row r="280" spans="2:171" s="40" customFormat="1" ht="51.6" customHeight="1" x14ac:dyDescent="0.25">
      <c r="B280" s="35"/>
      <c r="C280" s="36"/>
      <c r="D280" s="35"/>
      <c r="E280" s="42"/>
      <c r="F280" s="35"/>
      <c r="G280" s="36"/>
      <c r="H280" s="35"/>
      <c r="I280" s="35"/>
      <c r="J280" s="35"/>
      <c r="K280" s="35"/>
      <c r="L280" s="35"/>
      <c r="M280" s="446">
        <v>2</v>
      </c>
      <c r="N280" s="208" t="s">
        <v>329</v>
      </c>
      <c r="O280" s="257"/>
      <c r="P280" s="418">
        <f t="shared" si="1502"/>
        <v>0</v>
      </c>
      <c r="Q280" s="257"/>
      <c r="R280" s="257"/>
      <c r="S280" s="257"/>
      <c r="T280" s="257"/>
      <c r="U280" s="171">
        <v>1</v>
      </c>
      <c r="V280" s="171"/>
      <c r="W280" s="542">
        <f>W281+W282</f>
        <v>10339.74</v>
      </c>
      <c r="X280" s="542">
        <f>X281+X282</f>
        <v>10339.74</v>
      </c>
      <c r="Y280" s="542"/>
      <c r="Z280" s="542"/>
      <c r="AA280" s="542"/>
      <c r="AB280" s="542">
        <f>AB281+AB282</f>
        <v>36328.699999999997</v>
      </c>
      <c r="AC280" s="542">
        <f>AC281+AC282</f>
        <v>36328.699999999997</v>
      </c>
      <c r="AD280" s="542"/>
      <c r="AE280" s="542"/>
      <c r="AF280" s="542"/>
      <c r="AG280" s="542">
        <f>AG281+AG282</f>
        <v>0</v>
      </c>
      <c r="AH280" s="542">
        <f>AH281+AH282</f>
        <v>0</v>
      </c>
      <c r="AI280" s="542"/>
      <c r="AJ280" s="542"/>
      <c r="AK280" s="542"/>
      <c r="AL280" s="543">
        <f>AL281+AL282</f>
        <v>0</v>
      </c>
      <c r="AM280" s="542">
        <f>AM281+AM282</f>
        <v>0</v>
      </c>
      <c r="AN280" s="542"/>
      <c r="AO280" s="542"/>
      <c r="AP280" s="542"/>
      <c r="AQ280" s="558" t="s">
        <v>427</v>
      </c>
      <c r="AR280" s="542">
        <f>AR281+AR282</f>
        <v>10339.74</v>
      </c>
      <c r="AS280" s="542">
        <f>AS281+AS282</f>
        <v>10339.74</v>
      </c>
      <c r="AT280" s="474"/>
      <c r="AU280" s="474"/>
      <c r="AV280" s="474"/>
      <c r="AW280" s="542" t="e">
        <f>AW281+AW282</f>
        <v>#REF!</v>
      </c>
      <c r="AX280" s="542" t="e">
        <f>AX281+AX282</f>
        <v>#REF!</v>
      </c>
      <c r="AY280" s="474"/>
      <c r="AZ280" s="474"/>
      <c r="BA280" s="474"/>
      <c r="BB280" s="542">
        <f>BB281+BB282</f>
        <v>5720.1060600000001</v>
      </c>
      <c r="BC280" s="542"/>
      <c r="BD280" s="474"/>
      <c r="BE280" s="474"/>
      <c r="BF280" s="474"/>
      <c r="BG280" s="542">
        <f>BG281+BG282</f>
        <v>0</v>
      </c>
      <c r="BH280" s="542">
        <f>BH281+BH282</f>
        <v>0</v>
      </c>
      <c r="BI280" s="474"/>
      <c r="BJ280" s="474"/>
      <c r="BK280" s="474"/>
      <c r="BL280" s="542">
        <f>BL281+BL282</f>
        <v>9247.4390000000003</v>
      </c>
      <c r="BM280" s="542">
        <f>BM281+BM282</f>
        <v>9247.4390000000003</v>
      </c>
      <c r="BN280" s="474"/>
      <c r="BO280" s="474"/>
      <c r="BP280" s="474"/>
      <c r="BQ280" s="542">
        <f>BQ281+BQ282</f>
        <v>9247.4390000000003</v>
      </c>
      <c r="BR280" s="542">
        <f>BR281+BR282</f>
        <v>9247.4390000000003</v>
      </c>
      <c r="BS280" s="474"/>
      <c r="BT280" s="474"/>
      <c r="BU280" s="474"/>
      <c r="BV280" s="476">
        <f>BV281+BV282</f>
        <v>624.92120999999997</v>
      </c>
      <c r="BW280" s="544">
        <f>BW281+BW282</f>
        <v>624.92120999999997</v>
      </c>
      <c r="BX280" s="544"/>
      <c r="BY280" s="544"/>
      <c r="BZ280" s="544"/>
      <c r="CA280" s="542">
        <f t="shared" si="1501"/>
        <v>9872.3602100000007</v>
      </c>
      <c r="CB280" s="544">
        <f>CB281+CB282</f>
        <v>9872.3602100000007</v>
      </c>
      <c r="CC280" s="544">
        <f t="shared" si="1518"/>
        <v>9872.3602100000007</v>
      </c>
      <c r="CD280" s="544"/>
      <c r="CE280" s="544"/>
      <c r="CF280" s="544"/>
      <c r="CG280" s="543">
        <f>CG281+CG282</f>
        <v>0</v>
      </c>
      <c r="CH280" s="543">
        <f t="shared" si="1517"/>
        <v>0</v>
      </c>
      <c r="CI280" s="543"/>
      <c r="CJ280" s="543"/>
      <c r="CK280" s="543"/>
      <c r="CL280" s="551"/>
      <c r="CM280" s="552"/>
      <c r="CN280" s="552"/>
      <c r="CO280" s="542">
        <f>CO281+CO282</f>
        <v>0</v>
      </c>
      <c r="CP280" s="542">
        <f>CP281+CP282</f>
        <v>0</v>
      </c>
      <c r="CQ280" s="544"/>
      <c r="CR280" s="544"/>
      <c r="CS280" s="544"/>
      <c r="CT280" s="542">
        <f>CT281+CT282</f>
        <v>0</v>
      </c>
      <c r="CU280" s="542">
        <f>CU281+CU282</f>
        <v>0</v>
      </c>
      <c r="CV280" s="544"/>
      <c r="CW280" s="544"/>
      <c r="CX280" s="544"/>
      <c r="CY280" s="552"/>
      <c r="CZ280" s="552"/>
      <c r="DA280" s="552"/>
      <c r="DB280" s="552"/>
      <c r="DC280" s="552"/>
      <c r="DD280" s="552"/>
      <c r="DE280" s="552"/>
      <c r="DF280" s="552"/>
      <c r="DG280" s="554"/>
      <c r="DH280" s="551"/>
      <c r="DI280" s="551"/>
      <c r="DJ280" s="555"/>
      <c r="DK280" s="552"/>
      <c r="DL280" s="552"/>
      <c r="DM280" s="552"/>
      <c r="DN280" s="552"/>
      <c r="DO280" s="552"/>
      <c r="DP280" s="552"/>
      <c r="DQ280" s="552"/>
      <c r="DR280" s="544">
        <f t="shared" si="1519"/>
        <v>9247.4390000000003</v>
      </c>
      <c r="DS280" s="542">
        <f>DS281+DS282</f>
        <v>9247.4390000000003</v>
      </c>
      <c r="DT280" s="460"/>
      <c r="DU280" s="460"/>
      <c r="DV280" s="498"/>
      <c r="DW280" s="544">
        <f t="shared" si="1504"/>
        <v>624.92120999999997</v>
      </c>
      <c r="DX280" s="544">
        <f>DX281+DX282</f>
        <v>624.92120999999997</v>
      </c>
      <c r="DY280" s="556"/>
      <c r="DZ280" s="544"/>
      <c r="EA280" s="7"/>
      <c r="EB280" s="297">
        <f>EC280+ED280</f>
        <v>11038.476000000001</v>
      </c>
      <c r="EC280" s="297">
        <f>AS281+AS282</f>
        <v>10339.74</v>
      </c>
      <c r="ED280" s="298">
        <v>698.73599999999999</v>
      </c>
      <c r="EE280" s="373">
        <f t="shared" ref="EE280" si="1536">EC280/EB280</f>
        <v>0.93669995749413226</v>
      </c>
      <c r="EF280" s="373">
        <f t="shared" ref="EF280" si="1537">ED280/EB280</f>
        <v>6.3300042505867654E-2</v>
      </c>
      <c r="EG280" s="297">
        <f>EH280+EI280</f>
        <v>9872.3602100000007</v>
      </c>
      <c r="EH280" s="297">
        <f>DS280</f>
        <v>9247.4390000000003</v>
      </c>
      <c r="EI280" s="298">
        <f>DX280</f>
        <v>624.92120999999997</v>
      </c>
      <c r="EJ280" s="373">
        <f t="shared" ref="EJ280" si="1538">EH280/EG280</f>
        <v>0.93669991808372233</v>
      </c>
      <c r="EK280" s="373">
        <f t="shared" ref="EK280" si="1539">EI280/EG280</f>
        <v>6.3300081916277645E-2</v>
      </c>
      <c r="EL280" s="373"/>
      <c r="EM280" s="297">
        <f>EG280*EE280</f>
        <v>9247.4393890737629</v>
      </c>
      <c r="EN280" s="297">
        <f>EH280-EM280</f>
        <v>-3.8907376256247517E-4</v>
      </c>
      <c r="EO280" s="249"/>
      <c r="EP280" s="335"/>
      <c r="EQ280" s="335"/>
      <c r="ER280" s="336"/>
      <c r="ES280" s="335"/>
      <c r="ET280" s="335"/>
      <c r="EU280" s="335"/>
      <c r="EV280" s="335"/>
      <c r="EW280" s="336"/>
      <c r="EX280" s="335"/>
      <c r="EY280" s="335"/>
      <c r="EZ280" s="335"/>
      <c r="FA280" s="335"/>
      <c r="FB280" s="335"/>
      <c r="FC280" s="297"/>
      <c r="FD280" s="297"/>
      <c r="FE280" s="298"/>
      <c r="FF280" s="297"/>
      <c r="FG280" s="297"/>
      <c r="FH280" s="297"/>
      <c r="FI280" s="297"/>
      <c r="FJ280" s="298"/>
      <c r="FK280" s="297"/>
      <c r="FL280" s="297"/>
      <c r="FM280" s="297"/>
      <c r="FN280" s="297"/>
      <c r="FO280" s="297"/>
    </row>
    <row r="281" spans="2:171" s="40" customFormat="1" ht="19.5" customHeight="1" x14ac:dyDescent="0.25">
      <c r="B281" s="35"/>
      <c r="C281" s="36"/>
      <c r="D281" s="35"/>
      <c r="E281" s="42"/>
      <c r="F281" s="35"/>
      <c r="G281" s="36"/>
      <c r="H281" s="35"/>
      <c r="I281" s="35"/>
      <c r="J281" s="35"/>
      <c r="K281" s="35"/>
      <c r="L281" s="35"/>
      <c r="M281" s="401"/>
      <c r="N281" s="66" t="s">
        <v>289</v>
      </c>
      <c r="O281" s="258"/>
      <c r="P281" s="432">
        <f t="shared" si="1502"/>
        <v>0</v>
      </c>
      <c r="Q281" s="196"/>
      <c r="R281" s="196"/>
      <c r="S281" s="196"/>
      <c r="T281" s="196"/>
      <c r="U281" s="579"/>
      <c r="V281" s="580"/>
      <c r="W281" s="459">
        <f>X281+Y281+Z281+AA281</f>
        <v>10339.74</v>
      </c>
      <c r="X281" s="464">
        <v>10339.74</v>
      </c>
      <c r="Y281" s="464"/>
      <c r="Z281" s="542"/>
      <c r="AA281" s="542"/>
      <c r="AB281" s="459">
        <f t="shared" ref="AB281:AB282" si="1540">AC281+AD281+AE281+AF281</f>
        <v>36328.699999999997</v>
      </c>
      <c r="AC281" s="464">
        <v>36328.699999999997</v>
      </c>
      <c r="AD281" s="464"/>
      <c r="AE281" s="542"/>
      <c r="AF281" s="542"/>
      <c r="AG281" s="459">
        <f t="shared" ref="AG281:AG282" si="1541">AH281+AI281+AJ281+AK281</f>
        <v>0</v>
      </c>
      <c r="AH281" s="464"/>
      <c r="AI281" s="464"/>
      <c r="AJ281" s="542"/>
      <c r="AK281" s="542"/>
      <c r="AL281" s="459">
        <f t="shared" ref="AL281:AL282" si="1542">AM281+AN281+AO281+AP281</f>
        <v>0</v>
      </c>
      <c r="AM281" s="464"/>
      <c r="AN281" s="464"/>
      <c r="AO281" s="542"/>
      <c r="AP281" s="542"/>
      <c r="AQ281" s="558"/>
      <c r="AR281" s="459">
        <f t="shared" ref="AR281:AR294" si="1543">AS281+AT281+AU281+AV281</f>
        <v>10339.74</v>
      </c>
      <c r="AS281" s="464">
        <v>10339.74</v>
      </c>
      <c r="AT281" s="474"/>
      <c r="AU281" s="474"/>
      <c r="AV281" s="474"/>
      <c r="AW281" s="459" t="e">
        <f t="shared" ref="AW281:AW294" si="1544">AX281+AY281+AZ281+BA281</f>
        <v>#REF!</v>
      </c>
      <c r="AX281" s="459" t="e">
        <f>#REF!-AS281</f>
        <v>#REF!</v>
      </c>
      <c r="AY281" s="474"/>
      <c r="AZ281" s="474"/>
      <c r="BA281" s="474"/>
      <c r="BB281" s="459">
        <f t="shared" ref="BB281:BB282" si="1545">BC281+BD281+BE281+BF281</f>
        <v>4445.9042099999997</v>
      </c>
      <c r="BC281" s="464">
        <f>2548.47552+1897.42869</f>
        <v>4445.9042099999997</v>
      </c>
      <c r="BD281" s="474"/>
      <c r="BE281" s="474"/>
      <c r="BF281" s="474"/>
      <c r="BG281" s="459">
        <f t="shared" ref="BG281:BG282" si="1546">BH281+BI281+BJ281+BK281</f>
        <v>0</v>
      </c>
      <c r="BH281" s="464"/>
      <c r="BI281" s="474"/>
      <c r="BJ281" s="474"/>
      <c r="BK281" s="474"/>
      <c r="BL281" s="459">
        <f t="shared" ref="BL281:BL282" si="1547">BM281+BN281+BO281+BP281</f>
        <v>9247.4390000000003</v>
      </c>
      <c r="BM281" s="464">
        <f>3317.82593+5929.61307</f>
        <v>9247.4390000000003</v>
      </c>
      <c r="BN281" s="474"/>
      <c r="BO281" s="474"/>
      <c r="BP281" s="474"/>
      <c r="BQ281" s="459">
        <f t="shared" ref="BQ281:BQ282" si="1548">BR281+BS281+BT281+BU281</f>
        <v>9247.4390000000003</v>
      </c>
      <c r="BR281" s="464">
        <f>3107.807+979.0699+5160.5621</f>
        <v>9247.4390000000003</v>
      </c>
      <c r="BS281" s="474"/>
      <c r="BT281" s="474"/>
      <c r="BU281" s="474"/>
      <c r="BV281" s="473">
        <f t="shared" ref="BV281:BV282" si="1549">BW281+BX281+BY281+BZ281</f>
        <v>624.92120999999997</v>
      </c>
      <c r="BW281" s="460">
        <f>210.01893+66.16344+348.73884</f>
        <v>624.92120999999997</v>
      </c>
      <c r="BX281" s="474"/>
      <c r="BY281" s="474"/>
      <c r="BZ281" s="474"/>
      <c r="CA281" s="464">
        <f t="shared" si="1501"/>
        <v>9872.3602100000007</v>
      </c>
      <c r="CB281" s="460">
        <f>CC281</f>
        <v>9872.3602100000007</v>
      </c>
      <c r="CC281" s="460">
        <f>BR281+BW281</f>
        <v>9872.3602100000007</v>
      </c>
      <c r="CD281" s="474"/>
      <c r="CE281" s="474"/>
      <c r="CF281" s="474"/>
      <c r="CG281" s="459">
        <f t="shared" ref="CG281:CG282" si="1550">CH281+CI281+CJ281+CK281</f>
        <v>0</v>
      </c>
      <c r="CH281" s="459">
        <f t="shared" si="1517"/>
        <v>0</v>
      </c>
      <c r="CI281" s="459"/>
      <c r="CJ281" s="459"/>
      <c r="CK281" s="459"/>
      <c r="CL281" s="465"/>
      <c r="CM281" s="467"/>
      <c r="CN281" s="467"/>
      <c r="CO281" s="459">
        <f t="shared" ref="CO281:CO282" si="1551">CP281+CQ281+CR281+CS281</f>
        <v>0</v>
      </c>
      <c r="CP281" s="464"/>
      <c r="CQ281" s="474"/>
      <c r="CR281" s="474"/>
      <c r="CS281" s="474"/>
      <c r="CT281" s="459">
        <f t="shared" ref="CT281:CT282" si="1552">CU281+CV281+CW281+CX281</f>
        <v>0</v>
      </c>
      <c r="CU281" s="464"/>
      <c r="CV281" s="474"/>
      <c r="CW281" s="474"/>
      <c r="CX281" s="474"/>
      <c r="CY281" s="467"/>
      <c r="CZ281" s="467"/>
      <c r="DA281" s="467"/>
      <c r="DB281" s="467"/>
      <c r="DC281" s="467"/>
      <c r="DD281" s="467"/>
      <c r="DE281" s="467"/>
      <c r="DF281" s="467"/>
      <c r="DG281" s="548"/>
      <c r="DH281" s="465"/>
      <c r="DI281" s="465"/>
      <c r="DJ281" s="549"/>
      <c r="DK281" s="467"/>
      <c r="DL281" s="467"/>
      <c r="DM281" s="467"/>
      <c r="DN281" s="467"/>
      <c r="DO281" s="467"/>
      <c r="DP281" s="467"/>
      <c r="DQ281" s="467"/>
      <c r="DR281" s="460">
        <f t="shared" si="1519"/>
        <v>9247.4390000000003</v>
      </c>
      <c r="DS281" s="464">
        <f>3317.82593+5929.61307</f>
        <v>9247.4390000000003</v>
      </c>
      <c r="DT281" s="460"/>
      <c r="DU281" s="460"/>
      <c r="DV281" s="498"/>
      <c r="DW281" s="460">
        <f t="shared" si="1504"/>
        <v>624.92120999999997</v>
      </c>
      <c r="DX281" s="460">
        <f>624.92121</f>
        <v>624.92120999999997</v>
      </c>
      <c r="DY281" s="529"/>
      <c r="DZ281" s="474"/>
      <c r="EA281" s="7"/>
      <c r="EB281" s="286"/>
      <c r="EC281" s="286"/>
      <c r="ED281" s="296"/>
      <c r="EE281" s="294"/>
      <c r="EF281" s="294"/>
      <c r="EG281" s="286"/>
      <c r="EH281" s="286"/>
      <c r="EI281" s="296"/>
      <c r="EJ281" s="294"/>
      <c r="EK281" s="294"/>
      <c r="EL281" s="294"/>
      <c r="EM281" s="294"/>
      <c r="EN281" s="294"/>
      <c r="EO281" s="8"/>
      <c r="EP281" s="328"/>
      <c r="EQ281" s="328"/>
      <c r="ER281" s="334"/>
      <c r="ES281" s="332"/>
      <c r="ET281" s="332"/>
      <c r="EU281" s="328"/>
      <c r="EV281" s="328"/>
      <c r="EW281" s="334"/>
      <c r="EX281" s="332"/>
      <c r="EY281" s="332"/>
      <c r="EZ281" s="332"/>
      <c r="FA281" s="332"/>
      <c r="FB281" s="332"/>
      <c r="FC281" s="286"/>
      <c r="FD281" s="286"/>
      <c r="FE281" s="296"/>
      <c r="FF281" s="294"/>
      <c r="FG281" s="294"/>
      <c r="FH281" s="286"/>
      <c r="FI281" s="286"/>
      <c r="FJ281" s="296"/>
      <c r="FK281" s="294"/>
      <c r="FL281" s="294"/>
      <c r="FM281" s="294"/>
      <c r="FN281" s="294"/>
      <c r="FO281" s="294"/>
    </row>
    <row r="282" spans="2:171" s="40" customFormat="1" ht="19.5" hidden="1" customHeight="1" x14ac:dyDescent="0.25">
      <c r="B282" s="35"/>
      <c r="C282" s="36"/>
      <c r="D282" s="35"/>
      <c r="E282" s="42"/>
      <c r="F282" s="35"/>
      <c r="G282" s="36"/>
      <c r="H282" s="35"/>
      <c r="I282" s="35"/>
      <c r="J282" s="35"/>
      <c r="K282" s="35"/>
      <c r="L282" s="35"/>
      <c r="M282" s="401"/>
      <c r="N282" s="66" t="s">
        <v>288</v>
      </c>
      <c r="O282" s="258"/>
      <c r="P282" s="432">
        <f t="shared" si="1502"/>
        <v>0</v>
      </c>
      <c r="Q282" s="258"/>
      <c r="R282" s="258"/>
      <c r="S282" s="433"/>
      <c r="T282" s="196"/>
      <c r="U282" s="579"/>
      <c r="V282" s="580"/>
      <c r="W282" s="459">
        <f>X282+Y282+Z282+AA282</f>
        <v>0</v>
      </c>
      <c r="X282" s="464"/>
      <c r="Y282" s="464"/>
      <c r="Z282" s="542"/>
      <c r="AA282" s="542"/>
      <c r="AB282" s="459">
        <f t="shared" si="1540"/>
        <v>0</v>
      </c>
      <c r="AC282" s="464"/>
      <c r="AD282" s="464"/>
      <c r="AE282" s="542"/>
      <c r="AF282" s="542"/>
      <c r="AG282" s="459">
        <f t="shared" si="1541"/>
        <v>0</v>
      </c>
      <c r="AH282" s="464"/>
      <c r="AI282" s="464"/>
      <c r="AJ282" s="542"/>
      <c r="AK282" s="542"/>
      <c r="AL282" s="459">
        <f t="shared" si="1542"/>
        <v>0</v>
      </c>
      <c r="AM282" s="464"/>
      <c r="AN282" s="464"/>
      <c r="AO282" s="542"/>
      <c r="AP282" s="542"/>
      <c r="AQ282" s="581"/>
      <c r="AR282" s="459">
        <f t="shared" si="1543"/>
        <v>0</v>
      </c>
      <c r="AS282" s="464"/>
      <c r="AT282" s="474"/>
      <c r="AU282" s="474"/>
      <c r="AV282" s="474"/>
      <c r="AW282" s="459" t="e">
        <f t="shared" si="1544"/>
        <v>#REF!</v>
      </c>
      <c r="AX282" s="459" t="e">
        <f>#REF!-AS282</f>
        <v>#REF!</v>
      </c>
      <c r="AY282" s="474"/>
      <c r="AZ282" s="474"/>
      <c r="BA282" s="474"/>
      <c r="BB282" s="459">
        <f t="shared" si="1545"/>
        <v>1274.2018499999999</v>
      </c>
      <c r="BC282" s="464">
        <f>730.39635+543.8055</f>
        <v>1274.2018499999999</v>
      </c>
      <c r="BD282" s="474"/>
      <c r="BE282" s="474"/>
      <c r="BF282" s="474"/>
      <c r="BG282" s="459">
        <f t="shared" si="1546"/>
        <v>0</v>
      </c>
      <c r="BH282" s="464"/>
      <c r="BI282" s="474"/>
      <c r="BJ282" s="474"/>
      <c r="BK282" s="474"/>
      <c r="BL282" s="459">
        <f t="shared" si="1547"/>
        <v>0</v>
      </c>
      <c r="BM282" s="464"/>
      <c r="BN282" s="474"/>
      <c r="BO282" s="474"/>
      <c r="BP282" s="474"/>
      <c r="BQ282" s="459">
        <f t="shared" si="1548"/>
        <v>0</v>
      </c>
      <c r="BR282" s="464"/>
      <c r="BS282" s="474"/>
      <c r="BT282" s="474"/>
      <c r="BU282" s="474"/>
      <c r="BV282" s="473">
        <f t="shared" si="1549"/>
        <v>0</v>
      </c>
      <c r="BW282" s="460"/>
      <c r="BX282" s="474"/>
      <c r="BY282" s="474"/>
      <c r="BZ282" s="474"/>
      <c r="CA282" s="464">
        <f t="shared" si="1501"/>
        <v>0</v>
      </c>
      <c r="CB282" s="460">
        <f>CC282</f>
        <v>0</v>
      </c>
      <c r="CC282" s="460">
        <f>BR282+BW282</f>
        <v>0</v>
      </c>
      <c r="CD282" s="474"/>
      <c r="CE282" s="474"/>
      <c r="CF282" s="474"/>
      <c r="CG282" s="459">
        <f t="shared" si="1550"/>
        <v>0</v>
      </c>
      <c r="CH282" s="459">
        <f t="shared" si="1517"/>
        <v>0</v>
      </c>
      <c r="CI282" s="459"/>
      <c r="CJ282" s="459"/>
      <c r="CK282" s="459"/>
      <c r="CL282" s="465"/>
      <c r="CM282" s="467"/>
      <c r="CN282" s="467"/>
      <c r="CO282" s="459">
        <f t="shared" si="1551"/>
        <v>0</v>
      </c>
      <c r="CP282" s="464"/>
      <c r="CQ282" s="474"/>
      <c r="CR282" s="474"/>
      <c r="CS282" s="474"/>
      <c r="CT282" s="459">
        <f t="shared" si="1552"/>
        <v>0</v>
      </c>
      <c r="CU282" s="464"/>
      <c r="CV282" s="474"/>
      <c r="CW282" s="474"/>
      <c r="CX282" s="474"/>
      <c r="CY282" s="467"/>
      <c r="CZ282" s="467"/>
      <c r="DA282" s="467"/>
      <c r="DB282" s="467"/>
      <c r="DC282" s="467"/>
      <c r="DD282" s="467"/>
      <c r="DE282" s="467"/>
      <c r="DF282" s="467"/>
      <c r="DG282" s="548"/>
      <c r="DH282" s="465"/>
      <c r="DI282" s="465"/>
      <c r="DJ282" s="549"/>
      <c r="DK282" s="467"/>
      <c r="DL282" s="467"/>
      <c r="DM282" s="467"/>
      <c r="DN282" s="467"/>
      <c r="DO282" s="467"/>
      <c r="DP282" s="467"/>
      <c r="DQ282" s="467"/>
      <c r="DR282" s="460">
        <f t="shared" si="1519"/>
        <v>0</v>
      </c>
      <c r="DS282" s="464"/>
      <c r="DT282" s="460"/>
      <c r="DU282" s="460"/>
      <c r="DV282" s="498"/>
      <c r="DW282" s="460">
        <f t="shared" si="1504"/>
        <v>0</v>
      </c>
      <c r="DX282" s="460"/>
      <c r="DY282" s="529"/>
      <c r="DZ282" s="474"/>
      <c r="EA282" s="7"/>
      <c r="EB282" s="286"/>
      <c r="EC282" s="286"/>
      <c r="ED282" s="296"/>
      <c r="EE282" s="294"/>
      <c r="EF282" s="294"/>
      <c r="EG282" s="286"/>
      <c r="EH282" s="286"/>
      <c r="EI282" s="296"/>
      <c r="EJ282" s="294"/>
      <c r="EK282" s="294"/>
      <c r="EL282" s="294"/>
      <c r="EM282" s="294"/>
      <c r="EN282" s="294"/>
      <c r="EO282" s="8"/>
      <c r="EP282" s="328"/>
      <c r="EQ282" s="328"/>
      <c r="ER282" s="334"/>
      <c r="ES282" s="332"/>
      <c r="ET282" s="332"/>
      <c r="EU282" s="328"/>
      <c r="EV282" s="328"/>
      <c r="EW282" s="334"/>
      <c r="EX282" s="332"/>
      <c r="EY282" s="332"/>
      <c r="EZ282" s="332"/>
      <c r="FA282" s="332"/>
      <c r="FB282" s="332"/>
      <c r="FC282" s="286"/>
      <c r="FD282" s="286"/>
      <c r="FE282" s="296"/>
      <c r="FF282" s="294"/>
      <c r="FG282" s="294"/>
      <c r="FH282" s="286"/>
      <c r="FI282" s="286"/>
      <c r="FJ282" s="296"/>
      <c r="FK282" s="294"/>
      <c r="FL282" s="294"/>
      <c r="FM282" s="294"/>
      <c r="FN282" s="294"/>
      <c r="FO282" s="294"/>
    </row>
    <row r="283" spans="2:171" s="40" customFormat="1" ht="51.6" hidden="1" customHeight="1" x14ac:dyDescent="0.25">
      <c r="B283" s="35"/>
      <c r="C283" s="36"/>
      <c r="D283" s="35"/>
      <c r="E283" s="42"/>
      <c r="F283" s="35"/>
      <c r="G283" s="36"/>
      <c r="H283" s="35"/>
      <c r="I283" s="35"/>
      <c r="J283" s="35"/>
      <c r="K283" s="35"/>
      <c r="L283" s="35"/>
      <c r="M283" s="446">
        <v>6</v>
      </c>
      <c r="N283" s="208" t="s">
        <v>330</v>
      </c>
      <c r="O283" s="259"/>
      <c r="P283" s="419">
        <f t="shared" si="1502"/>
        <v>0</v>
      </c>
      <c r="Q283" s="259"/>
      <c r="R283" s="259"/>
      <c r="S283" s="259"/>
      <c r="T283" s="259"/>
      <c r="U283" s="579"/>
      <c r="V283" s="580"/>
      <c r="W283" s="542">
        <f>W284+W285</f>
        <v>0</v>
      </c>
      <c r="X283" s="542">
        <f>X284+X285</f>
        <v>0</v>
      </c>
      <c r="Y283" s="542"/>
      <c r="Z283" s="542"/>
      <c r="AA283" s="542"/>
      <c r="AB283" s="542">
        <f>AB284+AB285</f>
        <v>10200.799999999999</v>
      </c>
      <c r="AC283" s="542">
        <f>AC284+AC285</f>
        <v>10200.799999999999</v>
      </c>
      <c r="AD283" s="542"/>
      <c r="AE283" s="542"/>
      <c r="AF283" s="542"/>
      <c r="AG283" s="542">
        <f>AG284+AG285</f>
        <v>0</v>
      </c>
      <c r="AH283" s="542">
        <f>AH284+AH285</f>
        <v>0</v>
      </c>
      <c r="AI283" s="542"/>
      <c r="AJ283" s="542"/>
      <c r="AK283" s="542"/>
      <c r="AL283" s="543">
        <f>AL284+AL285</f>
        <v>0</v>
      </c>
      <c r="AM283" s="542">
        <f>AM284+AM285</f>
        <v>0</v>
      </c>
      <c r="AN283" s="542"/>
      <c r="AO283" s="542"/>
      <c r="AP283" s="542"/>
      <c r="AQ283" s="581"/>
      <c r="AR283" s="542">
        <f>AR284+AR285</f>
        <v>0</v>
      </c>
      <c r="AS283" s="542">
        <f>AS284+AS285</f>
        <v>0</v>
      </c>
      <c r="AT283" s="474"/>
      <c r="AU283" s="474"/>
      <c r="AV283" s="474"/>
      <c r="AW283" s="542" t="e">
        <f>AW284+AW285</f>
        <v>#REF!</v>
      </c>
      <c r="AX283" s="542" t="e">
        <f>AX284+AX285</f>
        <v>#REF!</v>
      </c>
      <c r="AY283" s="474"/>
      <c r="AZ283" s="474"/>
      <c r="BA283" s="474"/>
      <c r="BB283" s="542">
        <f>BB284+BB285</f>
        <v>12297.111370000001</v>
      </c>
      <c r="BC283" s="542"/>
      <c r="BD283" s="474"/>
      <c r="BE283" s="474"/>
      <c r="BF283" s="474"/>
      <c r="BG283" s="542">
        <f>BG284+BG285</f>
        <v>0</v>
      </c>
      <c r="BH283" s="542">
        <f>BH284+BH285</f>
        <v>0</v>
      </c>
      <c r="BI283" s="474"/>
      <c r="BJ283" s="474"/>
      <c r="BK283" s="474"/>
      <c r="BL283" s="542">
        <f>BL284+BL285</f>
        <v>0</v>
      </c>
      <c r="BM283" s="542">
        <f>BM284+BM285</f>
        <v>0</v>
      </c>
      <c r="BN283" s="474"/>
      <c r="BO283" s="474"/>
      <c r="BP283" s="474"/>
      <c r="BQ283" s="542">
        <f>BQ284+BQ285</f>
        <v>0</v>
      </c>
      <c r="BR283" s="542">
        <f>BR284+BR285</f>
        <v>0</v>
      </c>
      <c r="BS283" s="474"/>
      <c r="BT283" s="474"/>
      <c r="BU283" s="474"/>
      <c r="BV283" s="476">
        <f>BV284+BV285</f>
        <v>0</v>
      </c>
      <c r="BW283" s="544">
        <f>BW284+BW285</f>
        <v>0</v>
      </c>
      <c r="BX283" s="544"/>
      <c r="BY283" s="544"/>
      <c r="BZ283" s="544"/>
      <c r="CA283" s="542">
        <f t="shared" si="1501"/>
        <v>0</v>
      </c>
      <c r="CB283" s="544">
        <f>CB284+CB285</f>
        <v>0</v>
      </c>
      <c r="CC283" s="544">
        <f t="shared" ref="CC283" si="1553">BR283+BW283</f>
        <v>0</v>
      </c>
      <c r="CD283" s="544"/>
      <c r="CE283" s="544"/>
      <c r="CF283" s="544"/>
      <c r="CG283" s="543">
        <f>CG284+CG285</f>
        <v>0</v>
      </c>
      <c r="CH283" s="543">
        <f t="shared" si="1517"/>
        <v>0</v>
      </c>
      <c r="CI283" s="543"/>
      <c r="CJ283" s="543"/>
      <c r="CK283" s="543"/>
      <c r="CL283" s="551"/>
      <c r="CM283" s="552"/>
      <c r="CN283" s="552"/>
      <c r="CO283" s="542">
        <f>CO284+CO285</f>
        <v>0</v>
      </c>
      <c r="CP283" s="542">
        <f>CP284+CP285</f>
        <v>0</v>
      </c>
      <c r="CQ283" s="544"/>
      <c r="CR283" s="544"/>
      <c r="CS283" s="544"/>
      <c r="CT283" s="542">
        <f>CT284+CT285</f>
        <v>0</v>
      </c>
      <c r="CU283" s="542">
        <f>CU284+CU285</f>
        <v>0</v>
      </c>
      <c r="CV283" s="544"/>
      <c r="CW283" s="544"/>
      <c r="CX283" s="544"/>
      <c r="CY283" s="552"/>
      <c r="CZ283" s="552"/>
      <c r="DA283" s="552"/>
      <c r="DB283" s="552"/>
      <c r="DC283" s="552"/>
      <c r="DD283" s="552"/>
      <c r="DE283" s="552"/>
      <c r="DF283" s="552"/>
      <c r="DG283" s="554"/>
      <c r="DH283" s="551"/>
      <c r="DI283" s="551"/>
      <c r="DJ283" s="555"/>
      <c r="DK283" s="552"/>
      <c r="DL283" s="552"/>
      <c r="DM283" s="552"/>
      <c r="DN283" s="552"/>
      <c r="DO283" s="552"/>
      <c r="DP283" s="552"/>
      <c r="DQ283" s="552"/>
      <c r="DR283" s="544">
        <f t="shared" si="1519"/>
        <v>0</v>
      </c>
      <c r="DS283" s="542">
        <f>DS284+DS285</f>
        <v>0</v>
      </c>
      <c r="DT283" s="544"/>
      <c r="DU283" s="544"/>
      <c r="DV283" s="556"/>
      <c r="DW283" s="544">
        <f t="shared" si="1504"/>
        <v>0</v>
      </c>
      <c r="DX283" s="544">
        <f>DX284+DX285</f>
        <v>0</v>
      </c>
      <c r="DY283" s="556"/>
      <c r="DZ283" s="544"/>
      <c r="EA283" s="7"/>
      <c r="EB283" s="297">
        <f>EC283+ED283</f>
        <v>0</v>
      </c>
      <c r="EC283" s="297">
        <f>AS284+AS285</f>
        <v>0</v>
      </c>
      <c r="ED283" s="298"/>
      <c r="EE283" s="373" t="e">
        <f t="shared" ref="EE283" si="1554">EC283/EB283</f>
        <v>#DIV/0!</v>
      </c>
      <c r="EF283" s="373" t="e">
        <f t="shared" ref="EF283" si="1555">ED283/EB283</f>
        <v>#DIV/0!</v>
      </c>
      <c r="EG283" s="297">
        <f>EH283+EI283</f>
        <v>0</v>
      </c>
      <c r="EH283" s="297">
        <f>DS283</f>
        <v>0</v>
      </c>
      <c r="EI283" s="298">
        <f>DX283</f>
        <v>0</v>
      </c>
      <c r="EJ283" s="373" t="e">
        <f t="shared" ref="EJ283" si="1556">EH283/EG283</f>
        <v>#DIV/0!</v>
      </c>
      <c r="EK283" s="373" t="e">
        <f t="shared" ref="EK283" si="1557">EI283/EG283</f>
        <v>#DIV/0!</v>
      </c>
      <c r="EL283" s="373"/>
      <c r="EM283" s="297" t="e">
        <f>EG283*EE283</f>
        <v>#DIV/0!</v>
      </c>
      <c r="EN283" s="297" t="e">
        <f>EH283-EM283</f>
        <v>#DIV/0!</v>
      </c>
      <c r="EO283" s="249"/>
      <c r="EP283" s="335"/>
      <c r="EQ283" s="335"/>
      <c r="ER283" s="336"/>
      <c r="ES283" s="335"/>
      <c r="ET283" s="335"/>
      <c r="EU283" s="335"/>
      <c r="EV283" s="335"/>
      <c r="EW283" s="336"/>
      <c r="EX283" s="335"/>
      <c r="EY283" s="335"/>
      <c r="EZ283" s="335"/>
      <c r="FA283" s="335"/>
      <c r="FB283" s="335"/>
      <c r="FC283" s="297"/>
      <c r="FD283" s="297"/>
      <c r="FE283" s="298"/>
      <c r="FF283" s="297"/>
      <c r="FG283" s="297"/>
      <c r="FH283" s="297"/>
      <c r="FI283" s="297"/>
      <c r="FJ283" s="298"/>
      <c r="FK283" s="297"/>
      <c r="FL283" s="297"/>
      <c r="FM283" s="297"/>
      <c r="FN283" s="297"/>
      <c r="FO283" s="297"/>
    </row>
    <row r="284" spans="2:171" s="40" customFormat="1" ht="19.5" hidden="1" customHeight="1" x14ac:dyDescent="0.25">
      <c r="B284" s="35"/>
      <c r="C284" s="36"/>
      <c r="D284" s="35"/>
      <c r="E284" s="42"/>
      <c r="F284" s="35"/>
      <c r="G284" s="36"/>
      <c r="H284" s="35"/>
      <c r="I284" s="35"/>
      <c r="J284" s="35"/>
      <c r="K284" s="35"/>
      <c r="L284" s="35"/>
      <c r="M284" s="401"/>
      <c r="N284" s="66" t="s">
        <v>289</v>
      </c>
      <c r="O284" s="258"/>
      <c r="P284" s="422">
        <f t="shared" si="1502"/>
        <v>0</v>
      </c>
      <c r="Q284" s="258"/>
      <c r="R284" s="258"/>
      <c r="S284" s="258"/>
      <c r="T284" s="258"/>
      <c r="U284" s="579"/>
      <c r="V284" s="580"/>
      <c r="W284" s="459">
        <f>X284+Y284+Z284+AA284</f>
        <v>0</v>
      </c>
      <c r="X284" s="464"/>
      <c r="Y284" s="464"/>
      <c r="Z284" s="542"/>
      <c r="AA284" s="542"/>
      <c r="AB284" s="459">
        <f t="shared" ref="AB284:AB285" si="1558">AC284+AD284+AE284+AF284</f>
        <v>10200.799999999999</v>
      </c>
      <c r="AC284" s="464">
        <v>10200.799999999999</v>
      </c>
      <c r="AD284" s="464"/>
      <c r="AE284" s="542"/>
      <c r="AF284" s="542"/>
      <c r="AG284" s="459">
        <f t="shared" ref="AG284:AG285" si="1559">AH284+AI284+AJ284+AK284</f>
        <v>0</v>
      </c>
      <c r="AH284" s="464"/>
      <c r="AI284" s="464"/>
      <c r="AJ284" s="542"/>
      <c r="AK284" s="542"/>
      <c r="AL284" s="459">
        <f t="shared" ref="AL284:AL285" si="1560">AM284+AN284+AO284+AP284</f>
        <v>0</v>
      </c>
      <c r="AM284" s="464"/>
      <c r="AN284" s="464"/>
      <c r="AO284" s="542"/>
      <c r="AP284" s="542"/>
      <c r="AQ284" s="581"/>
      <c r="AR284" s="459">
        <f t="shared" ref="AR284:AR285" si="1561">AS284+AT284+AU284+AV284</f>
        <v>0</v>
      </c>
      <c r="AS284" s="464"/>
      <c r="AT284" s="474"/>
      <c r="AU284" s="474"/>
      <c r="AV284" s="474"/>
      <c r="AW284" s="459" t="e">
        <f t="shared" ref="AW284:AW285" si="1562">AX284+AY284+AZ284+BA284</f>
        <v>#REF!</v>
      </c>
      <c r="AX284" s="459" t="e">
        <f>#REF!-AS284</f>
        <v>#REF!</v>
      </c>
      <c r="AY284" s="474"/>
      <c r="AZ284" s="474"/>
      <c r="BA284" s="474"/>
      <c r="BB284" s="459">
        <f t="shared" ref="BB284:BB285" si="1563">BC284+BD284+BE284+BF284</f>
        <v>8907.6532800000004</v>
      </c>
      <c r="BC284" s="464">
        <v>8907.6532800000004</v>
      </c>
      <c r="BD284" s="474"/>
      <c r="BE284" s="474"/>
      <c r="BF284" s="474"/>
      <c r="BG284" s="459">
        <f t="shared" ref="BG284:BG285" si="1564">BH284+BI284+BJ284+BK284</f>
        <v>0</v>
      </c>
      <c r="BH284" s="464"/>
      <c r="BI284" s="474"/>
      <c r="BJ284" s="474"/>
      <c r="BK284" s="474"/>
      <c r="BL284" s="459">
        <f t="shared" ref="BL284:BL285" si="1565">BM284+BN284+BO284+BP284</f>
        <v>0</v>
      </c>
      <c r="BM284" s="464"/>
      <c r="BN284" s="464"/>
      <c r="BO284" s="474"/>
      <c r="BP284" s="474"/>
      <c r="BQ284" s="459">
        <f t="shared" ref="BQ284:BQ285" si="1566">BR284+BS284+BT284+BU284</f>
        <v>0</v>
      </c>
      <c r="BR284" s="464"/>
      <c r="BS284" s="474"/>
      <c r="BT284" s="474"/>
      <c r="BU284" s="474"/>
      <c r="BV284" s="473">
        <f t="shared" ref="BV284:BV285" si="1567">BW284+BX284+BY284+BZ284</f>
        <v>0</v>
      </c>
      <c r="BW284" s="464"/>
      <c r="BX284" s="474"/>
      <c r="BY284" s="474"/>
      <c r="BZ284" s="474"/>
      <c r="CA284" s="464">
        <f t="shared" si="1501"/>
        <v>0</v>
      </c>
      <c r="CB284" s="460">
        <f>CC284</f>
        <v>0</v>
      </c>
      <c r="CC284" s="460">
        <f>BR284+BW284</f>
        <v>0</v>
      </c>
      <c r="CD284" s="474"/>
      <c r="CE284" s="474"/>
      <c r="CF284" s="474"/>
      <c r="CG284" s="459">
        <f t="shared" ref="CG284:CG285" si="1568">CH284+CI284+CJ284+CK284</f>
        <v>0</v>
      </c>
      <c r="CH284" s="459">
        <f t="shared" si="1517"/>
        <v>0</v>
      </c>
      <c r="CI284" s="459"/>
      <c r="CJ284" s="459"/>
      <c r="CK284" s="459"/>
      <c r="CL284" s="465"/>
      <c r="CM284" s="467"/>
      <c r="CN284" s="467"/>
      <c r="CO284" s="459">
        <f t="shared" ref="CO284:CO285" si="1569">CP284+CQ284+CR284+CS284</f>
        <v>0</v>
      </c>
      <c r="CP284" s="464"/>
      <c r="CQ284" s="474"/>
      <c r="CR284" s="474"/>
      <c r="CS284" s="474"/>
      <c r="CT284" s="459">
        <f t="shared" ref="CT284:CT285" si="1570">CU284+CV284+CW284+CX284</f>
        <v>0</v>
      </c>
      <c r="CU284" s="464"/>
      <c r="CV284" s="474"/>
      <c r="CW284" s="474"/>
      <c r="CX284" s="474"/>
      <c r="CY284" s="467"/>
      <c r="CZ284" s="467"/>
      <c r="DA284" s="467"/>
      <c r="DB284" s="467"/>
      <c r="DC284" s="467"/>
      <c r="DD284" s="467"/>
      <c r="DE284" s="467"/>
      <c r="DF284" s="467"/>
      <c r="DG284" s="548"/>
      <c r="DH284" s="465"/>
      <c r="DI284" s="465"/>
      <c r="DJ284" s="549"/>
      <c r="DK284" s="467"/>
      <c r="DL284" s="467"/>
      <c r="DM284" s="467"/>
      <c r="DN284" s="467"/>
      <c r="DO284" s="467"/>
      <c r="DP284" s="467"/>
      <c r="DQ284" s="467"/>
      <c r="DR284" s="460">
        <f t="shared" si="1519"/>
        <v>0</v>
      </c>
      <c r="DS284" s="464"/>
      <c r="DT284" s="460"/>
      <c r="DU284" s="460"/>
      <c r="DV284" s="498"/>
      <c r="DW284" s="460">
        <f t="shared" si="1504"/>
        <v>0</v>
      </c>
      <c r="DX284" s="464"/>
      <c r="DY284" s="529"/>
      <c r="DZ284" s="474"/>
      <c r="EA284" s="7"/>
      <c r="EB284" s="286"/>
      <c r="EC284" s="291"/>
      <c r="ED284" s="296"/>
      <c r="EE284" s="294"/>
      <c r="EF284" s="294"/>
      <c r="EG284" s="286"/>
      <c r="EH284" s="291"/>
      <c r="EI284" s="296"/>
      <c r="EJ284" s="294"/>
      <c r="EK284" s="294"/>
      <c r="EL284" s="294"/>
      <c r="EM284" s="294"/>
      <c r="EN284" s="294"/>
      <c r="EO284" s="8"/>
      <c r="EP284" s="328"/>
      <c r="EQ284" s="330"/>
      <c r="ER284" s="334"/>
      <c r="ES284" s="332"/>
      <c r="ET284" s="332"/>
      <c r="EU284" s="328"/>
      <c r="EV284" s="330"/>
      <c r="EW284" s="334"/>
      <c r="EX284" s="332"/>
      <c r="EY284" s="332"/>
      <c r="EZ284" s="332"/>
      <c r="FA284" s="332"/>
      <c r="FB284" s="332"/>
      <c r="FC284" s="286"/>
      <c r="FD284" s="291"/>
      <c r="FE284" s="296"/>
      <c r="FF284" s="294"/>
      <c r="FG284" s="294"/>
      <c r="FH284" s="286"/>
      <c r="FI284" s="291"/>
      <c r="FJ284" s="296"/>
      <c r="FK284" s="294"/>
      <c r="FL284" s="294"/>
      <c r="FM284" s="294"/>
      <c r="FN284" s="294"/>
      <c r="FO284" s="294"/>
    </row>
    <row r="285" spans="2:171" s="40" customFormat="1" ht="19.5" hidden="1" customHeight="1" x14ac:dyDescent="0.25">
      <c r="B285" s="35"/>
      <c r="C285" s="36"/>
      <c r="D285" s="35"/>
      <c r="E285" s="42"/>
      <c r="F285" s="35"/>
      <c r="G285" s="36"/>
      <c r="H285" s="35"/>
      <c r="I285" s="35"/>
      <c r="J285" s="35"/>
      <c r="K285" s="35"/>
      <c r="L285" s="35"/>
      <c r="M285" s="401"/>
      <c r="N285" s="66" t="s">
        <v>288</v>
      </c>
      <c r="O285" s="183"/>
      <c r="P285" s="413">
        <f t="shared" si="1502"/>
        <v>0</v>
      </c>
      <c r="Q285" s="183"/>
      <c r="R285" s="183"/>
      <c r="S285" s="183"/>
      <c r="T285" s="183"/>
      <c r="U285" s="579"/>
      <c r="V285" s="580"/>
      <c r="W285" s="459">
        <f>X285+Y285+Z285+AA285</f>
        <v>0</v>
      </c>
      <c r="X285" s="464"/>
      <c r="Y285" s="464"/>
      <c r="Z285" s="542"/>
      <c r="AA285" s="542"/>
      <c r="AB285" s="459">
        <f t="shared" si="1558"/>
        <v>0</v>
      </c>
      <c r="AC285" s="464"/>
      <c r="AD285" s="464"/>
      <c r="AE285" s="542"/>
      <c r="AF285" s="542"/>
      <c r="AG285" s="459">
        <f t="shared" si="1559"/>
        <v>0</v>
      </c>
      <c r="AH285" s="464"/>
      <c r="AI285" s="464"/>
      <c r="AJ285" s="542"/>
      <c r="AK285" s="542"/>
      <c r="AL285" s="459">
        <f t="shared" si="1560"/>
        <v>0</v>
      </c>
      <c r="AM285" s="464"/>
      <c r="AN285" s="464"/>
      <c r="AO285" s="542"/>
      <c r="AP285" s="542"/>
      <c r="AQ285" s="581"/>
      <c r="AR285" s="459">
        <f t="shared" si="1561"/>
        <v>0</v>
      </c>
      <c r="AS285" s="464"/>
      <c r="AT285" s="474"/>
      <c r="AU285" s="474"/>
      <c r="AV285" s="474"/>
      <c r="AW285" s="459" t="e">
        <f t="shared" si="1562"/>
        <v>#REF!</v>
      </c>
      <c r="AX285" s="459" t="e">
        <f>#REF!-AS285</f>
        <v>#REF!</v>
      </c>
      <c r="AY285" s="474"/>
      <c r="AZ285" s="474"/>
      <c r="BA285" s="474"/>
      <c r="BB285" s="459">
        <f t="shared" si="1563"/>
        <v>3389.4580900000001</v>
      </c>
      <c r="BC285" s="464">
        <v>3389.4580900000001</v>
      </c>
      <c r="BD285" s="474"/>
      <c r="BE285" s="474"/>
      <c r="BF285" s="474"/>
      <c r="BG285" s="459">
        <f t="shared" si="1564"/>
        <v>0</v>
      </c>
      <c r="BH285" s="464"/>
      <c r="BI285" s="474"/>
      <c r="BJ285" s="474"/>
      <c r="BK285" s="474"/>
      <c r="BL285" s="459">
        <f t="shared" si="1565"/>
        <v>0</v>
      </c>
      <c r="BM285" s="464"/>
      <c r="BN285" s="464"/>
      <c r="BO285" s="474"/>
      <c r="BP285" s="474"/>
      <c r="BQ285" s="459">
        <f t="shared" si="1566"/>
        <v>0</v>
      </c>
      <c r="BR285" s="464"/>
      <c r="BS285" s="474"/>
      <c r="BT285" s="474"/>
      <c r="BU285" s="474"/>
      <c r="BV285" s="473">
        <f t="shared" si="1567"/>
        <v>0</v>
      </c>
      <c r="BW285" s="460"/>
      <c r="BX285" s="474"/>
      <c r="BY285" s="474"/>
      <c r="BZ285" s="474"/>
      <c r="CA285" s="464">
        <f t="shared" si="1501"/>
        <v>0</v>
      </c>
      <c r="CB285" s="460">
        <f>CC285</f>
        <v>0</v>
      </c>
      <c r="CC285" s="460">
        <f>BR285+BW285</f>
        <v>0</v>
      </c>
      <c r="CD285" s="474"/>
      <c r="CE285" s="474"/>
      <c r="CF285" s="474"/>
      <c r="CG285" s="459">
        <f t="shared" si="1568"/>
        <v>0</v>
      </c>
      <c r="CH285" s="459">
        <f t="shared" si="1517"/>
        <v>0</v>
      </c>
      <c r="CI285" s="459"/>
      <c r="CJ285" s="459"/>
      <c r="CK285" s="459"/>
      <c r="CL285" s="465"/>
      <c r="CM285" s="467"/>
      <c r="CN285" s="467"/>
      <c r="CO285" s="459">
        <f t="shared" si="1569"/>
        <v>0</v>
      </c>
      <c r="CP285" s="464"/>
      <c r="CQ285" s="474"/>
      <c r="CR285" s="474"/>
      <c r="CS285" s="474"/>
      <c r="CT285" s="459">
        <f t="shared" si="1570"/>
        <v>0</v>
      </c>
      <c r="CU285" s="464"/>
      <c r="CV285" s="474"/>
      <c r="CW285" s="474"/>
      <c r="CX285" s="474"/>
      <c r="CY285" s="467"/>
      <c r="CZ285" s="467"/>
      <c r="DA285" s="467"/>
      <c r="DB285" s="467"/>
      <c r="DC285" s="467"/>
      <c r="DD285" s="467"/>
      <c r="DE285" s="467"/>
      <c r="DF285" s="467"/>
      <c r="DG285" s="548"/>
      <c r="DH285" s="465"/>
      <c r="DI285" s="465"/>
      <c r="DJ285" s="549"/>
      <c r="DK285" s="467"/>
      <c r="DL285" s="467"/>
      <c r="DM285" s="467"/>
      <c r="DN285" s="467"/>
      <c r="DO285" s="467"/>
      <c r="DP285" s="467"/>
      <c r="DQ285" s="467"/>
      <c r="DR285" s="460">
        <f t="shared" si="1519"/>
        <v>0</v>
      </c>
      <c r="DS285" s="464"/>
      <c r="DT285" s="460"/>
      <c r="DU285" s="460"/>
      <c r="DV285" s="498"/>
      <c r="DW285" s="460">
        <f t="shared" si="1504"/>
        <v>0</v>
      </c>
      <c r="DX285" s="460"/>
      <c r="DY285" s="529"/>
      <c r="DZ285" s="474"/>
      <c r="EA285" s="7"/>
      <c r="EB285" s="286"/>
      <c r="EC285" s="286"/>
      <c r="ED285" s="296"/>
      <c r="EE285" s="294"/>
      <c r="EF285" s="294"/>
      <c r="EG285" s="286"/>
      <c r="EH285" s="286"/>
      <c r="EI285" s="296"/>
      <c r="EJ285" s="294"/>
      <c r="EK285" s="294"/>
      <c r="EL285" s="294"/>
      <c r="EM285" s="294"/>
      <c r="EN285" s="294"/>
      <c r="EO285" s="8"/>
      <c r="EP285" s="328"/>
      <c r="EQ285" s="328"/>
      <c r="ER285" s="334"/>
      <c r="ES285" s="332"/>
      <c r="ET285" s="332"/>
      <c r="EU285" s="328"/>
      <c r="EV285" s="328"/>
      <c r="EW285" s="334"/>
      <c r="EX285" s="332"/>
      <c r="EY285" s="332"/>
      <c r="EZ285" s="332"/>
      <c r="FA285" s="332"/>
      <c r="FB285" s="332"/>
      <c r="FC285" s="286"/>
      <c r="FD285" s="286"/>
      <c r="FE285" s="296"/>
      <c r="FF285" s="294"/>
      <c r="FG285" s="294"/>
      <c r="FH285" s="286"/>
      <c r="FI285" s="286"/>
      <c r="FJ285" s="296"/>
      <c r="FK285" s="294"/>
      <c r="FL285" s="294"/>
      <c r="FM285" s="294"/>
      <c r="FN285" s="294"/>
      <c r="FO285" s="294"/>
    </row>
    <row r="286" spans="2:171" s="40" customFormat="1" ht="51.6" hidden="1" customHeight="1" x14ac:dyDescent="0.25">
      <c r="B286" s="35"/>
      <c r="C286" s="36"/>
      <c r="D286" s="35"/>
      <c r="E286" s="42"/>
      <c r="F286" s="35"/>
      <c r="G286" s="36"/>
      <c r="H286" s="35"/>
      <c r="I286" s="35"/>
      <c r="J286" s="35"/>
      <c r="K286" s="35"/>
      <c r="L286" s="35"/>
      <c r="M286" s="446">
        <v>7</v>
      </c>
      <c r="N286" s="208" t="s">
        <v>331</v>
      </c>
      <c r="O286" s="208"/>
      <c r="P286" s="417">
        <f t="shared" si="1502"/>
        <v>0</v>
      </c>
      <c r="Q286" s="208"/>
      <c r="R286" s="208"/>
      <c r="S286" s="208"/>
      <c r="T286" s="208"/>
      <c r="U286" s="170"/>
      <c r="V286" s="171"/>
      <c r="W286" s="542">
        <f>W287+W288</f>
        <v>0</v>
      </c>
      <c r="X286" s="542">
        <f>X287+X288</f>
        <v>0</v>
      </c>
      <c r="Y286" s="542"/>
      <c r="Z286" s="542"/>
      <c r="AA286" s="542"/>
      <c r="AB286" s="542">
        <f>AB287+AB288</f>
        <v>12821.901</v>
      </c>
      <c r="AC286" s="542">
        <f>AC287+AC288</f>
        <v>12821.901</v>
      </c>
      <c r="AD286" s="542"/>
      <c r="AE286" s="542"/>
      <c r="AF286" s="542"/>
      <c r="AG286" s="542">
        <f>AG287+AG288</f>
        <v>0</v>
      </c>
      <c r="AH286" s="542">
        <f>AH287+AH288</f>
        <v>0</v>
      </c>
      <c r="AI286" s="542"/>
      <c r="AJ286" s="542"/>
      <c r="AK286" s="542"/>
      <c r="AL286" s="543">
        <f>AL287+AL288</f>
        <v>0</v>
      </c>
      <c r="AM286" s="542">
        <f>AM287+AM288</f>
        <v>0</v>
      </c>
      <c r="AN286" s="542"/>
      <c r="AO286" s="542"/>
      <c r="AP286" s="542"/>
      <c r="AQ286" s="384"/>
      <c r="AR286" s="542">
        <f>AR287+AR288</f>
        <v>0</v>
      </c>
      <c r="AS286" s="542">
        <f>AS287+AS288</f>
        <v>0</v>
      </c>
      <c r="AT286" s="474"/>
      <c r="AU286" s="474"/>
      <c r="AV286" s="474"/>
      <c r="AW286" s="542" t="e">
        <f>AW287+AW288</f>
        <v>#REF!</v>
      </c>
      <c r="AX286" s="542" t="e">
        <f>AX287+AX288</f>
        <v>#REF!</v>
      </c>
      <c r="AY286" s="474"/>
      <c r="AZ286" s="474"/>
      <c r="BA286" s="474"/>
      <c r="BB286" s="542">
        <f>BB287+BB288</f>
        <v>11912.71645</v>
      </c>
      <c r="BC286" s="542"/>
      <c r="BD286" s="474"/>
      <c r="BE286" s="474"/>
      <c r="BF286" s="474"/>
      <c r="BG286" s="542">
        <f>BG287+BG288</f>
        <v>0</v>
      </c>
      <c r="BH286" s="542">
        <f>BH287+BH288</f>
        <v>0</v>
      </c>
      <c r="BI286" s="474"/>
      <c r="BJ286" s="474"/>
      <c r="BK286" s="474"/>
      <c r="BL286" s="542">
        <f>BL287+BL288</f>
        <v>0</v>
      </c>
      <c r="BM286" s="542">
        <f>BM287+BM288</f>
        <v>0</v>
      </c>
      <c r="BN286" s="474"/>
      <c r="BO286" s="474"/>
      <c r="BP286" s="474"/>
      <c r="BQ286" s="542">
        <f>BQ287+BQ288</f>
        <v>0</v>
      </c>
      <c r="BR286" s="542">
        <f>BR287+BR288</f>
        <v>0</v>
      </c>
      <c r="BS286" s="474"/>
      <c r="BT286" s="474"/>
      <c r="BU286" s="474"/>
      <c r="BV286" s="476">
        <f>BV287+BV288</f>
        <v>0</v>
      </c>
      <c r="BW286" s="544">
        <f>BW287+BW288</f>
        <v>0</v>
      </c>
      <c r="BX286" s="544"/>
      <c r="BY286" s="544"/>
      <c r="BZ286" s="544"/>
      <c r="CA286" s="542">
        <f t="shared" si="1501"/>
        <v>0</v>
      </c>
      <c r="CB286" s="544">
        <f>CB287+CB288</f>
        <v>0</v>
      </c>
      <c r="CC286" s="544">
        <f t="shared" ref="CC286" si="1571">BR286+BW286</f>
        <v>0</v>
      </c>
      <c r="CD286" s="544"/>
      <c r="CE286" s="544"/>
      <c r="CF286" s="544"/>
      <c r="CG286" s="543">
        <f>CG287+CG288</f>
        <v>0</v>
      </c>
      <c r="CH286" s="543">
        <f t="shared" si="1517"/>
        <v>0</v>
      </c>
      <c r="CI286" s="543"/>
      <c r="CJ286" s="543"/>
      <c r="CK286" s="543"/>
      <c r="CL286" s="551"/>
      <c r="CM286" s="552"/>
      <c r="CN286" s="552"/>
      <c r="CO286" s="542">
        <f>CO287+CO288</f>
        <v>0</v>
      </c>
      <c r="CP286" s="542">
        <f>CP287+CP288</f>
        <v>0</v>
      </c>
      <c r="CQ286" s="544"/>
      <c r="CR286" s="544"/>
      <c r="CS286" s="544"/>
      <c r="CT286" s="542">
        <f>CT287+CT288</f>
        <v>0</v>
      </c>
      <c r="CU286" s="542">
        <f>CU287+CU288</f>
        <v>0</v>
      </c>
      <c r="CV286" s="544"/>
      <c r="CW286" s="544"/>
      <c r="CX286" s="544"/>
      <c r="CY286" s="552"/>
      <c r="CZ286" s="552"/>
      <c r="DA286" s="552"/>
      <c r="DB286" s="552"/>
      <c r="DC286" s="552"/>
      <c r="DD286" s="552"/>
      <c r="DE286" s="552"/>
      <c r="DF286" s="552"/>
      <c r="DG286" s="554"/>
      <c r="DH286" s="551"/>
      <c r="DI286" s="551"/>
      <c r="DJ286" s="555"/>
      <c r="DK286" s="552"/>
      <c r="DL286" s="552"/>
      <c r="DM286" s="552"/>
      <c r="DN286" s="552"/>
      <c r="DO286" s="552"/>
      <c r="DP286" s="552"/>
      <c r="DQ286" s="552"/>
      <c r="DR286" s="544">
        <f t="shared" si="1519"/>
        <v>0</v>
      </c>
      <c r="DS286" s="542">
        <f>DS287+DS288</f>
        <v>0</v>
      </c>
      <c r="DT286" s="544"/>
      <c r="DU286" s="544"/>
      <c r="DV286" s="556"/>
      <c r="DW286" s="544">
        <f t="shared" si="1504"/>
        <v>0</v>
      </c>
      <c r="DX286" s="544">
        <f>DX287+DX288</f>
        <v>0</v>
      </c>
      <c r="DY286" s="556"/>
      <c r="DZ286" s="544"/>
      <c r="EA286" s="7"/>
      <c r="EB286" s="297">
        <f>EC286+ED286</f>
        <v>0</v>
      </c>
      <c r="EC286" s="297">
        <f>AS287+AS288</f>
        <v>0</v>
      </c>
      <c r="ED286" s="298">
        <v>0</v>
      </c>
      <c r="EE286" s="373" t="e">
        <f t="shared" ref="EE286" si="1572">EC286/EB286</f>
        <v>#DIV/0!</v>
      </c>
      <c r="EF286" s="373" t="e">
        <f t="shared" ref="EF286" si="1573">ED286/EB286</f>
        <v>#DIV/0!</v>
      </c>
      <c r="EG286" s="297">
        <f>EH286+EI286</f>
        <v>0</v>
      </c>
      <c r="EH286" s="297">
        <f>DS286</f>
        <v>0</v>
      </c>
      <c r="EI286" s="298">
        <f>DX286</f>
        <v>0</v>
      </c>
      <c r="EJ286" s="373" t="e">
        <f t="shared" ref="EJ286" si="1574">EH286/EG286</f>
        <v>#DIV/0!</v>
      </c>
      <c r="EK286" s="373" t="e">
        <f t="shared" ref="EK286" si="1575">EI286/EG286</f>
        <v>#DIV/0!</v>
      </c>
      <c r="EL286" s="373"/>
      <c r="EM286" s="297" t="e">
        <f>EG286*EE286</f>
        <v>#DIV/0!</v>
      </c>
      <c r="EN286" s="297" t="e">
        <f>EH286-EM286</f>
        <v>#DIV/0!</v>
      </c>
      <c r="EO286" s="249"/>
      <c r="EP286" s="335"/>
      <c r="EQ286" s="335"/>
      <c r="ER286" s="336"/>
      <c r="ES286" s="335"/>
      <c r="ET286" s="335"/>
      <c r="EU286" s="335"/>
      <c r="EV286" s="335"/>
      <c r="EW286" s="336"/>
      <c r="EX286" s="335"/>
      <c r="EY286" s="335"/>
      <c r="EZ286" s="335"/>
      <c r="FA286" s="335"/>
      <c r="FB286" s="335"/>
      <c r="FC286" s="297"/>
      <c r="FD286" s="297"/>
      <c r="FE286" s="298"/>
      <c r="FF286" s="297"/>
      <c r="FG286" s="297"/>
      <c r="FH286" s="297"/>
      <c r="FI286" s="297"/>
      <c r="FJ286" s="298"/>
      <c r="FK286" s="297"/>
      <c r="FL286" s="297"/>
      <c r="FM286" s="297"/>
      <c r="FN286" s="297"/>
      <c r="FO286" s="297"/>
    </row>
    <row r="287" spans="2:171" s="40" customFormat="1" ht="19.5" hidden="1" customHeight="1" x14ac:dyDescent="0.25">
      <c r="B287" s="35"/>
      <c r="C287" s="36"/>
      <c r="D287" s="35"/>
      <c r="E287" s="42"/>
      <c r="F287" s="35"/>
      <c r="G287" s="36"/>
      <c r="H287" s="35"/>
      <c r="I287" s="35"/>
      <c r="J287" s="35"/>
      <c r="K287" s="35"/>
      <c r="L287" s="35"/>
      <c r="M287" s="401"/>
      <c r="N287" s="66" t="s">
        <v>289</v>
      </c>
      <c r="O287" s="66"/>
      <c r="P287" s="414">
        <f t="shared" si="1502"/>
        <v>0</v>
      </c>
      <c r="Q287" s="66"/>
      <c r="R287" s="66"/>
      <c r="S287" s="66"/>
      <c r="T287" s="66"/>
      <c r="U287" s="169"/>
      <c r="V287" s="169"/>
      <c r="W287" s="459">
        <f>X287+Y287+Z287+AA287</f>
        <v>0</v>
      </c>
      <c r="X287" s="464">
        <v>0</v>
      </c>
      <c r="Y287" s="464"/>
      <c r="Z287" s="542"/>
      <c r="AA287" s="542"/>
      <c r="AB287" s="459">
        <f t="shared" ref="AB287:AB288" si="1576">AC287+AD287+AE287+AF287</f>
        <v>12821.901</v>
      </c>
      <c r="AC287" s="464">
        <v>12821.901</v>
      </c>
      <c r="AD287" s="464"/>
      <c r="AE287" s="542"/>
      <c r="AF287" s="542"/>
      <c r="AG287" s="459">
        <f t="shared" ref="AG287:AG288" si="1577">AH287+AI287+AJ287+AK287</f>
        <v>0</v>
      </c>
      <c r="AH287" s="464"/>
      <c r="AI287" s="464"/>
      <c r="AJ287" s="542"/>
      <c r="AK287" s="542"/>
      <c r="AL287" s="459">
        <f t="shared" ref="AL287:AL288" si="1578">AM287+AN287+AO287+AP287</f>
        <v>0</v>
      </c>
      <c r="AM287" s="464"/>
      <c r="AN287" s="464"/>
      <c r="AO287" s="542"/>
      <c r="AP287" s="542"/>
      <c r="AQ287" s="386"/>
      <c r="AR287" s="459">
        <f t="shared" ref="AR287:AR288" si="1579">AS287+AT287+AU287+AV287</f>
        <v>0</v>
      </c>
      <c r="AS287" s="464">
        <v>0</v>
      </c>
      <c r="AT287" s="474"/>
      <c r="AU287" s="474"/>
      <c r="AV287" s="474"/>
      <c r="AW287" s="459" t="e">
        <f t="shared" ref="AW287:AW288" si="1580">AX287+AY287+AZ287+BA287</f>
        <v>#REF!</v>
      </c>
      <c r="AX287" s="459" t="e">
        <f>#REF!-AS287</f>
        <v>#REF!</v>
      </c>
      <c r="AY287" s="474"/>
      <c r="AZ287" s="474"/>
      <c r="BA287" s="474"/>
      <c r="BB287" s="459">
        <f t="shared" ref="BB287:BB288" si="1581">BC287+BD287+BE287+BF287</f>
        <v>11912.71645</v>
      </c>
      <c r="BC287" s="464">
        <f>9955.9739+719.01923+1237.72332</f>
        <v>11912.71645</v>
      </c>
      <c r="BD287" s="474"/>
      <c r="BE287" s="474"/>
      <c r="BF287" s="474"/>
      <c r="BG287" s="459">
        <f t="shared" ref="BG287:BG288" si="1582">BH287+BI287+BJ287+BK287</f>
        <v>0</v>
      </c>
      <c r="BH287" s="464"/>
      <c r="BI287" s="474"/>
      <c r="BJ287" s="474"/>
      <c r="BK287" s="474"/>
      <c r="BL287" s="459">
        <f t="shared" ref="BL287:BL288" si="1583">BM287+BN287+BO287+BP287</f>
        <v>0</v>
      </c>
      <c r="BM287" s="464">
        <v>0</v>
      </c>
      <c r="BN287" s="474"/>
      <c r="BO287" s="474"/>
      <c r="BP287" s="474"/>
      <c r="BQ287" s="459">
        <f t="shared" ref="BQ287:BQ288" si="1584">BR287+BS287+BT287+BU287</f>
        <v>0</v>
      </c>
      <c r="BR287" s="464"/>
      <c r="BS287" s="474"/>
      <c r="BT287" s="474"/>
      <c r="BU287" s="474"/>
      <c r="BV287" s="473">
        <f t="shared" ref="BV287:BV288" si="1585">BW287+BX287+BY287+BZ287</f>
        <v>0</v>
      </c>
      <c r="BW287" s="460"/>
      <c r="BX287" s="474"/>
      <c r="BY287" s="474"/>
      <c r="BZ287" s="474"/>
      <c r="CA287" s="464">
        <f t="shared" si="1501"/>
        <v>0</v>
      </c>
      <c r="CB287" s="460">
        <f>CC287</f>
        <v>0</v>
      </c>
      <c r="CC287" s="460">
        <f>BR287+BW287</f>
        <v>0</v>
      </c>
      <c r="CD287" s="474"/>
      <c r="CE287" s="474"/>
      <c r="CF287" s="474"/>
      <c r="CG287" s="459">
        <f t="shared" ref="CG287:CG288" si="1586">CH287+CI287+CJ287+CK287</f>
        <v>0</v>
      </c>
      <c r="CH287" s="459">
        <f t="shared" si="1517"/>
        <v>0</v>
      </c>
      <c r="CI287" s="459"/>
      <c r="CJ287" s="459"/>
      <c r="CK287" s="459"/>
      <c r="CL287" s="465"/>
      <c r="CM287" s="467"/>
      <c r="CN287" s="467"/>
      <c r="CO287" s="459">
        <f t="shared" ref="CO287:CO288" si="1587">CP287+CQ287+CR287+CS287</f>
        <v>0</v>
      </c>
      <c r="CP287" s="464"/>
      <c r="CQ287" s="474"/>
      <c r="CR287" s="474"/>
      <c r="CS287" s="474"/>
      <c r="CT287" s="459">
        <f t="shared" ref="CT287:CT288" si="1588">CU287+CV287+CW287+CX287</f>
        <v>0</v>
      </c>
      <c r="CU287" s="464"/>
      <c r="CV287" s="474"/>
      <c r="CW287" s="474"/>
      <c r="CX287" s="474"/>
      <c r="CY287" s="467"/>
      <c r="CZ287" s="467"/>
      <c r="DA287" s="467"/>
      <c r="DB287" s="467"/>
      <c r="DC287" s="467"/>
      <c r="DD287" s="467"/>
      <c r="DE287" s="467"/>
      <c r="DF287" s="467"/>
      <c r="DG287" s="548"/>
      <c r="DH287" s="465"/>
      <c r="DI287" s="465"/>
      <c r="DJ287" s="549"/>
      <c r="DK287" s="467"/>
      <c r="DL287" s="467"/>
      <c r="DM287" s="467"/>
      <c r="DN287" s="467"/>
      <c r="DO287" s="467"/>
      <c r="DP287" s="467"/>
      <c r="DQ287" s="467"/>
      <c r="DR287" s="460">
        <f t="shared" si="1519"/>
        <v>0</v>
      </c>
      <c r="DS287" s="464"/>
      <c r="DT287" s="460"/>
      <c r="DU287" s="460"/>
      <c r="DV287" s="498"/>
      <c r="DW287" s="460">
        <f t="shared" si="1504"/>
        <v>0</v>
      </c>
      <c r="DX287" s="460"/>
      <c r="DY287" s="529"/>
      <c r="DZ287" s="474"/>
      <c r="EA287" s="7"/>
      <c r="EB287" s="286"/>
      <c r="EC287" s="286"/>
      <c r="ED287" s="296"/>
      <c r="EE287" s="294"/>
      <c r="EF287" s="294"/>
      <c r="EG287" s="286"/>
      <c r="EH287" s="286"/>
      <c r="EI287" s="296"/>
      <c r="EJ287" s="294"/>
      <c r="EK287" s="294"/>
      <c r="EL287" s="294"/>
      <c r="EM287" s="294"/>
      <c r="EN287" s="294"/>
      <c r="EO287" s="8"/>
      <c r="EP287" s="328"/>
      <c r="EQ287" s="328"/>
      <c r="ER287" s="334"/>
      <c r="ES287" s="332"/>
      <c r="ET287" s="332"/>
      <c r="EU287" s="328"/>
      <c r="EV287" s="328"/>
      <c r="EW287" s="334"/>
      <c r="EX287" s="332"/>
      <c r="EY287" s="332"/>
      <c r="EZ287" s="332"/>
      <c r="FA287" s="332"/>
      <c r="FB287" s="332"/>
      <c r="FC287" s="286"/>
      <c r="FD287" s="286"/>
      <c r="FE287" s="296"/>
      <c r="FF287" s="294"/>
      <c r="FG287" s="294"/>
      <c r="FH287" s="286"/>
      <c r="FI287" s="286"/>
      <c r="FJ287" s="296"/>
      <c r="FK287" s="294"/>
      <c r="FL287" s="294"/>
      <c r="FM287" s="294"/>
      <c r="FN287" s="294"/>
      <c r="FO287" s="294"/>
    </row>
    <row r="288" spans="2:171" s="40" customFormat="1" ht="19.5" hidden="1" customHeight="1" x14ac:dyDescent="0.25">
      <c r="B288" s="35"/>
      <c r="C288" s="36"/>
      <c r="D288" s="35"/>
      <c r="E288" s="42"/>
      <c r="F288" s="35"/>
      <c r="G288" s="36"/>
      <c r="H288" s="35"/>
      <c r="I288" s="35"/>
      <c r="J288" s="35"/>
      <c r="K288" s="35"/>
      <c r="L288" s="35"/>
      <c r="M288" s="401"/>
      <c r="N288" s="66" t="s">
        <v>288</v>
      </c>
      <c r="O288" s="66"/>
      <c r="P288" s="414">
        <f t="shared" si="1502"/>
        <v>0</v>
      </c>
      <c r="Q288" s="66"/>
      <c r="R288" s="66"/>
      <c r="S288" s="66"/>
      <c r="T288" s="66"/>
      <c r="U288" s="169"/>
      <c r="V288" s="169"/>
      <c r="W288" s="459">
        <f>X288+Y288+Z288+AA288</f>
        <v>0</v>
      </c>
      <c r="X288" s="464">
        <v>0</v>
      </c>
      <c r="Y288" s="464"/>
      <c r="Z288" s="542"/>
      <c r="AA288" s="542"/>
      <c r="AB288" s="459">
        <f t="shared" si="1576"/>
        <v>0</v>
      </c>
      <c r="AC288" s="464"/>
      <c r="AD288" s="464"/>
      <c r="AE288" s="542"/>
      <c r="AF288" s="542"/>
      <c r="AG288" s="459">
        <f t="shared" si="1577"/>
        <v>0</v>
      </c>
      <c r="AH288" s="464"/>
      <c r="AI288" s="464"/>
      <c r="AJ288" s="542"/>
      <c r="AK288" s="542"/>
      <c r="AL288" s="459">
        <f t="shared" si="1578"/>
        <v>0</v>
      </c>
      <c r="AM288" s="464"/>
      <c r="AN288" s="464"/>
      <c r="AO288" s="542"/>
      <c r="AP288" s="542"/>
      <c r="AQ288" s="386"/>
      <c r="AR288" s="459">
        <f t="shared" si="1579"/>
        <v>0</v>
      </c>
      <c r="AS288" s="464">
        <v>0</v>
      </c>
      <c r="AT288" s="474"/>
      <c r="AU288" s="474"/>
      <c r="AV288" s="474"/>
      <c r="AW288" s="459" t="e">
        <f t="shared" si="1580"/>
        <v>#REF!</v>
      </c>
      <c r="AX288" s="459" t="e">
        <f>#REF!-AS288</f>
        <v>#REF!</v>
      </c>
      <c r="AY288" s="474"/>
      <c r="AZ288" s="474"/>
      <c r="BA288" s="474"/>
      <c r="BB288" s="459">
        <f t="shared" si="1581"/>
        <v>0</v>
      </c>
      <c r="BC288" s="464"/>
      <c r="BD288" s="474"/>
      <c r="BE288" s="474"/>
      <c r="BF288" s="474"/>
      <c r="BG288" s="459">
        <f t="shared" si="1582"/>
        <v>0</v>
      </c>
      <c r="BH288" s="464"/>
      <c r="BI288" s="474"/>
      <c r="BJ288" s="474"/>
      <c r="BK288" s="474"/>
      <c r="BL288" s="459">
        <f t="shared" si="1583"/>
        <v>0</v>
      </c>
      <c r="BM288" s="464">
        <v>0</v>
      </c>
      <c r="BN288" s="474"/>
      <c r="BO288" s="474"/>
      <c r="BP288" s="474"/>
      <c r="BQ288" s="459">
        <f t="shared" si="1584"/>
        <v>0</v>
      </c>
      <c r="BR288" s="464"/>
      <c r="BS288" s="474"/>
      <c r="BT288" s="474"/>
      <c r="BU288" s="474"/>
      <c r="BV288" s="473">
        <f t="shared" si="1585"/>
        <v>0</v>
      </c>
      <c r="BW288" s="460"/>
      <c r="BX288" s="474"/>
      <c r="BY288" s="474"/>
      <c r="BZ288" s="474"/>
      <c r="CA288" s="464">
        <f t="shared" si="1501"/>
        <v>0</v>
      </c>
      <c r="CB288" s="460">
        <f>CC288</f>
        <v>0</v>
      </c>
      <c r="CC288" s="460">
        <f>BR288+BW288</f>
        <v>0</v>
      </c>
      <c r="CD288" s="474"/>
      <c r="CE288" s="474"/>
      <c r="CF288" s="474"/>
      <c r="CG288" s="459">
        <f t="shared" si="1586"/>
        <v>0</v>
      </c>
      <c r="CH288" s="459">
        <f t="shared" si="1517"/>
        <v>0</v>
      </c>
      <c r="CI288" s="459"/>
      <c r="CJ288" s="459"/>
      <c r="CK288" s="459"/>
      <c r="CL288" s="465"/>
      <c r="CM288" s="467"/>
      <c r="CN288" s="467"/>
      <c r="CO288" s="459">
        <f t="shared" si="1587"/>
        <v>0</v>
      </c>
      <c r="CP288" s="464"/>
      <c r="CQ288" s="474"/>
      <c r="CR288" s="474"/>
      <c r="CS288" s="474"/>
      <c r="CT288" s="459">
        <f t="shared" si="1588"/>
        <v>0</v>
      </c>
      <c r="CU288" s="464"/>
      <c r="CV288" s="474"/>
      <c r="CW288" s="474"/>
      <c r="CX288" s="474"/>
      <c r="CY288" s="467"/>
      <c r="CZ288" s="467"/>
      <c r="DA288" s="467"/>
      <c r="DB288" s="467"/>
      <c r="DC288" s="467"/>
      <c r="DD288" s="467"/>
      <c r="DE288" s="467"/>
      <c r="DF288" s="467"/>
      <c r="DG288" s="548"/>
      <c r="DH288" s="465"/>
      <c r="DI288" s="465"/>
      <c r="DJ288" s="549"/>
      <c r="DK288" s="467"/>
      <c r="DL288" s="467"/>
      <c r="DM288" s="467"/>
      <c r="DN288" s="467"/>
      <c r="DO288" s="467"/>
      <c r="DP288" s="467"/>
      <c r="DQ288" s="467"/>
      <c r="DR288" s="460">
        <f t="shared" si="1519"/>
        <v>0</v>
      </c>
      <c r="DS288" s="464"/>
      <c r="DT288" s="460"/>
      <c r="DU288" s="460"/>
      <c r="DV288" s="498"/>
      <c r="DW288" s="460">
        <f t="shared" si="1504"/>
        <v>0</v>
      </c>
      <c r="DX288" s="460"/>
      <c r="DY288" s="529"/>
      <c r="DZ288" s="474"/>
      <c r="EA288" s="7"/>
      <c r="EB288" s="286"/>
      <c r="EC288" s="286"/>
      <c r="ED288" s="296"/>
      <c r="EE288" s="294"/>
      <c r="EF288" s="294"/>
      <c r="EG288" s="286"/>
      <c r="EH288" s="286"/>
      <c r="EI288" s="296"/>
      <c r="EJ288" s="294"/>
      <c r="EK288" s="294"/>
      <c r="EL288" s="294"/>
      <c r="EM288" s="294"/>
      <c r="EN288" s="294"/>
      <c r="EO288" s="8"/>
      <c r="EP288" s="328"/>
      <c r="EQ288" s="328"/>
      <c r="ER288" s="334"/>
      <c r="ES288" s="332"/>
      <c r="ET288" s="332"/>
      <c r="EU288" s="328"/>
      <c r="EV288" s="328"/>
      <c r="EW288" s="334"/>
      <c r="EX288" s="332"/>
      <c r="EY288" s="332"/>
      <c r="EZ288" s="332"/>
      <c r="FA288" s="332"/>
      <c r="FB288" s="332"/>
      <c r="FC288" s="286"/>
      <c r="FD288" s="286"/>
      <c r="FE288" s="296"/>
      <c r="FF288" s="294"/>
      <c r="FG288" s="294"/>
      <c r="FH288" s="286"/>
      <c r="FI288" s="286"/>
      <c r="FJ288" s="296"/>
      <c r="FK288" s="294"/>
      <c r="FL288" s="294"/>
      <c r="FM288" s="294"/>
      <c r="FN288" s="294"/>
      <c r="FO288" s="294"/>
    </row>
    <row r="289" spans="2:171" s="40" customFormat="1" ht="51.6" hidden="1" customHeight="1" x14ac:dyDescent="0.25">
      <c r="B289" s="35"/>
      <c r="C289" s="36"/>
      <c r="D289" s="35"/>
      <c r="E289" s="42"/>
      <c r="F289" s="35"/>
      <c r="G289" s="36"/>
      <c r="H289" s="35"/>
      <c r="I289" s="35"/>
      <c r="J289" s="35"/>
      <c r="K289" s="35"/>
      <c r="L289" s="35"/>
      <c r="M289" s="446">
        <v>8</v>
      </c>
      <c r="N289" s="208" t="s">
        <v>332</v>
      </c>
      <c r="O289" s="208"/>
      <c r="P289" s="417">
        <f t="shared" si="1502"/>
        <v>0</v>
      </c>
      <c r="Q289" s="208"/>
      <c r="R289" s="208"/>
      <c r="S289" s="208"/>
      <c r="T289" s="208"/>
      <c r="U289" s="171"/>
      <c r="V289" s="171"/>
      <c r="W289" s="542">
        <f>W290+W291</f>
        <v>0</v>
      </c>
      <c r="X289" s="542">
        <f>X290+X291</f>
        <v>0</v>
      </c>
      <c r="Y289" s="542"/>
      <c r="Z289" s="542"/>
      <c r="AA289" s="542"/>
      <c r="AB289" s="542">
        <f>AB290+AB291</f>
        <v>29855.4</v>
      </c>
      <c r="AC289" s="542">
        <f>AC290+AC291</f>
        <v>29855.4</v>
      </c>
      <c r="AD289" s="542"/>
      <c r="AE289" s="542"/>
      <c r="AF289" s="542"/>
      <c r="AG289" s="542">
        <f>AG290+AG291</f>
        <v>0</v>
      </c>
      <c r="AH289" s="542">
        <f>AH290+AH291</f>
        <v>0</v>
      </c>
      <c r="AI289" s="542"/>
      <c r="AJ289" s="542"/>
      <c r="AK289" s="542"/>
      <c r="AL289" s="543">
        <f>AL290+AL291</f>
        <v>0</v>
      </c>
      <c r="AM289" s="542">
        <f>AM290+AM291</f>
        <v>0</v>
      </c>
      <c r="AN289" s="542"/>
      <c r="AO289" s="542"/>
      <c r="AP289" s="542"/>
      <c r="AQ289" s="384"/>
      <c r="AR289" s="542">
        <f>AR290+AR291</f>
        <v>0</v>
      </c>
      <c r="AS289" s="542">
        <f>AS290+AS291</f>
        <v>0</v>
      </c>
      <c r="AT289" s="474"/>
      <c r="AU289" s="474"/>
      <c r="AV289" s="474"/>
      <c r="AW289" s="542" t="e">
        <f>AW290+AW291</f>
        <v>#REF!</v>
      </c>
      <c r="AX289" s="542" t="e">
        <f>AX290+AX291</f>
        <v>#REF!</v>
      </c>
      <c r="AY289" s="474"/>
      <c r="AZ289" s="474"/>
      <c r="BA289" s="474"/>
      <c r="BB289" s="542">
        <f>BB290+BB291</f>
        <v>24778.6</v>
      </c>
      <c r="BC289" s="542"/>
      <c r="BD289" s="474"/>
      <c r="BE289" s="474"/>
      <c r="BF289" s="474"/>
      <c r="BG289" s="542">
        <f>BG290+BG291</f>
        <v>0</v>
      </c>
      <c r="BH289" s="542">
        <f>BH290+BH291</f>
        <v>0</v>
      </c>
      <c r="BI289" s="474"/>
      <c r="BJ289" s="474"/>
      <c r="BK289" s="474"/>
      <c r="BL289" s="542">
        <f>BL290+BL291</f>
        <v>0</v>
      </c>
      <c r="BM289" s="542">
        <f>BM290+BM291</f>
        <v>0</v>
      </c>
      <c r="BN289" s="474"/>
      <c r="BO289" s="474"/>
      <c r="BP289" s="474"/>
      <c r="BQ289" s="542">
        <f>BQ290+BQ291</f>
        <v>0</v>
      </c>
      <c r="BR289" s="542">
        <f>BR290+BR291</f>
        <v>0</v>
      </c>
      <c r="BS289" s="474"/>
      <c r="BT289" s="474"/>
      <c r="BU289" s="474"/>
      <c r="BV289" s="476">
        <f>BV290+BV291</f>
        <v>0</v>
      </c>
      <c r="BW289" s="544">
        <f>BW290+BW291</f>
        <v>0</v>
      </c>
      <c r="BX289" s="544"/>
      <c r="BY289" s="544"/>
      <c r="BZ289" s="544"/>
      <c r="CA289" s="542">
        <f t="shared" si="1501"/>
        <v>0</v>
      </c>
      <c r="CB289" s="544">
        <f>CB290+CB291</f>
        <v>0</v>
      </c>
      <c r="CC289" s="544">
        <f t="shared" ref="CC289" si="1589">BR289+BW289</f>
        <v>0</v>
      </c>
      <c r="CD289" s="544"/>
      <c r="CE289" s="544"/>
      <c r="CF289" s="544"/>
      <c r="CG289" s="543">
        <f>CG290+CG291</f>
        <v>0</v>
      </c>
      <c r="CH289" s="543">
        <f t="shared" si="1517"/>
        <v>0</v>
      </c>
      <c r="CI289" s="543"/>
      <c r="CJ289" s="543"/>
      <c r="CK289" s="543"/>
      <c r="CL289" s="551"/>
      <c r="CM289" s="552"/>
      <c r="CN289" s="552"/>
      <c r="CO289" s="542">
        <f>CO290+CO291</f>
        <v>0</v>
      </c>
      <c r="CP289" s="542">
        <f>CP290+CP291</f>
        <v>0</v>
      </c>
      <c r="CQ289" s="544"/>
      <c r="CR289" s="544"/>
      <c r="CS289" s="544"/>
      <c r="CT289" s="542">
        <f>CT290+CT291</f>
        <v>0</v>
      </c>
      <c r="CU289" s="542">
        <f>CU290+CU291</f>
        <v>0</v>
      </c>
      <c r="CV289" s="544"/>
      <c r="CW289" s="544"/>
      <c r="CX289" s="544"/>
      <c r="CY289" s="552"/>
      <c r="CZ289" s="552"/>
      <c r="DA289" s="552"/>
      <c r="DB289" s="552"/>
      <c r="DC289" s="552"/>
      <c r="DD289" s="552"/>
      <c r="DE289" s="552"/>
      <c r="DF289" s="552"/>
      <c r="DG289" s="554"/>
      <c r="DH289" s="551"/>
      <c r="DI289" s="551"/>
      <c r="DJ289" s="555"/>
      <c r="DK289" s="552"/>
      <c r="DL289" s="552"/>
      <c r="DM289" s="552"/>
      <c r="DN289" s="552"/>
      <c r="DO289" s="552"/>
      <c r="DP289" s="552"/>
      <c r="DQ289" s="552"/>
      <c r="DR289" s="544">
        <f t="shared" si="1519"/>
        <v>0</v>
      </c>
      <c r="DS289" s="542">
        <f>DS290+DS291</f>
        <v>0</v>
      </c>
      <c r="DT289" s="460"/>
      <c r="DU289" s="460"/>
      <c r="DV289" s="498"/>
      <c r="DW289" s="544">
        <f t="shared" si="1504"/>
        <v>0</v>
      </c>
      <c r="DX289" s="544">
        <f>DX290+DX291</f>
        <v>0</v>
      </c>
      <c r="DY289" s="529"/>
      <c r="DZ289" s="474"/>
      <c r="EA289" s="7"/>
      <c r="EB289" s="297">
        <f>EC289+ED289</f>
        <v>0</v>
      </c>
      <c r="EC289" s="297">
        <f>AS290+AS291</f>
        <v>0</v>
      </c>
      <c r="ED289" s="298"/>
      <c r="EE289" s="373" t="e">
        <f t="shared" ref="EE289" si="1590">EC289/EB289</f>
        <v>#DIV/0!</v>
      </c>
      <c r="EF289" s="373" t="e">
        <f t="shared" ref="EF289" si="1591">ED289/EB289</f>
        <v>#DIV/0!</v>
      </c>
      <c r="EG289" s="297">
        <f>EH289+EI289</f>
        <v>0</v>
      </c>
      <c r="EH289" s="297">
        <f>DS289</f>
        <v>0</v>
      </c>
      <c r="EI289" s="298">
        <f>DX289</f>
        <v>0</v>
      </c>
      <c r="EJ289" s="373" t="e">
        <f t="shared" ref="EJ289" si="1592">EH289/EG289</f>
        <v>#DIV/0!</v>
      </c>
      <c r="EK289" s="373" t="e">
        <f t="shared" ref="EK289" si="1593">EI289/EG289</f>
        <v>#DIV/0!</v>
      </c>
      <c r="EL289" s="373"/>
      <c r="EM289" s="297" t="e">
        <f>EG289*EE289</f>
        <v>#DIV/0!</v>
      </c>
      <c r="EN289" s="297" t="e">
        <f>EH289-EM289</f>
        <v>#DIV/0!</v>
      </c>
      <c r="EO289" s="8"/>
      <c r="EP289" s="335"/>
      <c r="EQ289" s="335"/>
      <c r="ER289" s="334"/>
      <c r="ES289" s="332"/>
      <c r="ET289" s="332"/>
      <c r="EU289" s="335"/>
      <c r="EV289" s="335"/>
      <c r="EW289" s="334"/>
      <c r="EX289" s="332"/>
      <c r="EY289" s="332"/>
      <c r="EZ289" s="332"/>
      <c r="FA289" s="332"/>
      <c r="FB289" s="332"/>
      <c r="FC289" s="297"/>
      <c r="FD289" s="297"/>
      <c r="FE289" s="296"/>
      <c r="FF289" s="294"/>
      <c r="FG289" s="294"/>
      <c r="FH289" s="297"/>
      <c r="FI289" s="297"/>
      <c r="FJ289" s="296"/>
      <c r="FK289" s="294"/>
      <c r="FL289" s="294"/>
      <c r="FM289" s="294"/>
      <c r="FN289" s="294"/>
      <c r="FO289" s="294"/>
    </row>
    <row r="290" spans="2:171" s="40" customFormat="1" ht="19.5" hidden="1" customHeight="1" x14ac:dyDescent="0.25">
      <c r="B290" s="35"/>
      <c r="C290" s="36"/>
      <c r="D290" s="35"/>
      <c r="E290" s="42"/>
      <c r="F290" s="35"/>
      <c r="G290" s="36"/>
      <c r="H290" s="35"/>
      <c r="I290" s="35"/>
      <c r="J290" s="35"/>
      <c r="K290" s="35"/>
      <c r="L290" s="35"/>
      <c r="M290" s="65"/>
      <c r="N290" s="66" t="s">
        <v>289</v>
      </c>
      <c r="O290" s="66"/>
      <c r="P290" s="414">
        <f t="shared" si="1502"/>
        <v>0</v>
      </c>
      <c r="Q290" s="66"/>
      <c r="R290" s="66"/>
      <c r="S290" s="66"/>
      <c r="T290" s="66"/>
      <c r="U290" s="169"/>
      <c r="V290" s="169"/>
      <c r="W290" s="459">
        <f>X290+Y290+Z290+AA290</f>
        <v>0</v>
      </c>
      <c r="X290" s="464"/>
      <c r="Y290" s="464"/>
      <c r="Z290" s="542"/>
      <c r="AA290" s="542"/>
      <c r="AB290" s="459">
        <f t="shared" ref="AB290:AB291" si="1594">AC290+AD290+AE290+AF290</f>
        <v>29855.4</v>
      </c>
      <c r="AC290" s="464">
        <v>29855.4</v>
      </c>
      <c r="AD290" s="464"/>
      <c r="AE290" s="542"/>
      <c r="AF290" s="542"/>
      <c r="AG290" s="459">
        <f t="shared" ref="AG290:AG291" si="1595">AH290+AI290+AJ290+AK290</f>
        <v>0</v>
      </c>
      <c r="AH290" s="464"/>
      <c r="AI290" s="464"/>
      <c r="AJ290" s="542"/>
      <c r="AK290" s="542"/>
      <c r="AL290" s="459">
        <f t="shared" ref="AL290:AL291" si="1596">AM290+AN290+AO290+AP290</f>
        <v>0</v>
      </c>
      <c r="AM290" s="464"/>
      <c r="AN290" s="464"/>
      <c r="AO290" s="542"/>
      <c r="AP290" s="542"/>
      <c r="AQ290" s="386"/>
      <c r="AR290" s="459">
        <f t="shared" ref="AR290:AR291" si="1597">AS290+AT290+AU290+AV290</f>
        <v>0</v>
      </c>
      <c r="AS290" s="464"/>
      <c r="AT290" s="474"/>
      <c r="AU290" s="474"/>
      <c r="AV290" s="474"/>
      <c r="AW290" s="459" t="e">
        <f t="shared" ref="AW290:AW291" si="1598">AX290+AY290+AZ290+BA290</f>
        <v>#REF!</v>
      </c>
      <c r="AX290" s="459" t="e">
        <f>#REF!-AS290</f>
        <v>#REF!</v>
      </c>
      <c r="AY290" s="474"/>
      <c r="AZ290" s="474"/>
      <c r="BA290" s="474"/>
      <c r="BB290" s="459">
        <f t="shared" ref="BB290:BB291" si="1599">BC290+BD290+BE290+BF290</f>
        <v>24778.6</v>
      </c>
      <c r="BC290" s="464">
        <f>11220.3+585+616.311+12356.989</f>
        <v>24778.6</v>
      </c>
      <c r="BD290" s="474"/>
      <c r="BE290" s="474"/>
      <c r="BF290" s="474"/>
      <c r="BG290" s="459">
        <f t="shared" ref="BG290:BG291" si="1600">BH290+BI290+BJ290+BK290</f>
        <v>0</v>
      </c>
      <c r="BH290" s="464"/>
      <c r="BI290" s="474"/>
      <c r="BJ290" s="474"/>
      <c r="BK290" s="474"/>
      <c r="BL290" s="459">
        <f t="shared" ref="BL290:BL291" si="1601">BM290+BN290+BO290+BP290</f>
        <v>0</v>
      </c>
      <c r="BM290" s="460"/>
      <c r="BN290" s="474"/>
      <c r="BO290" s="474"/>
      <c r="BP290" s="474"/>
      <c r="BQ290" s="459">
        <f t="shared" ref="BQ290:BQ294" si="1602">BR290+BS290+BT290+BU290</f>
        <v>0</v>
      </c>
      <c r="BR290" s="464"/>
      <c r="BS290" s="474"/>
      <c r="BT290" s="474"/>
      <c r="BU290" s="474"/>
      <c r="BV290" s="473">
        <f t="shared" ref="BV290:BV294" si="1603">BW290+BX290+BY290+BZ290</f>
        <v>0</v>
      </c>
      <c r="BW290" s="460"/>
      <c r="BX290" s="474"/>
      <c r="BY290" s="474"/>
      <c r="BZ290" s="474"/>
      <c r="CA290" s="464">
        <f t="shared" si="1501"/>
        <v>0</v>
      </c>
      <c r="CB290" s="460">
        <f>CC290</f>
        <v>0</v>
      </c>
      <c r="CC290" s="460">
        <f>BR290+BW290</f>
        <v>0</v>
      </c>
      <c r="CD290" s="474"/>
      <c r="CE290" s="474"/>
      <c r="CF290" s="474"/>
      <c r="CG290" s="459">
        <f t="shared" ref="CG290:CG294" si="1604">CH290+CI290+CJ290+CK290</f>
        <v>0</v>
      </c>
      <c r="CH290" s="459">
        <f t="shared" si="1517"/>
        <v>0</v>
      </c>
      <c r="CI290" s="459"/>
      <c r="CJ290" s="459"/>
      <c r="CK290" s="459"/>
      <c r="CL290" s="465"/>
      <c r="CM290" s="467"/>
      <c r="CN290" s="467"/>
      <c r="CO290" s="459">
        <f t="shared" ref="CO290:CO294" si="1605">CP290+CQ290+CR290+CS290</f>
        <v>0</v>
      </c>
      <c r="CP290" s="464"/>
      <c r="CQ290" s="474"/>
      <c r="CR290" s="474"/>
      <c r="CS290" s="474"/>
      <c r="CT290" s="459">
        <f t="shared" ref="CT290:CT294" si="1606">CU290+CV290+CW290+CX290</f>
        <v>0</v>
      </c>
      <c r="CU290" s="464"/>
      <c r="CV290" s="474"/>
      <c r="CW290" s="474"/>
      <c r="CX290" s="474"/>
      <c r="CY290" s="467"/>
      <c r="CZ290" s="467"/>
      <c r="DA290" s="467"/>
      <c r="DB290" s="467"/>
      <c r="DC290" s="467"/>
      <c r="DD290" s="467"/>
      <c r="DE290" s="467"/>
      <c r="DF290" s="467"/>
      <c r="DG290" s="548"/>
      <c r="DH290" s="465"/>
      <c r="DI290" s="465"/>
      <c r="DJ290" s="549"/>
      <c r="DK290" s="467"/>
      <c r="DL290" s="467"/>
      <c r="DM290" s="467"/>
      <c r="DN290" s="467"/>
      <c r="DO290" s="467"/>
      <c r="DP290" s="467"/>
      <c r="DQ290" s="467"/>
      <c r="DR290" s="460">
        <f t="shared" si="1519"/>
        <v>0</v>
      </c>
      <c r="DS290" s="460"/>
      <c r="DT290" s="460"/>
      <c r="DU290" s="460"/>
      <c r="DV290" s="498"/>
      <c r="DW290" s="460">
        <f t="shared" si="1504"/>
        <v>0</v>
      </c>
      <c r="DX290" s="460"/>
      <c r="DY290" s="529"/>
      <c r="DZ290" s="474"/>
      <c r="EA290" s="7"/>
      <c r="EB290" s="286"/>
      <c r="EC290" s="286"/>
      <c r="ED290" s="296"/>
      <c r="EE290" s="294"/>
      <c r="EF290" s="294"/>
      <c r="EG290" s="286"/>
      <c r="EH290" s="286"/>
      <c r="EI290" s="296"/>
      <c r="EJ290" s="294"/>
      <c r="EK290" s="294"/>
      <c r="EL290" s="294"/>
      <c r="EM290" s="294"/>
      <c r="EN290" s="294"/>
      <c r="EO290" s="8"/>
      <c r="EP290" s="328"/>
      <c r="EQ290" s="328"/>
      <c r="ER290" s="334"/>
      <c r="ES290" s="332"/>
      <c r="ET290" s="332"/>
      <c r="EU290" s="328"/>
      <c r="EV290" s="328"/>
      <c r="EW290" s="334"/>
      <c r="EX290" s="332"/>
      <c r="EY290" s="332"/>
      <c r="EZ290" s="332"/>
      <c r="FA290" s="332"/>
      <c r="FB290" s="332"/>
      <c r="FC290" s="286"/>
      <c r="FD290" s="286"/>
      <c r="FE290" s="296"/>
      <c r="FF290" s="294"/>
      <c r="FG290" s="294"/>
      <c r="FH290" s="286"/>
      <c r="FI290" s="286"/>
      <c r="FJ290" s="296"/>
      <c r="FK290" s="294"/>
      <c r="FL290" s="294"/>
      <c r="FM290" s="294"/>
      <c r="FN290" s="294"/>
      <c r="FO290" s="294"/>
    </row>
    <row r="291" spans="2:171" s="40" customFormat="1" ht="19.5" hidden="1" customHeight="1" x14ac:dyDescent="0.25">
      <c r="B291" s="35"/>
      <c r="C291" s="36"/>
      <c r="D291" s="35"/>
      <c r="E291" s="42"/>
      <c r="F291" s="35"/>
      <c r="G291" s="36"/>
      <c r="H291" s="35"/>
      <c r="I291" s="35"/>
      <c r="J291" s="35"/>
      <c r="K291" s="35"/>
      <c r="L291" s="35"/>
      <c r="M291" s="65"/>
      <c r="N291" s="66" t="s">
        <v>288</v>
      </c>
      <c r="O291" s="66"/>
      <c r="P291" s="414">
        <f t="shared" si="1502"/>
        <v>0</v>
      </c>
      <c r="Q291" s="66"/>
      <c r="R291" s="66"/>
      <c r="S291" s="66"/>
      <c r="T291" s="66"/>
      <c r="U291" s="169"/>
      <c r="V291" s="169"/>
      <c r="W291" s="459">
        <f>X291+Y291+Z291+AA291</f>
        <v>0</v>
      </c>
      <c r="X291" s="464">
        <v>0</v>
      </c>
      <c r="Y291" s="464"/>
      <c r="Z291" s="542"/>
      <c r="AA291" s="542"/>
      <c r="AB291" s="459">
        <f t="shared" si="1594"/>
        <v>0</v>
      </c>
      <c r="AC291" s="464"/>
      <c r="AD291" s="464"/>
      <c r="AE291" s="542"/>
      <c r="AF291" s="542"/>
      <c r="AG291" s="459">
        <f t="shared" si="1595"/>
        <v>0</v>
      </c>
      <c r="AH291" s="464"/>
      <c r="AI291" s="464"/>
      <c r="AJ291" s="542"/>
      <c r="AK291" s="542"/>
      <c r="AL291" s="459">
        <f t="shared" si="1596"/>
        <v>0</v>
      </c>
      <c r="AM291" s="464"/>
      <c r="AN291" s="464"/>
      <c r="AO291" s="542"/>
      <c r="AP291" s="542"/>
      <c r="AQ291" s="386"/>
      <c r="AR291" s="459">
        <f t="shared" si="1597"/>
        <v>0</v>
      </c>
      <c r="AS291" s="464">
        <v>0</v>
      </c>
      <c r="AT291" s="474"/>
      <c r="AU291" s="474"/>
      <c r="AV291" s="474"/>
      <c r="AW291" s="459" t="e">
        <f t="shared" si="1598"/>
        <v>#REF!</v>
      </c>
      <c r="AX291" s="459" t="e">
        <f>#REF!-AS291</f>
        <v>#REF!</v>
      </c>
      <c r="AY291" s="474"/>
      <c r="AZ291" s="474"/>
      <c r="BA291" s="474"/>
      <c r="BB291" s="459">
        <f t="shared" si="1599"/>
        <v>0</v>
      </c>
      <c r="BC291" s="464"/>
      <c r="BD291" s="474"/>
      <c r="BE291" s="474"/>
      <c r="BF291" s="474"/>
      <c r="BG291" s="459">
        <f t="shared" si="1600"/>
        <v>0</v>
      </c>
      <c r="BH291" s="464"/>
      <c r="BI291" s="474"/>
      <c r="BJ291" s="474"/>
      <c r="BK291" s="474"/>
      <c r="BL291" s="459">
        <f t="shared" si="1601"/>
        <v>0</v>
      </c>
      <c r="BM291" s="464">
        <v>0</v>
      </c>
      <c r="BN291" s="474"/>
      <c r="BO291" s="474"/>
      <c r="BP291" s="474"/>
      <c r="BQ291" s="459">
        <f t="shared" si="1602"/>
        <v>0</v>
      </c>
      <c r="BR291" s="464"/>
      <c r="BS291" s="474"/>
      <c r="BT291" s="474"/>
      <c r="BU291" s="474"/>
      <c r="BV291" s="473">
        <f t="shared" si="1603"/>
        <v>0</v>
      </c>
      <c r="BW291" s="460"/>
      <c r="BX291" s="474"/>
      <c r="BY291" s="474"/>
      <c r="BZ291" s="474"/>
      <c r="CA291" s="464">
        <f t="shared" si="1501"/>
        <v>0</v>
      </c>
      <c r="CB291" s="460">
        <f>CC291</f>
        <v>0</v>
      </c>
      <c r="CC291" s="460">
        <f>BR291+BW291</f>
        <v>0</v>
      </c>
      <c r="CD291" s="474"/>
      <c r="CE291" s="474"/>
      <c r="CF291" s="474"/>
      <c r="CG291" s="459">
        <f t="shared" si="1604"/>
        <v>0</v>
      </c>
      <c r="CH291" s="459">
        <f t="shared" si="1517"/>
        <v>0</v>
      </c>
      <c r="CI291" s="459"/>
      <c r="CJ291" s="459"/>
      <c r="CK291" s="459"/>
      <c r="CL291" s="465"/>
      <c r="CM291" s="467"/>
      <c r="CN291" s="467"/>
      <c r="CO291" s="459">
        <f t="shared" si="1605"/>
        <v>0</v>
      </c>
      <c r="CP291" s="464"/>
      <c r="CQ291" s="474"/>
      <c r="CR291" s="474"/>
      <c r="CS291" s="474"/>
      <c r="CT291" s="459">
        <f t="shared" si="1606"/>
        <v>0</v>
      </c>
      <c r="CU291" s="464"/>
      <c r="CV291" s="474"/>
      <c r="CW291" s="474"/>
      <c r="CX291" s="474"/>
      <c r="CY291" s="467"/>
      <c r="CZ291" s="467"/>
      <c r="DA291" s="467"/>
      <c r="DB291" s="467"/>
      <c r="DC291" s="467"/>
      <c r="DD291" s="467"/>
      <c r="DE291" s="467"/>
      <c r="DF291" s="467"/>
      <c r="DG291" s="548"/>
      <c r="DH291" s="465"/>
      <c r="DI291" s="465"/>
      <c r="DJ291" s="549"/>
      <c r="DK291" s="467"/>
      <c r="DL291" s="467"/>
      <c r="DM291" s="467"/>
      <c r="DN291" s="467"/>
      <c r="DO291" s="467"/>
      <c r="DP291" s="467"/>
      <c r="DQ291" s="467"/>
      <c r="DR291" s="460">
        <f t="shared" si="1519"/>
        <v>0</v>
      </c>
      <c r="DS291" s="464"/>
      <c r="DT291" s="460"/>
      <c r="DU291" s="460"/>
      <c r="DV291" s="498"/>
      <c r="DW291" s="460">
        <f t="shared" si="1504"/>
        <v>0</v>
      </c>
      <c r="DX291" s="460"/>
      <c r="DY291" s="529"/>
      <c r="DZ291" s="474"/>
      <c r="EA291" s="7"/>
      <c r="EB291" s="286"/>
      <c r="EC291" s="286"/>
      <c r="ED291" s="296"/>
      <c r="EE291" s="294"/>
      <c r="EF291" s="294"/>
      <c r="EG291" s="286"/>
      <c r="EH291" s="286"/>
      <c r="EI291" s="296"/>
      <c r="EJ291" s="294"/>
      <c r="EK291" s="294"/>
      <c r="EL291" s="294"/>
      <c r="EM291" s="294"/>
      <c r="EN291" s="294"/>
      <c r="EO291" s="8"/>
      <c r="EP291" s="328"/>
      <c r="EQ291" s="328"/>
      <c r="ER291" s="334"/>
      <c r="ES291" s="332"/>
      <c r="ET291" s="332"/>
      <c r="EU291" s="328"/>
      <c r="EV291" s="328"/>
      <c r="EW291" s="334"/>
      <c r="EX291" s="332"/>
      <c r="EY291" s="332"/>
      <c r="EZ291" s="332"/>
      <c r="FA291" s="332"/>
      <c r="FB291" s="332"/>
      <c r="FC291" s="286"/>
      <c r="FD291" s="286"/>
      <c r="FE291" s="296"/>
      <c r="FF291" s="294"/>
      <c r="FG291" s="294"/>
      <c r="FH291" s="286"/>
      <c r="FI291" s="286"/>
      <c r="FJ291" s="296"/>
      <c r="FK291" s="294"/>
      <c r="FL291" s="294"/>
      <c r="FM291" s="294"/>
      <c r="FN291" s="294"/>
      <c r="FO291" s="294"/>
    </row>
    <row r="292" spans="2:171" s="119" customFormat="1" ht="47.25" customHeight="1" x14ac:dyDescent="0.2">
      <c r="B292" s="126"/>
      <c r="C292" s="127"/>
      <c r="D292" s="126"/>
      <c r="E292" s="123"/>
      <c r="F292" s="126"/>
      <c r="G292" s="127"/>
      <c r="H292" s="126"/>
      <c r="I292" s="126"/>
      <c r="J292" s="126"/>
      <c r="K292" s="126"/>
      <c r="L292" s="126"/>
      <c r="M292" s="627" t="s">
        <v>291</v>
      </c>
      <c r="N292" s="628"/>
      <c r="O292" s="443"/>
      <c r="P292" s="228">
        <f t="shared" si="1502"/>
        <v>62701.032009999733</v>
      </c>
      <c r="Q292" s="443"/>
      <c r="R292" s="443"/>
      <c r="S292" s="443"/>
      <c r="T292" s="443"/>
      <c r="U292" s="443"/>
      <c r="V292" s="443"/>
      <c r="W292" s="452">
        <f>X292+Y292+Z292+AA292</f>
        <v>1186746.3259999999</v>
      </c>
      <c r="X292" s="452">
        <f>X264+X265</f>
        <v>251056.89799999999</v>
      </c>
      <c r="Y292" s="452">
        <f>Y264+Y265</f>
        <v>229999.99999999997</v>
      </c>
      <c r="Z292" s="452">
        <f>Z264+Z265</f>
        <v>705689.42799999996</v>
      </c>
      <c r="AA292" s="452">
        <f>AA264+AA265</f>
        <v>0</v>
      </c>
      <c r="AB292" s="452">
        <f t="shared" ref="AB292:AB294" si="1607">AC292+AD292+AE292+AF292</f>
        <v>1063871.942</v>
      </c>
      <c r="AC292" s="452">
        <f>AC264+AC265</f>
        <v>579145.89100000006</v>
      </c>
      <c r="AD292" s="452">
        <f>AD264+AD265</f>
        <v>230000.00000000003</v>
      </c>
      <c r="AE292" s="452">
        <f>AE264+AE265</f>
        <v>254726.05099999998</v>
      </c>
      <c r="AF292" s="452">
        <f>AF264+AF265</f>
        <v>0</v>
      </c>
      <c r="AG292" s="452">
        <f t="shared" ref="AG292:AG294" si="1608">AH292+AI292+AJ292+AK292</f>
        <v>1071836.1440000001</v>
      </c>
      <c r="AH292" s="452">
        <f>AH264+AH265</f>
        <v>587110.09299999999</v>
      </c>
      <c r="AI292" s="452">
        <f>AI264+AI265</f>
        <v>230000.00000000003</v>
      </c>
      <c r="AJ292" s="452">
        <f>AJ264+AJ265</f>
        <v>254726.05100000001</v>
      </c>
      <c r="AK292" s="452">
        <f>AK264+AK265</f>
        <v>0</v>
      </c>
      <c r="AL292" s="454">
        <f t="shared" ref="AL292:AL294" si="1609">AM292+AN292+AO292+AP292</f>
        <v>683000</v>
      </c>
      <c r="AM292" s="452">
        <f>AM264+AM265</f>
        <v>421431.3</v>
      </c>
      <c r="AN292" s="452">
        <f>AN264+AN265</f>
        <v>100000</v>
      </c>
      <c r="AO292" s="452">
        <f>AO264+AO265</f>
        <v>161568.70000000001</v>
      </c>
      <c r="AP292" s="452">
        <f>AP264+AP265</f>
        <v>0</v>
      </c>
      <c r="AQ292" s="500"/>
      <c r="AR292" s="452">
        <f t="shared" si="1543"/>
        <v>1169918.6534679998</v>
      </c>
      <c r="AS292" s="452">
        <f>AS264+AS265</f>
        <v>251056.89799999999</v>
      </c>
      <c r="AT292" s="452">
        <f>AT264+AT265</f>
        <v>221819.15705800004</v>
      </c>
      <c r="AU292" s="452">
        <f>AU264+AU265</f>
        <v>697042.59840999986</v>
      </c>
      <c r="AV292" s="452">
        <f>AV264+AV265</f>
        <v>0</v>
      </c>
      <c r="AW292" s="452" t="e">
        <f t="shared" si="1544"/>
        <v>#REF!</v>
      </c>
      <c r="AX292" s="452" t="e">
        <f>AX264+AX265</f>
        <v>#REF!</v>
      </c>
      <c r="AY292" s="452" t="e">
        <f>AY264+AY265</f>
        <v>#REF!</v>
      </c>
      <c r="AZ292" s="452" t="e">
        <f>AZ264+AZ265</f>
        <v>#REF!</v>
      </c>
      <c r="BA292" s="452" t="e">
        <f>BA264+BA265</f>
        <v>#REF!</v>
      </c>
      <c r="BB292" s="452">
        <f t="shared" ref="BB292:BB294" si="1610">BC292+BD292+BE292+BF292</f>
        <v>793737.85177999991</v>
      </c>
      <c r="BC292" s="452">
        <f>BC264+BC265</f>
        <v>315089.22378</v>
      </c>
      <c r="BD292" s="452">
        <f>BD264+BD265</f>
        <v>223922.57699999999</v>
      </c>
      <c r="BE292" s="452">
        <f>BE264+BE265</f>
        <v>254726.05100000004</v>
      </c>
      <c r="BF292" s="452">
        <f>BF264+BF265</f>
        <v>0</v>
      </c>
      <c r="BG292" s="452">
        <f t="shared" ref="BG292:BG294" si="1611">BH292+BI292+BJ292+BK292</f>
        <v>0</v>
      </c>
      <c r="BH292" s="452">
        <f>BH264+BH265</f>
        <v>0</v>
      </c>
      <c r="BI292" s="452">
        <f>BI264+BI265</f>
        <v>0</v>
      </c>
      <c r="BJ292" s="452">
        <f>BJ264+BJ265</f>
        <v>0</v>
      </c>
      <c r="BK292" s="452">
        <f>BK264+BK265</f>
        <v>0</v>
      </c>
      <c r="BL292" s="452">
        <f t="shared" ref="BL292:BL294" si="1612">BM292+BN292+BO292+BP292</f>
        <v>1160944.2022699998</v>
      </c>
      <c r="BM292" s="452">
        <f>BM264+BM265</f>
        <v>249964.59700000001</v>
      </c>
      <c r="BN292" s="452">
        <f>BN264+BN265</f>
        <v>219066.80106000003</v>
      </c>
      <c r="BO292" s="452">
        <f>BO264+BO265</f>
        <v>691912.80420999986</v>
      </c>
      <c r="BP292" s="452">
        <f>BP264+BP265</f>
        <v>0</v>
      </c>
      <c r="BQ292" s="452">
        <f t="shared" si="1602"/>
        <v>1098243.17026</v>
      </c>
      <c r="BR292" s="452">
        <f>BR264+BR265</f>
        <v>187263.56499000001</v>
      </c>
      <c r="BS292" s="452">
        <f>BS264+BS265</f>
        <v>219066.80106000003</v>
      </c>
      <c r="BT292" s="452">
        <f>BT264+BT265</f>
        <v>691912.80420999986</v>
      </c>
      <c r="BU292" s="452">
        <f>BU264+BU265</f>
        <v>0</v>
      </c>
      <c r="BV292" s="452">
        <f t="shared" si="1603"/>
        <v>177214.22271</v>
      </c>
      <c r="BW292" s="452">
        <f>BW264+BW265</f>
        <v>7413.3918800000001</v>
      </c>
      <c r="BX292" s="452">
        <f>BX264+BX265</f>
        <v>80103.362610000011</v>
      </c>
      <c r="BY292" s="452">
        <f>BY264+BY265</f>
        <v>89697.468219999995</v>
      </c>
      <c r="BZ292" s="452">
        <f>BZ264+BZ265</f>
        <v>0</v>
      </c>
      <c r="CA292" s="452">
        <f t="shared" si="1501"/>
        <v>1275457.3929699999</v>
      </c>
      <c r="CB292" s="452">
        <f t="shared" ref="CB292:CB294" si="1613">CC292+CD292+CE292+CF292</f>
        <v>1275457.3929699999</v>
      </c>
      <c r="CC292" s="452">
        <f t="shared" si="1518"/>
        <v>194676.95687000002</v>
      </c>
      <c r="CD292" s="452">
        <f>CD264+CD265</f>
        <v>299170.16367000004</v>
      </c>
      <c r="CE292" s="452">
        <f>CE264+CE265</f>
        <v>781610.2724299999</v>
      </c>
      <c r="CF292" s="452">
        <f>CF264+CF265</f>
        <v>0</v>
      </c>
      <c r="CG292" s="452">
        <f t="shared" si="1604"/>
        <v>62701.032009999995</v>
      </c>
      <c r="CH292" s="452">
        <f t="shared" si="1517"/>
        <v>62701.032009999995</v>
      </c>
      <c r="CI292" s="452">
        <f>CI264+CI265</f>
        <v>0</v>
      </c>
      <c r="CJ292" s="452">
        <f>CJ264+CJ265</f>
        <v>0</v>
      </c>
      <c r="CK292" s="452">
        <f>CK264+CK265</f>
        <v>0</v>
      </c>
      <c r="CL292" s="455"/>
      <c r="CM292" s="457"/>
      <c r="CN292" s="457"/>
      <c r="CO292" s="452">
        <f t="shared" si="1605"/>
        <v>0</v>
      </c>
      <c r="CP292" s="452">
        <f>CP264+CP265</f>
        <v>0</v>
      </c>
      <c r="CQ292" s="452">
        <f>CQ264+CQ265</f>
        <v>0</v>
      </c>
      <c r="CR292" s="452">
        <f>CR264+CR265</f>
        <v>0</v>
      </c>
      <c r="CS292" s="452">
        <f>CS264+CS265</f>
        <v>0</v>
      </c>
      <c r="CT292" s="452">
        <f t="shared" si="1606"/>
        <v>0</v>
      </c>
      <c r="CU292" s="452">
        <f>CU264+CU265</f>
        <v>0</v>
      </c>
      <c r="CV292" s="452">
        <f>CV264+CV265</f>
        <v>0</v>
      </c>
      <c r="CW292" s="452">
        <f>CW264+CW265</f>
        <v>0</v>
      </c>
      <c r="CX292" s="452">
        <f>CX264+CX265</f>
        <v>0</v>
      </c>
      <c r="CY292" s="452">
        <f>CZ292+DA292+DB292+DC292</f>
        <v>0</v>
      </c>
      <c r="CZ292" s="452">
        <f>CZ264+CZ265</f>
        <v>0</v>
      </c>
      <c r="DA292" s="452">
        <f>DA264+DA265</f>
        <v>0</v>
      </c>
      <c r="DB292" s="452">
        <f>DB264+DB265</f>
        <v>0</v>
      </c>
      <c r="DC292" s="452">
        <f>DC264+DC265</f>
        <v>0</v>
      </c>
      <c r="DD292" s="457"/>
      <c r="DE292" s="457"/>
      <c r="DF292" s="457"/>
      <c r="DG292" s="540"/>
      <c r="DH292" s="455"/>
      <c r="DI292" s="455"/>
      <c r="DJ292" s="541"/>
      <c r="DK292" s="457"/>
      <c r="DL292" s="457"/>
      <c r="DM292" s="457"/>
      <c r="DN292" s="457"/>
      <c r="DO292" s="457"/>
      <c r="DP292" s="457"/>
      <c r="DQ292" s="457"/>
      <c r="DR292" s="452">
        <f t="shared" ref="DR292:DR294" si="1614">DS292+DT292+DU292+DV292</f>
        <v>1098243.17026</v>
      </c>
      <c r="DS292" s="452">
        <f>DS264+DS265</f>
        <v>187263.56499000001</v>
      </c>
      <c r="DT292" s="452">
        <f>DT264+DT265</f>
        <v>219066.80106000003</v>
      </c>
      <c r="DU292" s="452">
        <f>DU264+DU265</f>
        <v>691912.80420999986</v>
      </c>
      <c r="DV292" s="452">
        <f>DV264+DV265</f>
        <v>0</v>
      </c>
      <c r="DW292" s="452">
        <f t="shared" ref="DW292" si="1615">DX292+DY292+DZ292+EA292</f>
        <v>177214.22271</v>
      </c>
      <c r="DX292" s="452">
        <f>DX264+DX265</f>
        <v>7413.3918800000001</v>
      </c>
      <c r="DY292" s="502">
        <f>DY264+DY265</f>
        <v>80103.362610000011</v>
      </c>
      <c r="DZ292" s="452">
        <f>DZ264+DZ265</f>
        <v>89697.468219999995</v>
      </c>
      <c r="EA292" s="223">
        <f>EA264+EA265</f>
        <v>0</v>
      </c>
      <c r="EB292" s="57">
        <f t="shared" ref="EB292" si="1616">EC292+ED292+EE292+EF292</f>
        <v>111522.92713000001</v>
      </c>
      <c r="EC292" s="57">
        <f>EC264+EC265</f>
        <v>107839.74</v>
      </c>
      <c r="ED292" s="77">
        <f>ED264+ED265</f>
        <v>3683.1871299999998</v>
      </c>
      <c r="EE292" s="57">
        <f>EE264+EE265</f>
        <v>0</v>
      </c>
      <c r="EF292" s="57">
        <f>EF264+EF265</f>
        <v>0</v>
      </c>
      <c r="EG292" s="57">
        <f t="shared" ref="EG292" si="1617">EH292+EI292+EJ292+EK292</f>
        <v>110356.81134000001</v>
      </c>
      <c r="EH292" s="57">
        <f t="shared" ref="EH292:EO292" si="1618">EH264+EH265</f>
        <v>106747.43900000001</v>
      </c>
      <c r="EI292" s="77">
        <f t="shared" si="1618"/>
        <v>3609.3723399999999</v>
      </c>
      <c r="EJ292" s="57">
        <f t="shared" si="1618"/>
        <v>0</v>
      </c>
      <c r="EK292" s="57">
        <f t="shared" si="1618"/>
        <v>0</v>
      </c>
      <c r="EL292" s="57"/>
      <c r="EM292" s="57">
        <f t="shared" si="1618"/>
        <v>0</v>
      </c>
      <c r="EN292" s="57">
        <f t="shared" si="1618"/>
        <v>0</v>
      </c>
      <c r="EO292" s="57">
        <f t="shared" si="1618"/>
        <v>0</v>
      </c>
      <c r="EP292" s="57"/>
      <c r="EQ292" s="57"/>
      <c r="ER292" s="77"/>
      <c r="ES292" s="57"/>
      <c r="ET292" s="57"/>
      <c r="EU292" s="57"/>
      <c r="EV292" s="57"/>
      <c r="EW292" s="77"/>
      <c r="EX292" s="57"/>
      <c r="EY292" s="57"/>
      <c r="EZ292" s="57"/>
      <c r="FA292" s="57"/>
      <c r="FB292" s="57"/>
      <c r="FC292" s="57"/>
      <c r="FD292" s="57"/>
      <c r="FE292" s="77"/>
      <c r="FF292" s="57"/>
      <c r="FG292" s="57"/>
      <c r="FH292" s="57"/>
      <c r="FI292" s="57"/>
      <c r="FJ292" s="77"/>
      <c r="FK292" s="57"/>
      <c r="FL292" s="57"/>
      <c r="FM292" s="57"/>
      <c r="FN292" s="57"/>
      <c r="FO292" s="57"/>
    </row>
    <row r="293" spans="2:171" s="40" customFormat="1" ht="19.5" hidden="1" customHeight="1" x14ac:dyDescent="0.2">
      <c r="B293" s="173"/>
      <c r="C293" s="174"/>
      <c r="D293" s="173"/>
      <c r="E293" s="175"/>
      <c r="F293" s="173"/>
      <c r="G293" s="174"/>
      <c r="H293" s="173"/>
      <c r="I293" s="173"/>
      <c r="J293" s="173"/>
      <c r="K293" s="173"/>
      <c r="L293" s="173"/>
      <c r="M293" s="176"/>
      <c r="N293" s="177" t="s">
        <v>288</v>
      </c>
      <c r="O293" s="177"/>
      <c r="P293" s="423">
        <f t="shared" si="1502"/>
        <v>0</v>
      </c>
      <c r="Q293" s="177"/>
      <c r="R293" s="177"/>
      <c r="S293" s="177"/>
      <c r="T293" s="177"/>
      <c r="U293" s="177"/>
      <c r="V293" s="177"/>
      <c r="W293" s="180">
        <f>X293+Y293+Z293+AA293</f>
        <v>0</v>
      </c>
      <c r="X293" s="181">
        <f>X263+X267</f>
        <v>0</v>
      </c>
      <c r="Y293" s="181"/>
      <c r="Z293" s="181"/>
      <c r="AA293" s="24"/>
      <c r="AB293" s="180">
        <f t="shared" si="1607"/>
        <v>33741.300000000003</v>
      </c>
      <c r="AC293" s="181">
        <f>AC263+AC267</f>
        <v>33741.300000000003</v>
      </c>
      <c r="AD293" s="181"/>
      <c r="AE293" s="181"/>
      <c r="AF293" s="24"/>
      <c r="AG293" s="180">
        <f t="shared" si="1608"/>
        <v>97565.494999999995</v>
      </c>
      <c r="AH293" s="181">
        <f>AH263+AH267</f>
        <v>97565.494999999995</v>
      </c>
      <c r="AI293" s="181"/>
      <c r="AJ293" s="181"/>
      <c r="AK293" s="24"/>
      <c r="AL293" s="180">
        <f t="shared" si="1609"/>
        <v>0</v>
      </c>
      <c r="AM293" s="181">
        <f>AM263+AM267</f>
        <v>0</v>
      </c>
      <c r="AN293" s="181"/>
      <c r="AO293" s="181"/>
      <c r="AP293" s="181"/>
      <c r="AQ293" s="389"/>
      <c r="AR293" s="180">
        <f t="shared" si="1543"/>
        <v>0</v>
      </c>
      <c r="AS293" s="181">
        <f>AS263+AS267</f>
        <v>0</v>
      </c>
      <c r="AT293" s="181"/>
      <c r="AU293" s="181"/>
      <c r="AV293" s="181"/>
      <c r="AW293" s="180" t="e">
        <f t="shared" si="1544"/>
        <v>#REF!</v>
      </c>
      <c r="AX293" s="181" t="e">
        <f>AX263+AX267</f>
        <v>#REF!</v>
      </c>
      <c r="AY293" s="181"/>
      <c r="AZ293" s="181"/>
      <c r="BA293" s="181"/>
      <c r="BB293" s="180">
        <f t="shared" si="1610"/>
        <v>22388.043260000002</v>
      </c>
      <c r="BC293" s="181">
        <f>BC263+BC267</f>
        <v>22388.043260000002</v>
      </c>
      <c r="BD293" s="181"/>
      <c r="BE293" s="181"/>
      <c r="BF293" s="181"/>
      <c r="BG293" s="180">
        <f t="shared" si="1611"/>
        <v>0</v>
      </c>
      <c r="BH293" s="181">
        <f>BH263+BH267</f>
        <v>0</v>
      </c>
      <c r="BI293" s="181"/>
      <c r="BJ293" s="181"/>
      <c r="BK293" s="181"/>
      <c r="BL293" s="180">
        <f t="shared" si="1612"/>
        <v>0</v>
      </c>
      <c r="BM293" s="181">
        <f>BM263+BM267</f>
        <v>0</v>
      </c>
      <c r="BN293" s="181">
        <f t="shared" ref="BN293:BP293" si="1619">BN263+BN267</f>
        <v>0</v>
      </c>
      <c r="BO293" s="181">
        <f t="shared" si="1619"/>
        <v>0</v>
      </c>
      <c r="BP293" s="181">
        <f t="shared" si="1619"/>
        <v>0</v>
      </c>
      <c r="BQ293" s="180">
        <f t="shared" si="1602"/>
        <v>0</v>
      </c>
      <c r="BR293" s="181">
        <f>BR263+BR267</f>
        <v>0</v>
      </c>
      <c r="BS293" s="181">
        <f t="shared" ref="BS293:BT293" si="1620">BS263+BS267</f>
        <v>0</v>
      </c>
      <c r="BT293" s="181">
        <f t="shared" si="1620"/>
        <v>0</v>
      </c>
      <c r="BU293" s="181">
        <f t="shared" ref="BU293" si="1621">BU263+BU267</f>
        <v>0</v>
      </c>
      <c r="BV293" s="180">
        <f t="shared" si="1603"/>
        <v>0</v>
      </c>
      <c r="BW293" s="181">
        <f>BW263+BW267</f>
        <v>0</v>
      </c>
      <c r="BX293" s="181">
        <f t="shared" ref="BX293:BY293" si="1622">BX263+BX267</f>
        <v>0</v>
      </c>
      <c r="BY293" s="181">
        <f t="shared" si="1622"/>
        <v>0</v>
      </c>
      <c r="BZ293" s="181">
        <f t="shared" ref="BZ293" si="1623">BZ263+BZ267</f>
        <v>0</v>
      </c>
      <c r="CA293" s="181">
        <f t="shared" si="1501"/>
        <v>0</v>
      </c>
      <c r="CB293" s="180">
        <f t="shared" si="1613"/>
        <v>0</v>
      </c>
      <c r="CC293" s="181">
        <f t="shared" si="1518"/>
        <v>0</v>
      </c>
      <c r="CD293" s="181">
        <f t="shared" ref="CD293:CF293" si="1624">CD263+CD267</f>
        <v>0</v>
      </c>
      <c r="CE293" s="181">
        <f t="shared" si="1624"/>
        <v>0</v>
      </c>
      <c r="CF293" s="181">
        <f t="shared" si="1624"/>
        <v>0</v>
      </c>
      <c r="CG293" s="180">
        <f t="shared" si="1604"/>
        <v>0</v>
      </c>
      <c r="CH293" s="181">
        <f t="shared" si="1517"/>
        <v>0</v>
      </c>
      <c r="CI293" s="181">
        <f t="shared" ref="CI293:CK293" si="1625">CI263+CI267</f>
        <v>0</v>
      </c>
      <c r="CJ293" s="181">
        <f t="shared" si="1625"/>
        <v>0</v>
      </c>
      <c r="CK293" s="181">
        <f t="shared" si="1625"/>
        <v>0</v>
      </c>
      <c r="CL293" s="76"/>
      <c r="CM293" s="45"/>
      <c r="CN293" s="45"/>
      <c r="CO293" s="180">
        <f t="shared" si="1605"/>
        <v>0</v>
      </c>
      <c r="CP293" s="181">
        <f>CP263+CP267</f>
        <v>0</v>
      </c>
      <c r="CQ293" s="181"/>
      <c r="CR293" s="181"/>
      <c r="CS293" s="181"/>
      <c r="CT293" s="180">
        <f t="shared" si="1606"/>
        <v>0</v>
      </c>
      <c r="CU293" s="181">
        <f>CU263+CU267</f>
        <v>0</v>
      </c>
      <c r="CV293" s="181"/>
      <c r="CW293" s="181"/>
      <c r="CX293" s="181"/>
      <c r="CY293" s="180">
        <f>CZ293+DA293+DB293+DC293</f>
        <v>0</v>
      </c>
      <c r="CZ293" s="181">
        <f>CZ263+CZ267</f>
        <v>0</v>
      </c>
      <c r="DA293" s="181">
        <f>DA292</f>
        <v>0</v>
      </c>
      <c r="DB293" s="181">
        <f>DB292</f>
        <v>0</v>
      </c>
      <c r="DC293" s="181">
        <f>DC292</f>
        <v>0</v>
      </c>
      <c r="DD293" s="45"/>
      <c r="DE293" s="45"/>
      <c r="DF293" s="45"/>
      <c r="DG293" s="237"/>
      <c r="DH293" s="76"/>
      <c r="DI293" s="76"/>
      <c r="DJ293" s="238"/>
      <c r="DK293" s="45"/>
      <c r="DL293" s="45"/>
      <c r="DM293" s="45"/>
      <c r="DN293" s="45"/>
      <c r="DO293" s="45"/>
      <c r="DP293" s="45"/>
      <c r="DQ293" s="45"/>
      <c r="DR293" s="180">
        <f t="shared" si="1614"/>
        <v>0</v>
      </c>
      <c r="DS293" s="181">
        <f>DS263+DS267</f>
        <v>0</v>
      </c>
      <c r="DT293" s="181"/>
      <c r="DU293" s="181"/>
      <c r="DV293" s="181"/>
      <c r="DW293" s="180">
        <f>DX293+DY293+DZ293+EA293</f>
        <v>169800.83082999999</v>
      </c>
      <c r="DX293" s="181">
        <f>DX263+DX267</f>
        <v>0</v>
      </c>
      <c r="DY293" s="198">
        <f>DY292</f>
        <v>80103.362610000011</v>
      </c>
      <c r="DZ293" s="24">
        <f>DZ292</f>
        <v>89697.468219999995</v>
      </c>
      <c r="EA293" s="2">
        <f>EA292</f>
        <v>0</v>
      </c>
      <c r="EB293" s="300"/>
      <c r="EC293" s="301"/>
      <c r="ED293" s="302"/>
      <c r="EE293" s="291"/>
      <c r="EF293" s="291"/>
      <c r="EG293" s="300"/>
      <c r="EH293" s="301"/>
      <c r="EI293" s="302"/>
      <c r="EJ293" s="291"/>
      <c r="EK293" s="291"/>
      <c r="EL293" s="291"/>
      <c r="EM293" s="291"/>
      <c r="EN293" s="291"/>
      <c r="EO293" s="24">
        <f t="shared" ref="EO293" si="1626">EO292</f>
        <v>0</v>
      </c>
      <c r="EP293" s="338"/>
      <c r="EQ293" s="339"/>
      <c r="ER293" s="340"/>
      <c r="ES293" s="330"/>
      <c r="ET293" s="330"/>
      <c r="EU293" s="338"/>
      <c r="EV293" s="339"/>
      <c r="EW293" s="340"/>
      <c r="EX293" s="330"/>
      <c r="EY293" s="330"/>
      <c r="EZ293" s="330"/>
      <c r="FA293" s="330"/>
      <c r="FB293" s="330"/>
      <c r="FC293" s="300"/>
      <c r="FD293" s="301"/>
      <c r="FE293" s="302"/>
      <c r="FF293" s="291"/>
      <c r="FG293" s="291"/>
      <c r="FH293" s="300"/>
      <c r="FI293" s="301"/>
      <c r="FJ293" s="302"/>
      <c r="FK293" s="291"/>
      <c r="FL293" s="291"/>
      <c r="FM293" s="291"/>
      <c r="FN293" s="291"/>
      <c r="FO293" s="291"/>
    </row>
    <row r="294" spans="2:171" s="194" customFormat="1" ht="19.5" hidden="1" customHeight="1" x14ac:dyDescent="0.2">
      <c r="B294" s="195"/>
      <c r="C294" s="195"/>
      <c r="D294" s="195"/>
      <c r="E294" s="42"/>
      <c r="F294" s="195"/>
      <c r="G294" s="195"/>
      <c r="H294" s="195"/>
      <c r="I294" s="195"/>
      <c r="J294" s="195"/>
      <c r="K294" s="195"/>
      <c r="L294" s="197"/>
      <c r="M294" s="65"/>
      <c r="N294" s="66" t="s">
        <v>289</v>
      </c>
      <c r="O294" s="66"/>
      <c r="P294" s="414">
        <f t="shared" si="1502"/>
        <v>62701.032009999733</v>
      </c>
      <c r="Q294" s="66"/>
      <c r="R294" s="66"/>
      <c r="S294" s="66"/>
      <c r="T294" s="66"/>
      <c r="U294" s="196"/>
      <c r="V294" s="196"/>
      <c r="W294" s="24">
        <f>X294+Y294+Z294+AA294</f>
        <v>1186746.3259999999</v>
      </c>
      <c r="X294" s="24">
        <f>X260+X266</f>
        <v>251056.89799999999</v>
      </c>
      <c r="Y294" s="24">
        <f>Y260+Y266</f>
        <v>229999.99999999997</v>
      </c>
      <c r="Z294" s="24">
        <f>Z260+Z266</f>
        <v>705689.42799999996</v>
      </c>
      <c r="AA294" s="24">
        <f>AA260+AA266</f>
        <v>0</v>
      </c>
      <c r="AB294" s="24">
        <f t="shared" si="1607"/>
        <v>1030130.642</v>
      </c>
      <c r="AC294" s="24">
        <f>AC260+AC266</f>
        <v>545404.59100000001</v>
      </c>
      <c r="AD294" s="24">
        <f>AD260+AD266</f>
        <v>230000.00000000003</v>
      </c>
      <c r="AE294" s="24">
        <f>AE260+AE266</f>
        <v>254726.05099999998</v>
      </c>
      <c r="AF294" s="24">
        <f>AF260+AF266</f>
        <v>0</v>
      </c>
      <c r="AG294" s="24">
        <f t="shared" si="1608"/>
        <v>974270.64899999998</v>
      </c>
      <c r="AH294" s="24">
        <f>AH260+AH266</f>
        <v>489544.598</v>
      </c>
      <c r="AI294" s="24">
        <f>AI260+AI266</f>
        <v>230000.00000000003</v>
      </c>
      <c r="AJ294" s="24">
        <f>AJ260+AJ266</f>
        <v>254726.05100000001</v>
      </c>
      <c r="AK294" s="24">
        <f>AK260+AK266</f>
        <v>0</v>
      </c>
      <c r="AL294" s="24">
        <f t="shared" si="1609"/>
        <v>683000</v>
      </c>
      <c r="AM294" s="24">
        <f>AM260+AM266</f>
        <v>421431.3</v>
      </c>
      <c r="AN294" s="24">
        <f>AN260+AN266</f>
        <v>100000</v>
      </c>
      <c r="AO294" s="24">
        <f>AO260+AO266</f>
        <v>161568.70000000001</v>
      </c>
      <c r="AP294" s="24">
        <f>AP260+AP266</f>
        <v>0</v>
      </c>
      <c r="AQ294" s="390"/>
      <c r="AR294" s="24">
        <f t="shared" si="1543"/>
        <v>1169918.6534679998</v>
      </c>
      <c r="AS294" s="24">
        <f>AS260+AS266</f>
        <v>251056.89799999999</v>
      </c>
      <c r="AT294" s="24">
        <f>AT292</f>
        <v>221819.15705800004</v>
      </c>
      <c r="AU294" s="24">
        <f>AU292</f>
        <v>697042.59840999986</v>
      </c>
      <c r="AV294" s="24">
        <f>AV292</f>
        <v>0</v>
      </c>
      <c r="AW294" s="24" t="e">
        <f t="shared" si="1544"/>
        <v>#REF!</v>
      </c>
      <c r="AX294" s="24" t="e">
        <f>AX260+AX266</f>
        <v>#REF!</v>
      </c>
      <c r="AY294" s="24" t="e">
        <f>AY260+AY266</f>
        <v>#REF!</v>
      </c>
      <c r="AZ294" s="24" t="e">
        <f>AZ260+AZ266</f>
        <v>#REF!</v>
      </c>
      <c r="BA294" s="24" t="e">
        <f>BA260+BA266</f>
        <v>#REF!</v>
      </c>
      <c r="BB294" s="24">
        <f t="shared" si="1610"/>
        <v>771349.80851999996</v>
      </c>
      <c r="BC294" s="24">
        <f>BC260+BC266</f>
        <v>292701.18051999999</v>
      </c>
      <c r="BD294" s="24">
        <f>BD292</f>
        <v>223922.57699999999</v>
      </c>
      <c r="BE294" s="24">
        <f>BE292</f>
        <v>254726.05100000004</v>
      </c>
      <c r="BF294" s="24">
        <f>BF292</f>
        <v>0</v>
      </c>
      <c r="BG294" s="24">
        <f t="shared" si="1611"/>
        <v>0</v>
      </c>
      <c r="BH294" s="24">
        <f>BH260+BH266</f>
        <v>0</v>
      </c>
      <c r="BI294" s="24">
        <f>BI292</f>
        <v>0</v>
      </c>
      <c r="BJ294" s="24">
        <f>BJ292</f>
        <v>0</v>
      </c>
      <c r="BK294" s="24">
        <f>BK292</f>
        <v>0</v>
      </c>
      <c r="BL294" s="24">
        <f t="shared" si="1612"/>
        <v>1160944.2022699998</v>
      </c>
      <c r="BM294" s="24">
        <f>BM260+BM266</f>
        <v>249964.59700000001</v>
      </c>
      <c r="BN294" s="24">
        <f>BN292</f>
        <v>219066.80106000003</v>
      </c>
      <c r="BO294" s="24">
        <f>BO292</f>
        <v>691912.80420999986</v>
      </c>
      <c r="BP294" s="24">
        <f>BP292</f>
        <v>0</v>
      </c>
      <c r="BQ294" s="24">
        <f t="shared" si="1602"/>
        <v>1098243.17026</v>
      </c>
      <c r="BR294" s="24">
        <f>BR264+BR266</f>
        <v>187263.56499000001</v>
      </c>
      <c r="BS294" s="24">
        <f>BS292</f>
        <v>219066.80106000003</v>
      </c>
      <c r="BT294" s="24">
        <f>BT292</f>
        <v>691912.80420999986</v>
      </c>
      <c r="BU294" s="24">
        <f>BU292</f>
        <v>0</v>
      </c>
      <c r="BV294" s="24">
        <f t="shared" si="1603"/>
        <v>177214.22271</v>
      </c>
      <c r="BW294" s="24">
        <f>BW260+BW266</f>
        <v>7413.3918800000001</v>
      </c>
      <c r="BX294" s="24">
        <f>BX292</f>
        <v>80103.362610000011</v>
      </c>
      <c r="BY294" s="24">
        <f>BY292</f>
        <v>89697.468219999995</v>
      </c>
      <c r="BZ294" s="24">
        <f>BZ292</f>
        <v>0</v>
      </c>
      <c r="CA294" s="24">
        <f t="shared" si="1501"/>
        <v>1275457.3929699999</v>
      </c>
      <c r="CB294" s="24">
        <f t="shared" si="1613"/>
        <v>1275457.3929699999</v>
      </c>
      <c r="CC294" s="24">
        <f t="shared" si="1518"/>
        <v>194676.95687000002</v>
      </c>
      <c r="CD294" s="24">
        <f>CD292</f>
        <v>299170.16367000004</v>
      </c>
      <c r="CE294" s="24">
        <f>CE292</f>
        <v>781610.2724299999</v>
      </c>
      <c r="CF294" s="24">
        <f>CF292</f>
        <v>0</v>
      </c>
      <c r="CG294" s="24">
        <f t="shared" si="1604"/>
        <v>62701.032009999995</v>
      </c>
      <c r="CH294" s="24">
        <f t="shared" si="1517"/>
        <v>62701.032009999995</v>
      </c>
      <c r="CI294" s="24">
        <f>CI292</f>
        <v>0</v>
      </c>
      <c r="CJ294" s="24">
        <f>CJ292</f>
        <v>0</v>
      </c>
      <c r="CK294" s="24">
        <f>CK292</f>
        <v>0</v>
      </c>
      <c r="CL294" s="202"/>
      <c r="CM294" s="202"/>
      <c r="CN294" s="202"/>
      <c r="CO294" s="24">
        <f t="shared" si="1605"/>
        <v>0</v>
      </c>
      <c r="CP294" s="24">
        <f>CP260+CP266</f>
        <v>0</v>
      </c>
      <c r="CQ294" s="24">
        <f>CQ292</f>
        <v>0</v>
      </c>
      <c r="CR294" s="24">
        <f>CR292</f>
        <v>0</v>
      </c>
      <c r="CS294" s="24">
        <f>CS292</f>
        <v>0</v>
      </c>
      <c r="CT294" s="24">
        <f t="shared" si="1606"/>
        <v>0</v>
      </c>
      <c r="CU294" s="24">
        <f>CU260+CU266</f>
        <v>0</v>
      </c>
      <c r="CV294" s="24">
        <f>CV292</f>
        <v>0</v>
      </c>
      <c r="CW294" s="24">
        <f>CW292</f>
        <v>0</v>
      </c>
      <c r="CX294" s="24">
        <f>CX292</f>
        <v>0</v>
      </c>
      <c r="CY294" s="24">
        <f>CZ294+DA294+DB294+DC294</f>
        <v>0</v>
      </c>
      <c r="CZ294" s="24">
        <f>CZ260+CZ266</f>
        <v>0</v>
      </c>
      <c r="DA294" s="3"/>
      <c r="DB294" s="3"/>
      <c r="DC294" s="3"/>
      <c r="DD294" s="202"/>
      <c r="DE294" s="202"/>
      <c r="DF294" s="202"/>
      <c r="DG294" s="202"/>
      <c r="DH294" s="202"/>
      <c r="DI294" s="202"/>
      <c r="DJ294" s="202"/>
      <c r="DK294" s="202"/>
      <c r="DL294" s="202"/>
      <c r="DM294" s="202"/>
      <c r="DN294" s="202"/>
      <c r="DO294" s="202"/>
      <c r="DP294" s="202"/>
      <c r="DQ294" s="202"/>
      <c r="DR294" s="24">
        <f t="shared" si="1614"/>
        <v>1098243.17026</v>
      </c>
      <c r="DS294" s="24">
        <f>DS260+DS266</f>
        <v>187263.56499000001</v>
      </c>
      <c r="DT294" s="3">
        <f>DT292</f>
        <v>219066.80106000003</v>
      </c>
      <c r="DU294" s="3">
        <f>DU292</f>
        <v>691912.80420999986</v>
      </c>
      <c r="DV294" s="3">
        <f>DV292</f>
        <v>0</v>
      </c>
      <c r="DW294" s="24">
        <f>DX294+DY294+DZ294+EA294</f>
        <v>7413.3918800000001</v>
      </c>
      <c r="DX294" s="24">
        <f>DX260+DX266</f>
        <v>7413.3918800000001</v>
      </c>
      <c r="DY294" s="96"/>
      <c r="DZ294" s="3"/>
      <c r="EA294" s="226"/>
      <c r="EB294" s="291"/>
      <c r="EC294" s="291"/>
      <c r="ED294" s="299"/>
      <c r="EE294" s="278"/>
      <c r="EF294" s="278"/>
      <c r="EG294" s="291"/>
      <c r="EH294" s="291"/>
      <c r="EI294" s="299"/>
      <c r="EJ294" s="278"/>
      <c r="EK294" s="278"/>
      <c r="EL294" s="278"/>
      <c r="EM294" s="278"/>
      <c r="EN294" s="278"/>
      <c r="EO294" s="3"/>
      <c r="EP294" s="330"/>
      <c r="EQ294" s="330"/>
      <c r="ER294" s="337"/>
      <c r="ES294" s="322"/>
      <c r="ET294" s="322"/>
      <c r="EU294" s="330"/>
      <c r="EV294" s="330"/>
      <c r="EW294" s="337"/>
      <c r="EX294" s="322"/>
      <c r="EY294" s="322"/>
      <c r="EZ294" s="322"/>
      <c r="FA294" s="322"/>
      <c r="FB294" s="322"/>
      <c r="FC294" s="291"/>
      <c r="FD294" s="291"/>
      <c r="FE294" s="299"/>
      <c r="FF294" s="278"/>
      <c r="FG294" s="278"/>
      <c r="FH294" s="291"/>
      <c r="FI294" s="291"/>
      <c r="FJ294" s="299"/>
      <c r="FK294" s="278"/>
      <c r="FL294" s="278"/>
      <c r="FM294" s="278"/>
      <c r="FN294" s="278"/>
      <c r="FO294" s="278"/>
    </row>
    <row r="295" spans="2:171" s="99" customFormat="1" ht="18" hidden="1" customHeight="1" x14ac:dyDescent="0.25">
      <c r="B295" s="51"/>
      <c r="C295" s="51"/>
      <c r="D295" s="51"/>
      <c r="E295" s="67"/>
      <c r="F295" s="51"/>
      <c r="G295" s="51"/>
      <c r="H295" s="51"/>
      <c r="I295" s="51"/>
      <c r="J295" s="51"/>
      <c r="K295" s="51"/>
      <c r="L295" s="51"/>
      <c r="M295" s="192"/>
      <c r="N295" s="193"/>
      <c r="O295" s="193"/>
      <c r="P295" s="83">
        <f t="shared" si="1502"/>
        <v>0</v>
      </c>
      <c r="Q295" s="193"/>
      <c r="R295" s="193"/>
      <c r="S295" s="193"/>
      <c r="T295" s="193"/>
      <c r="U295" s="193"/>
      <c r="V295" s="193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193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83"/>
      <c r="CB295" s="78"/>
      <c r="CC295" s="78"/>
      <c r="CD295" s="78"/>
      <c r="CE295" s="78"/>
      <c r="CF295" s="78"/>
      <c r="CG295" s="78"/>
      <c r="CH295" s="78"/>
      <c r="CI295" s="78"/>
      <c r="CJ295" s="78"/>
      <c r="CK295" s="78"/>
      <c r="CL295" s="76"/>
      <c r="CM295" s="76"/>
      <c r="CN295" s="76"/>
      <c r="CO295" s="78"/>
      <c r="CP295" s="78"/>
      <c r="CQ295" s="78"/>
      <c r="CR295" s="78"/>
      <c r="CS295" s="78"/>
      <c r="CT295" s="78"/>
      <c r="CU295" s="78"/>
      <c r="CV295" s="78"/>
      <c r="CW295" s="78"/>
      <c r="CX295" s="78"/>
      <c r="CY295" s="78"/>
      <c r="CZ295" s="78"/>
      <c r="DA295" s="78"/>
      <c r="DB295" s="78"/>
      <c r="DC295" s="78"/>
      <c r="DD295" s="76"/>
      <c r="DE295" s="76"/>
      <c r="DF295" s="76"/>
      <c r="DG295" s="76"/>
      <c r="DH295" s="76"/>
      <c r="DI295" s="76"/>
      <c r="DJ295" s="76"/>
      <c r="DK295" s="76"/>
      <c r="DL295" s="76"/>
      <c r="DM295" s="76"/>
      <c r="DN295" s="76"/>
      <c r="DO295" s="76"/>
      <c r="DP295" s="76"/>
      <c r="DQ295" s="76"/>
      <c r="DR295" s="78"/>
      <c r="DS295" s="78"/>
      <c r="DT295" s="78"/>
      <c r="DU295" s="78"/>
      <c r="DV295" s="78"/>
      <c r="DW295" s="78"/>
      <c r="DX295" s="78"/>
      <c r="DY295" s="78"/>
      <c r="DZ295" s="3"/>
      <c r="EA295" s="226"/>
      <c r="EB295" s="303"/>
      <c r="EC295" s="303"/>
      <c r="ED295" s="303"/>
      <c r="EE295" s="278"/>
      <c r="EF295" s="278"/>
      <c r="EG295" s="303"/>
      <c r="EH295" s="303"/>
      <c r="EI295" s="303"/>
      <c r="EJ295" s="278"/>
      <c r="EK295" s="278"/>
      <c r="EL295" s="278"/>
      <c r="EM295" s="278"/>
      <c r="EN295" s="278"/>
      <c r="EO295" s="3"/>
      <c r="EP295" s="341"/>
      <c r="EQ295" s="341"/>
      <c r="ER295" s="341"/>
      <c r="ES295" s="322"/>
      <c r="ET295" s="322"/>
      <c r="EU295" s="341"/>
      <c r="EV295" s="341"/>
      <c r="EW295" s="341"/>
      <c r="EX295" s="322"/>
      <c r="EY295" s="322"/>
      <c r="EZ295" s="322"/>
      <c r="FA295" s="322"/>
      <c r="FB295" s="322"/>
      <c r="FC295" s="303"/>
      <c r="FD295" s="303"/>
      <c r="FE295" s="303"/>
      <c r="FF295" s="278"/>
      <c r="FG295" s="278"/>
      <c r="FH295" s="303"/>
      <c r="FI295" s="303"/>
      <c r="FJ295" s="303"/>
      <c r="FK295" s="278"/>
      <c r="FL295" s="278"/>
      <c r="FM295" s="278"/>
      <c r="FN295" s="278"/>
      <c r="FO295" s="278"/>
    </row>
    <row r="296" spans="2:171" ht="24" hidden="1" customHeight="1" x14ac:dyDescent="0.3">
      <c r="M296" s="629" t="s">
        <v>290</v>
      </c>
      <c r="N296" s="630"/>
      <c r="O296" s="444"/>
      <c r="P296" s="413">
        <f t="shared" si="1502"/>
        <v>0</v>
      </c>
      <c r="Q296" s="444"/>
      <c r="R296" s="444"/>
      <c r="S296" s="444"/>
      <c r="T296" s="444"/>
      <c r="U296" s="444"/>
      <c r="V296" s="444"/>
      <c r="W296" s="190">
        <f>W297+W298</f>
        <v>0</v>
      </c>
      <c r="X296" s="232"/>
      <c r="Y296" s="190">
        <f>Y297+Y298</f>
        <v>0</v>
      </c>
      <c r="Z296" s="233"/>
      <c r="AA296" s="188"/>
      <c r="AB296" s="187">
        <f>AB297+AB298</f>
        <v>0</v>
      </c>
      <c r="AC296" s="156"/>
      <c r="AD296" s="187">
        <f>AD297+AD298</f>
        <v>0</v>
      </c>
      <c r="AE296" s="188"/>
      <c r="AF296" s="188"/>
      <c r="AG296" s="187">
        <f>AG297+AG298</f>
        <v>0</v>
      </c>
      <c r="AH296" s="156"/>
      <c r="AI296" s="187">
        <f>AI297+AI298</f>
        <v>0</v>
      </c>
      <c r="AJ296" s="188"/>
      <c r="AK296" s="188"/>
      <c r="AL296" s="187">
        <f>AL297+AL298</f>
        <v>0</v>
      </c>
      <c r="AM296" s="156"/>
      <c r="AN296" s="187">
        <f>AN297+AN298</f>
        <v>0</v>
      </c>
      <c r="AO296" s="188"/>
      <c r="AP296" s="188"/>
      <c r="AQ296" s="391"/>
      <c r="AR296" s="190">
        <f>AR297+AR298</f>
        <v>0</v>
      </c>
      <c r="AS296" s="191"/>
      <c r="AT296" s="190">
        <f>AT297+AT298</f>
        <v>0</v>
      </c>
      <c r="AU296" s="191"/>
      <c r="AV296" s="191"/>
      <c r="AW296" s="94" t="e">
        <f t="shared" ref="AW296:AW303" si="1627">AX296+AY296+AZ296+BA296</f>
        <v>#REF!</v>
      </c>
      <c r="AX296" s="46" t="e">
        <f>#REF!-AS296</f>
        <v>#REF!</v>
      </c>
      <c r="AY296" s="46" t="e">
        <f>#REF!-AT296</f>
        <v>#REF!</v>
      </c>
      <c r="AZ296" s="46" t="e">
        <f>#REF!-AU296</f>
        <v>#REF!</v>
      </c>
      <c r="BA296" s="46" t="e">
        <f>#REF!-AV296</f>
        <v>#REF!</v>
      </c>
      <c r="BB296" s="190">
        <f>BB297+BB298</f>
        <v>0</v>
      </c>
      <c r="BC296" s="191"/>
      <c r="BD296" s="190">
        <f>BD297+BD298</f>
        <v>0</v>
      </c>
      <c r="BE296" s="191"/>
      <c r="BF296" s="191"/>
      <c r="BG296" s="190">
        <f>BG297+BG298</f>
        <v>0</v>
      </c>
      <c r="BH296" s="250"/>
      <c r="BI296" s="190">
        <f>BI297+BI298</f>
        <v>0</v>
      </c>
      <c r="BJ296" s="250"/>
      <c r="BK296" s="250"/>
      <c r="BL296" s="190">
        <f>BL297+BL298</f>
        <v>0</v>
      </c>
      <c r="BM296" s="191"/>
      <c r="BN296" s="190">
        <f>BN297+BN298</f>
        <v>0</v>
      </c>
      <c r="BO296" s="191"/>
      <c r="BP296" s="191"/>
      <c r="BQ296" s="190">
        <f>BQ297+BQ298</f>
        <v>0</v>
      </c>
      <c r="BR296" s="250"/>
      <c r="BS296" s="190">
        <f>BS297+BS298</f>
        <v>0</v>
      </c>
      <c r="BT296" s="250"/>
      <c r="BU296" s="189"/>
      <c r="BV296" s="190">
        <f>BV297+BV298</f>
        <v>0</v>
      </c>
      <c r="BW296" s="250"/>
      <c r="BX296" s="250">
        <f>BX297+BX298</f>
        <v>0</v>
      </c>
      <c r="BY296" s="250"/>
      <c r="BZ296" s="250"/>
      <c r="CA296" s="251">
        <f t="shared" si="1501"/>
        <v>0</v>
      </c>
      <c r="CB296" s="190">
        <f>CB297+CB298</f>
        <v>0</v>
      </c>
      <c r="CC296" s="250"/>
      <c r="CD296" s="250">
        <f>CD297+CD298</f>
        <v>0</v>
      </c>
      <c r="CE296" s="250"/>
      <c r="CF296" s="250"/>
      <c r="CG296" s="190">
        <f>CG297+CG298</f>
        <v>0</v>
      </c>
      <c r="CH296" s="250">
        <f t="shared" si="1517"/>
        <v>0</v>
      </c>
      <c r="CI296" s="190">
        <f>CI297+CI298</f>
        <v>0</v>
      </c>
      <c r="CJ296" s="250"/>
      <c r="CK296" s="250"/>
      <c r="CO296" s="190">
        <f>CO297+CO298</f>
        <v>0</v>
      </c>
      <c r="CP296" s="250"/>
      <c r="CQ296" s="190">
        <f>CQ297+CQ298</f>
        <v>0</v>
      </c>
      <c r="CR296" s="250"/>
      <c r="CS296" s="250"/>
      <c r="CT296" s="190">
        <f>CT297+CT298</f>
        <v>0</v>
      </c>
      <c r="CU296" s="250"/>
      <c r="CV296" s="190">
        <f>CV297+CV298</f>
        <v>0</v>
      </c>
      <c r="CW296" s="250"/>
      <c r="CX296" s="250"/>
      <c r="CY296" s="190">
        <f>CY297+CY298</f>
        <v>0</v>
      </c>
      <c r="CZ296" s="250"/>
      <c r="DA296" s="250"/>
      <c r="DB296" s="250"/>
      <c r="DC296" s="250"/>
      <c r="DD296" s="16"/>
      <c r="DE296" s="16"/>
      <c r="DF296" s="16"/>
      <c r="DG296" s="237"/>
      <c r="DH296" s="76"/>
      <c r="DI296" s="76"/>
      <c r="DJ296" s="238"/>
      <c r="DK296" s="16"/>
      <c r="DL296" s="45"/>
      <c r="DM296" s="45"/>
      <c r="DN296" s="45"/>
      <c r="DO296" s="45"/>
      <c r="DP296" s="16"/>
      <c r="DQ296" s="16"/>
      <c r="DR296" s="190">
        <f>DR297+DR298</f>
        <v>0</v>
      </c>
      <c r="DS296" s="191"/>
      <c r="DT296" s="190">
        <f>DT297+DT298</f>
        <v>0</v>
      </c>
      <c r="DU296" s="191"/>
      <c r="DV296" s="191"/>
      <c r="DW296" s="190">
        <f>DW297+DW298</f>
        <v>0</v>
      </c>
      <c r="DX296" s="191"/>
      <c r="DY296" s="225">
        <f>DY297+DY298</f>
        <v>0</v>
      </c>
      <c r="DZ296" s="92"/>
      <c r="EA296" s="227"/>
      <c r="EB296" s="305"/>
      <c r="EC296" s="306"/>
      <c r="ED296" s="307"/>
      <c r="EE296" s="304"/>
      <c r="EF296" s="304"/>
      <c r="EG296" s="305"/>
      <c r="EH296" s="306"/>
      <c r="EI296" s="307"/>
      <c r="EJ296" s="304"/>
      <c r="EK296" s="304"/>
      <c r="EL296" s="304"/>
      <c r="EM296" s="304"/>
      <c r="EN296" s="304"/>
      <c r="EO296" s="92"/>
      <c r="EP296" s="342"/>
      <c r="EQ296" s="343"/>
      <c r="ER296" s="344"/>
      <c r="ES296" s="345"/>
      <c r="ET296" s="345"/>
      <c r="EU296" s="342"/>
      <c r="EV296" s="343"/>
      <c r="EW296" s="344"/>
      <c r="EX296" s="345"/>
      <c r="EY296" s="345"/>
      <c r="EZ296" s="345"/>
      <c r="FA296" s="345"/>
      <c r="FB296" s="345"/>
      <c r="FC296" s="305"/>
      <c r="FD296" s="306"/>
      <c r="FE296" s="307"/>
      <c r="FF296" s="304"/>
      <c r="FG296" s="304"/>
      <c r="FH296" s="305"/>
      <c r="FI296" s="306"/>
      <c r="FJ296" s="307"/>
      <c r="FK296" s="304"/>
      <c r="FL296" s="304"/>
      <c r="FM296" s="304"/>
      <c r="FN296" s="304"/>
      <c r="FO296" s="304"/>
    </row>
    <row r="297" spans="2:171" ht="14.25" hidden="1" customHeight="1" x14ac:dyDescent="0.3">
      <c r="M297" s="65"/>
      <c r="N297" s="66" t="s">
        <v>289</v>
      </c>
      <c r="O297" s="66"/>
      <c r="P297" s="414">
        <f t="shared" si="1502"/>
        <v>0</v>
      </c>
      <c r="Q297" s="66"/>
      <c r="R297" s="66"/>
      <c r="S297" s="66"/>
      <c r="T297" s="66"/>
      <c r="U297" s="66"/>
      <c r="V297" s="66"/>
      <c r="W297" s="24">
        <f>W300+W303+W305</f>
        <v>0</v>
      </c>
      <c r="X297" s="202"/>
      <c r="Y297" s="24">
        <f>Y300+Y303+Y305</f>
        <v>0</v>
      </c>
      <c r="Z297" s="234"/>
      <c r="AA297" s="157"/>
      <c r="AB297" s="148">
        <f>AB300+AB303+AB305</f>
        <v>0</v>
      </c>
      <c r="AC297" s="151"/>
      <c r="AD297" s="148">
        <f>AD300+AD303+AD305</f>
        <v>0</v>
      </c>
      <c r="AE297" s="157"/>
      <c r="AF297" s="157"/>
      <c r="AG297" s="148">
        <f>AG300+AG303+AG305</f>
        <v>0</v>
      </c>
      <c r="AH297" s="151"/>
      <c r="AI297" s="148">
        <f>AI300+AI303+AI305</f>
        <v>0</v>
      </c>
      <c r="AJ297" s="157"/>
      <c r="AK297" s="157"/>
      <c r="AL297" s="148">
        <f>AL300+AL303+AL305</f>
        <v>0</v>
      </c>
      <c r="AM297" s="151"/>
      <c r="AN297" s="148">
        <f>AN300+AN303+AN305</f>
        <v>0</v>
      </c>
      <c r="AO297" s="157"/>
      <c r="AP297" s="157"/>
      <c r="AQ297" s="392"/>
      <c r="AR297" s="24">
        <f>AR300+AR303+AR305</f>
        <v>0</v>
      </c>
      <c r="AS297" s="92"/>
      <c r="AT297" s="24">
        <f>AT300+AT303+AT305</f>
        <v>0</v>
      </c>
      <c r="AU297" s="92"/>
      <c r="AV297" s="92"/>
      <c r="AW297" s="24" t="e">
        <f t="shared" si="1627"/>
        <v>#REF!</v>
      </c>
      <c r="AX297" s="2" t="e">
        <f>#REF!-AS297</f>
        <v>#REF!</v>
      </c>
      <c r="AY297" s="2" t="e">
        <f>#REF!-AT297</f>
        <v>#REF!</v>
      </c>
      <c r="AZ297" s="2" t="e">
        <f>#REF!-AU297</f>
        <v>#REF!</v>
      </c>
      <c r="BA297" s="2" t="e">
        <f>#REF!-AV297</f>
        <v>#REF!</v>
      </c>
      <c r="BB297" s="24">
        <f>BB300+BB303+BB305</f>
        <v>0</v>
      </c>
      <c r="BC297" s="92"/>
      <c r="BD297" s="24">
        <f>BD300+BD303+BD305</f>
        <v>0</v>
      </c>
      <c r="BE297" s="92"/>
      <c r="BF297" s="92"/>
      <c r="BG297" s="24">
        <f>BG300+BG303+BG305</f>
        <v>0</v>
      </c>
      <c r="BH297" s="252"/>
      <c r="BI297" s="24">
        <f>BI300+BI303+BI305</f>
        <v>0</v>
      </c>
      <c r="BJ297" s="252"/>
      <c r="BK297" s="252"/>
      <c r="BL297" s="24">
        <f>BL300+BL303+BL305</f>
        <v>0</v>
      </c>
      <c r="BM297" s="92"/>
      <c r="BN297" s="24">
        <f>BN300+BN303+BN305</f>
        <v>0</v>
      </c>
      <c r="BO297" s="92"/>
      <c r="BP297" s="92"/>
      <c r="BQ297" s="24">
        <f>BQ300+BQ303+BQ305</f>
        <v>0</v>
      </c>
      <c r="BR297" s="252"/>
      <c r="BS297" s="24">
        <f>BS300+BS303+BS305</f>
        <v>0</v>
      </c>
      <c r="BT297" s="252"/>
      <c r="BU297" s="158"/>
      <c r="BV297" s="24">
        <f>BV300+BV303+BV305</f>
        <v>0</v>
      </c>
      <c r="BW297" s="252"/>
      <c r="BX297" s="252">
        <f>BX300+BX303+BX305</f>
        <v>0</v>
      </c>
      <c r="BY297" s="252"/>
      <c r="BZ297" s="252"/>
      <c r="CA297" s="253">
        <f t="shared" si="1501"/>
        <v>0</v>
      </c>
      <c r="CB297" s="24">
        <f>CB300+CB303+CB305</f>
        <v>0</v>
      </c>
      <c r="CC297" s="252"/>
      <c r="CD297" s="252">
        <f>CD300+CD303+CD305</f>
        <v>0</v>
      </c>
      <c r="CE297" s="252"/>
      <c r="CF297" s="252"/>
      <c r="CG297" s="2">
        <f>CG300+CG303+CG305</f>
        <v>0</v>
      </c>
      <c r="CH297" s="2">
        <f t="shared" si="1517"/>
        <v>0</v>
      </c>
      <c r="CI297" s="2">
        <f>CI300+CI303+CI305</f>
        <v>0</v>
      </c>
      <c r="CJ297" s="2"/>
      <c r="CK297" s="2"/>
      <c r="CO297" s="24">
        <f>CO300+CO303+CO305</f>
        <v>0</v>
      </c>
      <c r="CP297" s="252"/>
      <c r="CQ297" s="24">
        <f>CQ300+CQ303+CQ305</f>
        <v>0</v>
      </c>
      <c r="CR297" s="252"/>
      <c r="CS297" s="252"/>
      <c r="CT297" s="24">
        <f>CT300+CT303+CT305</f>
        <v>0</v>
      </c>
      <c r="CU297" s="252"/>
      <c r="CV297" s="24">
        <f>CV300+CV303+CV305</f>
        <v>0</v>
      </c>
      <c r="CW297" s="252"/>
      <c r="CX297" s="252"/>
      <c r="CY297" s="24">
        <f>CY300+CY303+CY305</f>
        <v>0</v>
      </c>
      <c r="CZ297" s="252"/>
      <c r="DA297" s="252"/>
      <c r="DB297" s="252"/>
      <c r="DC297" s="252"/>
      <c r="DD297" s="16"/>
      <c r="DE297" s="16"/>
      <c r="DF297" s="16"/>
      <c r="DG297" s="237"/>
      <c r="DH297" s="76"/>
      <c r="DI297" s="76"/>
      <c r="DJ297" s="238"/>
      <c r="DK297" s="16"/>
      <c r="DL297" s="45"/>
      <c r="DM297" s="45"/>
      <c r="DN297" s="45"/>
      <c r="DO297" s="45"/>
      <c r="DP297" s="16"/>
      <c r="DQ297" s="16"/>
      <c r="DR297" s="24">
        <f>DR300+DR303+DR305</f>
        <v>0</v>
      </c>
      <c r="DS297" s="92"/>
      <c r="DT297" s="24">
        <f>DT300+DT303+DT305</f>
        <v>0</v>
      </c>
      <c r="DU297" s="92"/>
      <c r="DV297" s="92"/>
      <c r="DW297" s="24">
        <f>DW300+DW303+DW305</f>
        <v>0</v>
      </c>
      <c r="DX297" s="92"/>
      <c r="DY297" s="200">
        <f>DY300+DY303+DY305</f>
        <v>0</v>
      </c>
      <c r="DZ297" s="92"/>
      <c r="EA297" s="227"/>
      <c r="EB297" s="291"/>
      <c r="EC297" s="304"/>
      <c r="ED297" s="308"/>
      <c r="EE297" s="304"/>
      <c r="EF297" s="304"/>
      <c r="EG297" s="291"/>
      <c r="EH297" s="304"/>
      <c r="EI297" s="308"/>
      <c r="EJ297" s="304"/>
      <c r="EK297" s="304"/>
      <c r="EL297" s="304"/>
      <c r="EM297" s="304"/>
      <c r="EN297" s="304"/>
      <c r="EO297" s="92"/>
      <c r="EP297" s="330"/>
      <c r="EQ297" s="345"/>
      <c r="ER297" s="346"/>
      <c r="ES297" s="345"/>
      <c r="ET297" s="345"/>
      <c r="EU297" s="330"/>
      <c r="EV297" s="345"/>
      <c r="EW297" s="346"/>
      <c r="EX297" s="345"/>
      <c r="EY297" s="345"/>
      <c r="EZ297" s="345"/>
      <c r="FA297" s="345"/>
      <c r="FB297" s="345"/>
      <c r="FC297" s="291"/>
      <c r="FD297" s="304"/>
      <c r="FE297" s="308"/>
      <c r="FF297" s="304"/>
      <c r="FG297" s="304"/>
      <c r="FH297" s="291"/>
      <c r="FI297" s="304"/>
      <c r="FJ297" s="308"/>
      <c r="FK297" s="304"/>
      <c r="FL297" s="304"/>
      <c r="FM297" s="304"/>
      <c r="FN297" s="304"/>
      <c r="FO297" s="304"/>
    </row>
    <row r="298" spans="2:171" ht="14.25" hidden="1" customHeight="1" x14ac:dyDescent="0.3">
      <c r="M298" s="65"/>
      <c r="N298" s="66" t="s">
        <v>288</v>
      </c>
      <c r="O298" s="66"/>
      <c r="P298" s="414">
        <f t="shared" si="1502"/>
        <v>0</v>
      </c>
      <c r="Q298" s="66"/>
      <c r="R298" s="66"/>
      <c r="S298" s="66"/>
      <c r="T298" s="66"/>
      <c r="U298" s="66"/>
      <c r="V298" s="66"/>
      <c r="W298" s="24">
        <f>W301+W304</f>
        <v>0</v>
      </c>
      <c r="X298" s="202"/>
      <c r="Y298" s="24">
        <f>Y301+Y304</f>
        <v>0</v>
      </c>
      <c r="Z298" s="234"/>
      <c r="AA298" s="157"/>
      <c r="AB298" s="148">
        <f>AB301+AB304</f>
        <v>0</v>
      </c>
      <c r="AC298" s="151"/>
      <c r="AD298" s="148">
        <f>AD301+AD304</f>
        <v>0</v>
      </c>
      <c r="AE298" s="157"/>
      <c r="AF298" s="157"/>
      <c r="AG298" s="148">
        <f>AG301+AG304</f>
        <v>0</v>
      </c>
      <c r="AH298" s="151"/>
      <c r="AI298" s="148">
        <f>AI301+AI304</f>
        <v>0</v>
      </c>
      <c r="AJ298" s="157"/>
      <c r="AK298" s="157"/>
      <c r="AL298" s="148">
        <f>AL301+AL304</f>
        <v>0</v>
      </c>
      <c r="AM298" s="151"/>
      <c r="AN298" s="148">
        <f>AN301+AN304</f>
        <v>0</v>
      </c>
      <c r="AO298" s="157"/>
      <c r="AP298" s="157"/>
      <c r="AQ298" s="392"/>
      <c r="AR298" s="24">
        <f>AR301+AR304</f>
        <v>0</v>
      </c>
      <c r="AS298" s="92"/>
      <c r="AT298" s="24">
        <f>AT301+AT304</f>
        <v>0</v>
      </c>
      <c r="AU298" s="92"/>
      <c r="AV298" s="92"/>
      <c r="AW298" s="24" t="e">
        <f t="shared" si="1627"/>
        <v>#REF!</v>
      </c>
      <c r="AX298" s="2" t="e">
        <f>#REF!-AS298</f>
        <v>#REF!</v>
      </c>
      <c r="AY298" s="2" t="e">
        <f>#REF!-AT298</f>
        <v>#REF!</v>
      </c>
      <c r="AZ298" s="2" t="e">
        <f>#REF!-AU298</f>
        <v>#REF!</v>
      </c>
      <c r="BA298" s="2" t="e">
        <f>#REF!-AV298</f>
        <v>#REF!</v>
      </c>
      <c r="BB298" s="24">
        <f>BB301+BB304</f>
        <v>0</v>
      </c>
      <c r="BC298" s="92"/>
      <c r="BD298" s="24">
        <f>BD301+BD304</f>
        <v>0</v>
      </c>
      <c r="BE298" s="92"/>
      <c r="BF298" s="92"/>
      <c r="BG298" s="24">
        <f>BG301+BG304</f>
        <v>0</v>
      </c>
      <c r="BH298" s="252"/>
      <c r="BI298" s="24">
        <f>BI301+BI304</f>
        <v>0</v>
      </c>
      <c r="BJ298" s="252"/>
      <c r="BK298" s="252"/>
      <c r="BL298" s="24">
        <f>BL301+BL304</f>
        <v>0</v>
      </c>
      <c r="BM298" s="92"/>
      <c r="BN298" s="24">
        <f>BN301+BN304</f>
        <v>0</v>
      </c>
      <c r="BO298" s="92"/>
      <c r="BP298" s="92"/>
      <c r="BQ298" s="24">
        <f>BQ301+BQ304</f>
        <v>0</v>
      </c>
      <c r="BR298" s="252"/>
      <c r="BS298" s="24">
        <f>BS301+BS304</f>
        <v>0</v>
      </c>
      <c r="BT298" s="252"/>
      <c r="BU298" s="158"/>
      <c r="BV298" s="24">
        <f>BV301+BV304</f>
        <v>0</v>
      </c>
      <c r="BW298" s="252"/>
      <c r="BX298" s="252">
        <f>BX301+BX304</f>
        <v>0</v>
      </c>
      <c r="BY298" s="252"/>
      <c r="BZ298" s="252"/>
      <c r="CA298" s="253">
        <f t="shared" si="1501"/>
        <v>0</v>
      </c>
      <c r="CB298" s="24">
        <f>CB301+CB304</f>
        <v>0</v>
      </c>
      <c r="CC298" s="252"/>
      <c r="CD298" s="252">
        <f>CD301+CD304</f>
        <v>0</v>
      </c>
      <c r="CE298" s="252"/>
      <c r="CF298" s="252"/>
      <c r="CG298" s="2">
        <f>CG301+CG304</f>
        <v>0</v>
      </c>
      <c r="CH298" s="2">
        <f t="shared" si="1517"/>
        <v>0</v>
      </c>
      <c r="CI298" s="2">
        <f>CI301+CI304</f>
        <v>0</v>
      </c>
      <c r="CJ298" s="2"/>
      <c r="CK298" s="2"/>
      <c r="CO298" s="24">
        <f>CO301+CO304</f>
        <v>0</v>
      </c>
      <c r="CP298" s="252"/>
      <c r="CQ298" s="24">
        <f>CQ301+CQ304</f>
        <v>0</v>
      </c>
      <c r="CR298" s="252"/>
      <c r="CS298" s="252"/>
      <c r="CT298" s="24">
        <f>CT301+CT304</f>
        <v>0</v>
      </c>
      <c r="CU298" s="252"/>
      <c r="CV298" s="24">
        <f>CV301+CV304</f>
        <v>0</v>
      </c>
      <c r="CW298" s="252"/>
      <c r="CX298" s="252"/>
      <c r="CY298" s="24"/>
      <c r="CZ298" s="252"/>
      <c r="DA298" s="252"/>
      <c r="DB298" s="252"/>
      <c r="DC298" s="252"/>
      <c r="DD298" s="16"/>
      <c r="DE298" s="16"/>
      <c r="DF298" s="16"/>
      <c r="DG298" s="237"/>
      <c r="DH298" s="76"/>
      <c r="DI298" s="76"/>
      <c r="DJ298" s="238"/>
      <c r="DK298" s="16"/>
      <c r="DL298" s="45"/>
      <c r="DM298" s="45"/>
      <c r="DN298" s="45"/>
      <c r="DO298" s="45"/>
      <c r="DP298" s="16"/>
      <c r="DQ298" s="16"/>
      <c r="DR298" s="24">
        <f>DR304</f>
        <v>0</v>
      </c>
      <c r="DS298" s="92"/>
      <c r="DT298" s="24">
        <f>DT304</f>
        <v>0</v>
      </c>
      <c r="DU298" s="92"/>
      <c r="DV298" s="92"/>
      <c r="DW298" s="24">
        <f>DW304</f>
        <v>0</v>
      </c>
      <c r="DX298" s="92"/>
      <c r="DY298" s="200">
        <f>DY304</f>
        <v>0</v>
      </c>
      <c r="DZ298" s="92"/>
      <c r="EA298" s="227"/>
      <c r="EB298" s="291"/>
      <c r="EC298" s="304"/>
      <c r="ED298" s="308"/>
      <c r="EE298" s="304"/>
      <c r="EF298" s="304"/>
      <c r="EG298" s="291"/>
      <c r="EH298" s="304"/>
      <c r="EI298" s="308"/>
      <c r="EJ298" s="304"/>
      <c r="EK298" s="304"/>
      <c r="EL298" s="304"/>
      <c r="EM298" s="304"/>
      <c r="EN298" s="304"/>
      <c r="EO298" s="92"/>
      <c r="EP298" s="330"/>
      <c r="EQ298" s="345"/>
      <c r="ER298" s="346"/>
      <c r="ES298" s="345"/>
      <c r="ET298" s="345"/>
      <c r="EU298" s="330"/>
      <c r="EV298" s="345"/>
      <c r="EW298" s="346"/>
      <c r="EX298" s="345"/>
      <c r="EY298" s="345"/>
      <c r="EZ298" s="345"/>
      <c r="FA298" s="345"/>
      <c r="FB298" s="345"/>
      <c r="FC298" s="291"/>
      <c r="FD298" s="304"/>
      <c r="FE298" s="308"/>
      <c r="FF298" s="304"/>
      <c r="FG298" s="304"/>
      <c r="FH298" s="291"/>
      <c r="FI298" s="304"/>
      <c r="FJ298" s="308"/>
      <c r="FK298" s="304"/>
      <c r="FL298" s="304"/>
      <c r="FM298" s="304"/>
      <c r="FN298" s="304"/>
      <c r="FO298" s="304"/>
    </row>
    <row r="299" spans="2:171" ht="14.25" hidden="1" customHeight="1" x14ac:dyDescent="0.3">
      <c r="M299" s="616" t="s">
        <v>292</v>
      </c>
      <c r="N299" s="617"/>
      <c r="O299" s="438"/>
      <c r="P299" s="414">
        <f t="shared" si="1502"/>
        <v>0</v>
      </c>
      <c r="Q299" s="438"/>
      <c r="R299" s="438"/>
      <c r="S299" s="438"/>
      <c r="T299" s="438"/>
      <c r="U299" s="438"/>
      <c r="V299" s="438"/>
      <c r="W299" s="3">
        <f>W300+W301</f>
        <v>0</v>
      </c>
      <c r="X299" s="202"/>
      <c r="Y299" s="3">
        <f>Y300+Y301</f>
        <v>0</v>
      </c>
      <c r="Z299" s="234"/>
      <c r="AA299" s="157"/>
      <c r="AB299" s="155">
        <f>AB300+AB301</f>
        <v>0</v>
      </c>
      <c r="AC299" s="151"/>
      <c r="AD299" s="155">
        <f>AD300+AD301</f>
        <v>0</v>
      </c>
      <c r="AE299" s="157"/>
      <c r="AF299" s="157"/>
      <c r="AG299" s="155">
        <f>AG300+AG301</f>
        <v>0</v>
      </c>
      <c r="AH299" s="151"/>
      <c r="AI299" s="155">
        <f>AI300+AI301</f>
        <v>0</v>
      </c>
      <c r="AJ299" s="157"/>
      <c r="AK299" s="157"/>
      <c r="AL299" s="155">
        <f>AL300+AL301</f>
        <v>0</v>
      </c>
      <c r="AM299" s="151"/>
      <c r="AN299" s="155">
        <f>AN300+AN301</f>
        <v>0</v>
      </c>
      <c r="AO299" s="157"/>
      <c r="AP299" s="157"/>
      <c r="AQ299" s="392"/>
      <c r="AR299" s="3">
        <f>AR300+AR301</f>
        <v>0</v>
      </c>
      <c r="AS299" s="92"/>
      <c r="AT299" s="3">
        <f>AT300+AT301</f>
        <v>0</v>
      </c>
      <c r="AU299" s="92"/>
      <c r="AV299" s="92"/>
      <c r="AW299" s="24" t="e">
        <f t="shared" si="1627"/>
        <v>#REF!</v>
      </c>
      <c r="AX299" s="2" t="e">
        <f>#REF!-AS299</f>
        <v>#REF!</v>
      </c>
      <c r="AY299" s="2" t="e">
        <f>#REF!-AT299</f>
        <v>#REF!</v>
      </c>
      <c r="AZ299" s="2" t="e">
        <f>#REF!-AU299</f>
        <v>#REF!</v>
      </c>
      <c r="BA299" s="2" t="e">
        <f>#REF!-AV299</f>
        <v>#REF!</v>
      </c>
      <c r="BB299" s="3">
        <f>BB300+BB301</f>
        <v>0</v>
      </c>
      <c r="BC299" s="92"/>
      <c r="BD299" s="3">
        <f>BD300+BD301</f>
        <v>0</v>
      </c>
      <c r="BE299" s="92"/>
      <c r="BF299" s="92"/>
      <c r="BG299" s="3">
        <f>BG300+BG301</f>
        <v>0</v>
      </c>
      <c r="BH299" s="252"/>
      <c r="BI299" s="3">
        <f>BI300+BI301</f>
        <v>0</v>
      </c>
      <c r="BJ299" s="252"/>
      <c r="BK299" s="252"/>
      <c r="BL299" s="3">
        <f>BL300+BL301</f>
        <v>0</v>
      </c>
      <c r="BM299" s="92"/>
      <c r="BN299" s="3">
        <f>BN300+BN301</f>
        <v>0</v>
      </c>
      <c r="BO299" s="92"/>
      <c r="BP299" s="92"/>
      <c r="BQ299" s="3">
        <f>BQ300+BQ301</f>
        <v>0</v>
      </c>
      <c r="BR299" s="252"/>
      <c r="BS299" s="3">
        <f>BS300+BS301</f>
        <v>0</v>
      </c>
      <c r="BT299" s="252"/>
      <c r="BU299" s="158"/>
      <c r="BV299" s="3">
        <f>BV300+BV301</f>
        <v>0</v>
      </c>
      <c r="BW299" s="252"/>
      <c r="BX299" s="252">
        <f>BX300+BX301</f>
        <v>0</v>
      </c>
      <c r="BY299" s="252"/>
      <c r="BZ299" s="252"/>
      <c r="CA299" s="253">
        <f t="shared" si="1501"/>
        <v>0</v>
      </c>
      <c r="CB299" s="3">
        <f>CB300+CB301</f>
        <v>0</v>
      </c>
      <c r="CC299" s="252"/>
      <c r="CD299" s="252">
        <f>CD300+CD301</f>
        <v>0</v>
      </c>
      <c r="CE299" s="252"/>
      <c r="CF299" s="252"/>
      <c r="CG299" s="3">
        <f>CG300+CG301</f>
        <v>0</v>
      </c>
      <c r="CH299" s="252">
        <f t="shared" si="1517"/>
        <v>0</v>
      </c>
      <c r="CI299" s="3">
        <f>CI300+CI301</f>
        <v>0</v>
      </c>
      <c r="CJ299" s="252"/>
      <c r="CK299" s="252"/>
      <c r="CO299" s="3">
        <f>CO300+CO301</f>
        <v>0</v>
      </c>
      <c r="CP299" s="252"/>
      <c r="CQ299" s="3">
        <f>CQ300+CQ301</f>
        <v>0</v>
      </c>
      <c r="CR299" s="252"/>
      <c r="CS299" s="252"/>
      <c r="CT299" s="3">
        <f>CT300+CT301</f>
        <v>0</v>
      </c>
      <c r="CU299" s="252"/>
      <c r="CV299" s="3">
        <f>CV300+CV301</f>
        <v>0</v>
      </c>
      <c r="CW299" s="252"/>
      <c r="CX299" s="252"/>
      <c r="CY299" s="3">
        <f>CY300+CY301</f>
        <v>0</v>
      </c>
      <c r="CZ299" s="252"/>
      <c r="DA299" s="252"/>
      <c r="DB299" s="252"/>
      <c r="DC299" s="252"/>
      <c r="DD299" s="16"/>
      <c r="DE299" s="16"/>
      <c r="DF299" s="16"/>
      <c r="DG299" s="237"/>
      <c r="DH299" s="76"/>
      <c r="DI299" s="76"/>
      <c r="DJ299" s="238"/>
      <c r="DK299" s="16"/>
      <c r="DL299" s="45"/>
      <c r="DM299" s="45"/>
      <c r="DN299" s="45"/>
      <c r="DO299" s="45"/>
      <c r="DP299" s="16"/>
      <c r="DQ299" s="16"/>
      <c r="DR299" s="3">
        <f>DR300+DR301</f>
        <v>0</v>
      </c>
      <c r="DS299" s="92"/>
      <c r="DT299" s="3">
        <f>DT300+DT301</f>
        <v>0</v>
      </c>
      <c r="DU299" s="92"/>
      <c r="DV299" s="92"/>
      <c r="DW299" s="3">
        <f>DW300+DW301</f>
        <v>0</v>
      </c>
      <c r="DX299" s="92"/>
      <c r="DY299" s="96">
        <f>DY300+DY301</f>
        <v>0</v>
      </c>
      <c r="DZ299" s="92"/>
      <c r="EA299" s="227"/>
      <c r="EB299" s="278"/>
      <c r="EC299" s="304"/>
      <c r="ED299" s="299"/>
      <c r="EE299" s="304"/>
      <c r="EF299" s="304"/>
      <c r="EG299" s="278"/>
      <c r="EH299" s="304"/>
      <c r="EI299" s="299"/>
      <c r="EJ299" s="304"/>
      <c r="EK299" s="304"/>
      <c r="EL299" s="304"/>
      <c r="EM299" s="304"/>
      <c r="EN299" s="304"/>
      <c r="EO299" s="92"/>
      <c r="EP299" s="322"/>
      <c r="EQ299" s="345"/>
      <c r="ER299" s="337"/>
      <c r="ES299" s="345"/>
      <c r="ET299" s="345"/>
      <c r="EU299" s="322"/>
      <c r="EV299" s="345"/>
      <c r="EW299" s="337"/>
      <c r="EX299" s="345"/>
      <c r="EY299" s="345"/>
      <c r="EZ299" s="345"/>
      <c r="FA299" s="345"/>
      <c r="FB299" s="345"/>
      <c r="FC299" s="278"/>
      <c r="FD299" s="304"/>
      <c r="FE299" s="299"/>
      <c r="FF299" s="304"/>
      <c r="FG299" s="304"/>
      <c r="FH299" s="278"/>
      <c r="FI299" s="304"/>
      <c r="FJ299" s="299"/>
      <c r="FK299" s="304"/>
      <c r="FL299" s="304"/>
      <c r="FM299" s="304"/>
      <c r="FN299" s="304"/>
      <c r="FO299" s="304"/>
    </row>
    <row r="300" spans="2:171" ht="14.25" hidden="1" customHeight="1" x14ac:dyDescent="0.3">
      <c r="M300" s="65"/>
      <c r="N300" s="66" t="s">
        <v>289</v>
      </c>
      <c r="O300" s="66"/>
      <c r="P300" s="414">
        <f t="shared" si="1502"/>
        <v>0</v>
      </c>
      <c r="Q300" s="66"/>
      <c r="R300" s="66"/>
      <c r="S300" s="66"/>
      <c r="T300" s="66"/>
      <c r="U300" s="66"/>
      <c r="V300" s="66"/>
      <c r="W300" s="24"/>
      <c r="X300" s="202"/>
      <c r="Y300" s="24"/>
      <c r="Z300" s="234"/>
      <c r="AA300" s="157"/>
      <c r="AB300" s="148"/>
      <c r="AC300" s="151"/>
      <c r="AD300" s="148"/>
      <c r="AE300" s="157"/>
      <c r="AF300" s="157"/>
      <c r="AG300" s="148"/>
      <c r="AH300" s="151"/>
      <c r="AI300" s="148"/>
      <c r="AJ300" s="157"/>
      <c r="AK300" s="157"/>
      <c r="AL300" s="148"/>
      <c r="AM300" s="151"/>
      <c r="AN300" s="148"/>
      <c r="AO300" s="157"/>
      <c r="AP300" s="157"/>
      <c r="AQ300" s="392"/>
      <c r="AR300" s="24"/>
      <c r="AS300" s="92"/>
      <c r="AT300" s="24"/>
      <c r="AU300" s="92"/>
      <c r="AV300" s="92"/>
      <c r="AW300" s="24" t="e">
        <f t="shared" si="1627"/>
        <v>#REF!</v>
      </c>
      <c r="AX300" s="2" t="e">
        <f>#REF!-AS300</f>
        <v>#REF!</v>
      </c>
      <c r="AY300" s="2" t="e">
        <f>#REF!-AT300</f>
        <v>#REF!</v>
      </c>
      <c r="AZ300" s="2" t="e">
        <f>#REF!-AU300</f>
        <v>#REF!</v>
      </c>
      <c r="BA300" s="2" t="e">
        <f>#REF!-AV300</f>
        <v>#REF!</v>
      </c>
      <c r="BB300" s="24"/>
      <c r="BC300" s="92"/>
      <c r="BD300" s="24"/>
      <c r="BE300" s="92"/>
      <c r="BF300" s="92"/>
      <c r="BG300" s="24"/>
      <c r="BH300" s="252"/>
      <c r="BI300" s="24"/>
      <c r="BJ300" s="252"/>
      <c r="BK300" s="252"/>
      <c r="BL300" s="24"/>
      <c r="BM300" s="92"/>
      <c r="BN300" s="24"/>
      <c r="BO300" s="92"/>
      <c r="BP300" s="92"/>
      <c r="BQ300" s="24"/>
      <c r="BR300" s="252"/>
      <c r="BS300" s="24"/>
      <c r="BT300" s="252"/>
      <c r="BU300" s="158"/>
      <c r="BV300" s="24"/>
      <c r="BW300" s="252"/>
      <c r="BX300" s="252"/>
      <c r="BY300" s="252"/>
      <c r="BZ300" s="252"/>
      <c r="CA300" s="253">
        <f t="shared" si="1501"/>
        <v>0</v>
      </c>
      <c r="CB300" s="24"/>
      <c r="CC300" s="252"/>
      <c r="CD300" s="252"/>
      <c r="CE300" s="252"/>
      <c r="CF300" s="252"/>
      <c r="CG300" s="2"/>
      <c r="CH300" s="2">
        <f t="shared" si="1517"/>
        <v>0</v>
      </c>
      <c r="CI300" s="2"/>
      <c r="CJ300" s="2"/>
      <c r="CK300" s="2"/>
      <c r="CO300" s="24"/>
      <c r="CP300" s="252"/>
      <c r="CQ300" s="24"/>
      <c r="CR300" s="252"/>
      <c r="CS300" s="252"/>
      <c r="CT300" s="24"/>
      <c r="CU300" s="252"/>
      <c r="CV300" s="24"/>
      <c r="CW300" s="252"/>
      <c r="CX300" s="252"/>
      <c r="CY300" s="24"/>
      <c r="CZ300" s="252"/>
      <c r="DA300" s="252"/>
      <c r="DB300" s="252"/>
      <c r="DC300" s="252"/>
      <c r="DD300" s="16"/>
      <c r="DE300" s="16"/>
      <c r="DF300" s="16"/>
      <c r="DG300" s="237"/>
      <c r="DH300" s="76"/>
      <c r="DI300" s="76"/>
      <c r="DJ300" s="238"/>
      <c r="DK300" s="16"/>
      <c r="DL300" s="45"/>
      <c r="DM300" s="45"/>
      <c r="DN300" s="45"/>
      <c r="DO300" s="45"/>
      <c r="DP300" s="16"/>
      <c r="DQ300" s="16"/>
      <c r="DR300" s="24"/>
      <c r="DS300" s="92"/>
      <c r="DT300" s="24"/>
      <c r="DU300" s="92"/>
      <c r="DV300" s="92"/>
      <c r="DW300" s="24"/>
      <c r="DX300" s="92"/>
      <c r="DY300" s="200"/>
      <c r="DZ300" s="92"/>
      <c r="EA300" s="227"/>
      <c r="EB300" s="291"/>
      <c r="EC300" s="304"/>
      <c r="ED300" s="308"/>
      <c r="EE300" s="304"/>
      <c r="EF300" s="304"/>
      <c r="EG300" s="291"/>
      <c r="EH300" s="304"/>
      <c r="EI300" s="308"/>
      <c r="EJ300" s="304"/>
      <c r="EK300" s="304"/>
      <c r="EL300" s="304"/>
      <c r="EM300" s="304"/>
      <c r="EN300" s="304"/>
      <c r="EO300" s="92"/>
      <c r="EP300" s="330"/>
      <c r="EQ300" s="345"/>
      <c r="ER300" s="346"/>
      <c r="ES300" s="345"/>
      <c r="ET300" s="345"/>
      <c r="EU300" s="330"/>
      <c r="EV300" s="345"/>
      <c r="EW300" s="346"/>
      <c r="EX300" s="345"/>
      <c r="EY300" s="345"/>
      <c r="EZ300" s="345"/>
      <c r="FA300" s="345"/>
      <c r="FB300" s="345"/>
      <c r="FC300" s="291"/>
      <c r="FD300" s="304"/>
      <c r="FE300" s="308"/>
      <c r="FF300" s="304"/>
      <c r="FG300" s="304"/>
      <c r="FH300" s="291"/>
      <c r="FI300" s="304"/>
      <c r="FJ300" s="308"/>
      <c r="FK300" s="304"/>
      <c r="FL300" s="304"/>
      <c r="FM300" s="304"/>
      <c r="FN300" s="304"/>
      <c r="FO300" s="304"/>
    </row>
    <row r="301" spans="2:171" ht="14.25" hidden="1" customHeight="1" x14ac:dyDescent="0.3">
      <c r="M301" s="65"/>
      <c r="N301" s="66" t="s">
        <v>288</v>
      </c>
      <c r="O301" s="66"/>
      <c r="P301" s="414">
        <f t="shared" si="1502"/>
        <v>0</v>
      </c>
      <c r="Q301" s="66"/>
      <c r="R301" s="66"/>
      <c r="S301" s="66"/>
      <c r="T301" s="66"/>
      <c r="U301" s="66"/>
      <c r="V301" s="66"/>
      <c r="W301" s="24"/>
      <c r="X301" s="202"/>
      <c r="Y301" s="24"/>
      <c r="Z301" s="234"/>
      <c r="AA301" s="157"/>
      <c r="AB301" s="148"/>
      <c r="AC301" s="151"/>
      <c r="AD301" s="148"/>
      <c r="AE301" s="157"/>
      <c r="AF301" s="157"/>
      <c r="AG301" s="148"/>
      <c r="AH301" s="151"/>
      <c r="AI301" s="148"/>
      <c r="AJ301" s="157"/>
      <c r="AK301" s="157"/>
      <c r="AL301" s="148"/>
      <c r="AM301" s="151"/>
      <c r="AN301" s="148"/>
      <c r="AO301" s="157"/>
      <c r="AP301" s="157"/>
      <c r="AQ301" s="392"/>
      <c r="AR301" s="24"/>
      <c r="AS301" s="92"/>
      <c r="AT301" s="24"/>
      <c r="AU301" s="92"/>
      <c r="AV301" s="92"/>
      <c r="AW301" s="24" t="e">
        <f t="shared" si="1627"/>
        <v>#REF!</v>
      </c>
      <c r="AX301" s="2" t="e">
        <f>#REF!-AS301</f>
        <v>#REF!</v>
      </c>
      <c r="AY301" s="2" t="e">
        <f>#REF!-AT301</f>
        <v>#REF!</v>
      </c>
      <c r="AZ301" s="2" t="e">
        <f>#REF!-AU301</f>
        <v>#REF!</v>
      </c>
      <c r="BA301" s="2" t="e">
        <f>#REF!-AV301</f>
        <v>#REF!</v>
      </c>
      <c r="BB301" s="24"/>
      <c r="BC301" s="92"/>
      <c r="BD301" s="24"/>
      <c r="BE301" s="92"/>
      <c r="BF301" s="92"/>
      <c r="BG301" s="24"/>
      <c r="BH301" s="252"/>
      <c r="BI301" s="24"/>
      <c r="BJ301" s="252"/>
      <c r="BK301" s="252"/>
      <c r="BL301" s="24"/>
      <c r="BM301" s="92"/>
      <c r="BN301" s="24"/>
      <c r="BO301" s="92"/>
      <c r="BP301" s="92"/>
      <c r="BQ301" s="24"/>
      <c r="BR301" s="252"/>
      <c r="BS301" s="24"/>
      <c r="BT301" s="252"/>
      <c r="BU301" s="158"/>
      <c r="BV301" s="24"/>
      <c r="BW301" s="252"/>
      <c r="BX301" s="252"/>
      <c r="BY301" s="252"/>
      <c r="BZ301" s="252"/>
      <c r="CA301" s="253">
        <f t="shared" si="1501"/>
        <v>0</v>
      </c>
      <c r="CB301" s="24"/>
      <c r="CC301" s="252"/>
      <c r="CD301" s="252"/>
      <c r="CE301" s="252"/>
      <c r="CF301" s="252"/>
      <c r="CG301" s="2"/>
      <c r="CH301" s="2">
        <f t="shared" si="1517"/>
        <v>0</v>
      </c>
      <c r="CI301" s="2"/>
      <c r="CJ301" s="2"/>
      <c r="CK301" s="2"/>
      <c r="CO301" s="24"/>
      <c r="CP301" s="252"/>
      <c r="CQ301" s="24"/>
      <c r="CR301" s="252"/>
      <c r="CS301" s="252"/>
      <c r="CT301" s="24"/>
      <c r="CU301" s="252"/>
      <c r="CV301" s="24"/>
      <c r="CW301" s="252"/>
      <c r="CX301" s="252"/>
      <c r="CY301" s="24"/>
      <c r="CZ301" s="252"/>
      <c r="DA301" s="252"/>
      <c r="DB301" s="252"/>
      <c r="DC301" s="252"/>
      <c r="DD301" s="16"/>
      <c r="DE301" s="16"/>
      <c r="DF301" s="16"/>
      <c r="DG301" s="237"/>
      <c r="DH301" s="76"/>
      <c r="DI301" s="76"/>
      <c r="DJ301" s="238"/>
      <c r="DK301" s="16"/>
      <c r="DL301" s="45"/>
      <c r="DM301" s="45"/>
      <c r="DN301" s="45"/>
      <c r="DO301" s="45"/>
      <c r="DP301" s="16"/>
      <c r="DQ301" s="16"/>
      <c r="DR301" s="24"/>
      <c r="DS301" s="92"/>
      <c r="DT301" s="24"/>
      <c r="DU301" s="92"/>
      <c r="DV301" s="92"/>
      <c r="DW301" s="24"/>
      <c r="DX301" s="92"/>
      <c r="DY301" s="200"/>
      <c r="DZ301" s="92"/>
      <c r="EA301" s="227"/>
      <c r="EB301" s="291"/>
      <c r="EC301" s="304"/>
      <c r="ED301" s="308"/>
      <c r="EE301" s="304"/>
      <c r="EF301" s="304"/>
      <c r="EG301" s="291"/>
      <c r="EH301" s="304"/>
      <c r="EI301" s="308"/>
      <c r="EJ301" s="304"/>
      <c r="EK301" s="304"/>
      <c r="EL301" s="304"/>
      <c r="EM301" s="304"/>
      <c r="EN301" s="304"/>
      <c r="EO301" s="92"/>
      <c r="EP301" s="330"/>
      <c r="EQ301" s="345"/>
      <c r="ER301" s="346"/>
      <c r="ES301" s="345"/>
      <c r="ET301" s="345"/>
      <c r="EU301" s="330"/>
      <c r="EV301" s="345"/>
      <c r="EW301" s="346"/>
      <c r="EX301" s="345"/>
      <c r="EY301" s="345"/>
      <c r="EZ301" s="345"/>
      <c r="FA301" s="345"/>
      <c r="FB301" s="345"/>
      <c r="FC301" s="291"/>
      <c r="FD301" s="304"/>
      <c r="FE301" s="308"/>
      <c r="FF301" s="304"/>
      <c r="FG301" s="304"/>
      <c r="FH301" s="291"/>
      <c r="FI301" s="304"/>
      <c r="FJ301" s="308"/>
      <c r="FK301" s="304"/>
      <c r="FL301" s="304"/>
      <c r="FM301" s="304"/>
      <c r="FN301" s="304"/>
      <c r="FO301" s="304"/>
    </row>
    <row r="302" spans="2:171" ht="14.25" hidden="1" customHeight="1" x14ac:dyDescent="0.3">
      <c r="M302" s="616" t="s">
        <v>293</v>
      </c>
      <c r="N302" s="617"/>
      <c r="O302" s="438"/>
      <c r="P302" s="414">
        <f t="shared" si="1502"/>
        <v>0</v>
      </c>
      <c r="Q302" s="438"/>
      <c r="R302" s="438"/>
      <c r="S302" s="438"/>
      <c r="T302" s="438"/>
      <c r="U302" s="438"/>
      <c r="V302" s="438"/>
      <c r="W302" s="3">
        <f>W303+W304</f>
        <v>0</v>
      </c>
      <c r="X302" s="202"/>
      <c r="Y302" s="3">
        <f>Y303+Y304</f>
        <v>0</v>
      </c>
      <c r="Z302" s="234"/>
      <c r="AA302" s="157"/>
      <c r="AB302" s="155">
        <f>AB303+AB304</f>
        <v>0</v>
      </c>
      <c r="AC302" s="151"/>
      <c r="AD302" s="155">
        <f>AD303+AD304</f>
        <v>0</v>
      </c>
      <c r="AE302" s="157"/>
      <c r="AF302" s="157"/>
      <c r="AG302" s="155">
        <f>AG303+AG304</f>
        <v>0</v>
      </c>
      <c r="AH302" s="151"/>
      <c r="AI302" s="155">
        <f>AI303+AI304</f>
        <v>0</v>
      </c>
      <c r="AJ302" s="157"/>
      <c r="AK302" s="157"/>
      <c r="AL302" s="155">
        <f>AL303+AL304</f>
        <v>0</v>
      </c>
      <c r="AM302" s="151"/>
      <c r="AN302" s="155">
        <f>AN303+AN304</f>
        <v>0</v>
      </c>
      <c r="AO302" s="157"/>
      <c r="AP302" s="157"/>
      <c r="AQ302" s="392"/>
      <c r="AR302" s="3">
        <f>AR303+AR304</f>
        <v>0</v>
      </c>
      <c r="AS302" s="92"/>
      <c r="AT302" s="3">
        <f>AT303+AT304</f>
        <v>0</v>
      </c>
      <c r="AU302" s="92"/>
      <c r="AV302" s="92"/>
      <c r="AW302" s="24" t="e">
        <f t="shared" si="1627"/>
        <v>#REF!</v>
      </c>
      <c r="AX302" s="2" t="e">
        <f>#REF!-AS302</f>
        <v>#REF!</v>
      </c>
      <c r="AY302" s="2" t="e">
        <f>#REF!-AT302</f>
        <v>#REF!</v>
      </c>
      <c r="AZ302" s="2" t="e">
        <f>#REF!-AU302</f>
        <v>#REF!</v>
      </c>
      <c r="BA302" s="2" t="e">
        <f>#REF!-AV302</f>
        <v>#REF!</v>
      </c>
      <c r="BB302" s="3">
        <f>BB303+BB304</f>
        <v>0</v>
      </c>
      <c r="BC302" s="92"/>
      <c r="BD302" s="3">
        <f>BD303+BD304</f>
        <v>0</v>
      </c>
      <c r="BE302" s="92"/>
      <c r="BF302" s="92"/>
      <c r="BG302" s="3">
        <f>BG303+BG304</f>
        <v>0</v>
      </c>
      <c r="BH302" s="252"/>
      <c r="BI302" s="3">
        <f>BI303+BI304</f>
        <v>0</v>
      </c>
      <c r="BJ302" s="252"/>
      <c r="BK302" s="252"/>
      <c r="BL302" s="3">
        <f>BL303+BL304</f>
        <v>0</v>
      </c>
      <c r="BM302" s="92"/>
      <c r="BN302" s="3">
        <f>BN303+BN304</f>
        <v>0</v>
      </c>
      <c r="BO302" s="92"/>
      <c r="BP302" s="92"/>
      <c r="BQ302" s="3">
        <f>BQ303+BQ304</f>
        <v>0</v>
      </c>
      <c r="BR302" s="252"/>
      <c r="BS302" s="3">
        <f>BS303+BS304</f>
        <v>0</v>
      </c>
      <c r="BT302" s="252"/>
      <c r="BU302" s="158"/>
      <c r="BV302" s="3">
        <f>BV303+BV304</f>
        <v>0</v>
      </c>
      <c r="BW302" s="252"/>
      <c r="BX302" s="252">
        <f>BX303+BX304</f>
        <v>0</v>
      </c>
      <c r="BY302" s="252"/>
      <c r="BZ302" s="252"/>
      <c r="CA302" s="253">
        <f t="shared" si="1501"/>
        <v>0</v>
      </c>
      <c r="CB302" s="3">
        <f>CB303+CB304</f>
        <v>0</v>
      </c>
      <c r="CC302" s="252"/>
      <c r="CD302" s="252">
        <f>CD303+CD304</f>
        <v>0</v>
      </c>
      <c r="CE302" s="252"/>
      <c r="CF302" s="252"/>
      <c r="CG302" s="3">
        <f>CG303+CG304</f>
        <v>0</v>
      </c>
      <c r="CH302" s="252">
        <f t="shared" si="1517"/>
        <v>0</v>
      </c>
      <c r="CI302" s="3">
        <f>CI303+CI304</f>
        <v>0</v>
      </c>
      <c r="CJ302" s="252"/>
      <c r="CK302" s="252"/>
      <c r="CO302" s="3">
        <f>CO303+CO304</f>
        <v>0</v>
      </c>
      <c r="CP302" s="252"/>
      <c r="CQ302" s="3">
        <f>CQ303+CQ304</f>
        <v>0</v>
      </c>
      <c r="CR302" s="252"/>
      <c r="CS302" s="252"/>
      <c r="CT302" s="3">
        <f>CT303+CT304</f>
        <v>0</v>
      </c>
      <c r="CU302" s="252"/>
      <c r="CV302" s="3">
        <f>CV303+CV304</f>
        <v>0</v>
      </c>
      <c r="CW302" s="252"/>
      <c r="CX302" s="252"/>
      <c r="CY302" s="3">
        <f>CY303+CY304</f>
        <v>0</v>
      </c>
      <c r="CZ302" s="252"/>
      <c r="DA302" s="252"/>
      <c r="DB302" s="252"/>
      <c r="DC302" s="252"/>
      <c r="DD302" s="16"/>
      <c r="DE302" s="16"/>
      <c r="DF302" s="16"/>
      <c r="DG302" s="237"/>
      <c r="DH302" s="76"/>
      <c r="DI302" s="76"/>
      <c r="DJ302" s="238"/>
      <c r="DK302" s="16"/>
      <c r="DL302" s="45"/>
      <c r="DM302" s="45"/>
      <c r="DN302" s="45"/>
      <c r="DO302" s="45"/>
      <c r="DP302" s="16"/>
      <c r="DQ302" s="16"/>
      <c r="DR302" s="3">
        <f>DR303+DR304</f>
        <v>0</v>
      </c>
      <c r="DS302" s="92"/>
      <c r="DT302" s="3">
        <f>DT303+DT304</f>
        <v>0</v>
      </c>
      <c r="DU302" s="92"/>
      <c r="DV302" s="92"/>
      <c r="DW302" s="3">
        <f>DW303+DW304</f>
        <v>0</v>
      </c>
      <c r="DX302" s="92"/>
      <c r="DY302" s="96">
        <f>DY303+DY304</f>
        <v>0</v>
      </c>
      <c r="DZ302" s="92"/>
      <c r="EA302" s="227"/>
      <c r="EB302" s="278"/>
      <c r="EC302" s="304"/>
      <c r="ED302" s="299"/>
      <c r="EE302" s="304"/>
      <c r="EF302" s="304"/>
      <c r="EG302" s="278"/>
      <c r="EH302" s="304"/>
      <c r="EI302" s="299"/>
      <c r="EJ302" s="304"/>
      <c r="EK302" s="304"/>
      <c r="EL302" s="304"/>
      <c r="EM302" s="304"/>
      <c r="EN302" s="304"/>
      <c r="EO302" s="92"/>
      <c r="EP302" s="322"/>
      <c r="EQ302" s="345"/>
      <c r="ER302" s="337"/>
      <c r="ES302" s="345"/>
      <c r="ET302" s="345"/>
      <c r="EU302" s="322"/>
      <c r="EV302" s="345"/>
      <c r="EW302" s="337"/>
      <c r="EX302" s="345"/>
      <c r="EY302" s="345"/>
      <c r="EZ302" s="345"/>
      <c r="FA302" s="345"/>
      <c r="FB302" s="345"/>
      <c r="FC302" s="278"/>
      <c r="FD302" s="304"/>
      <c r="FE302" s="299"/>
      <c r="FF302" s="304"/>
      <c r="FG302" s="304"/>
      <c r="FH302" s="278"/>
      <c r="FI302" s="304"/>
      <c r="FJ302" s="299"/>
      <c r="FK302" s="304"/>
      <c r="FL302" s="304"/>
      <c r="FM302" s="304"/>
      <c r="FN302" s="304"/>
      <c r="FO302" s="304"/>
    </row>
    <row r="303" spans="2:171" ht="14.25" hidden="1" customHeight="1" x14ac:dyDescent="0.3">
      <c r="M303" s="104"/>
      <c r="N303" s="66" t="s">
        <v>289</v>
      </c>
      <c r="O303" s="66"/>
      <c r="P303" s="414">
        <f t="shared" si="1502"/>
        <v>0</v>
      </c>
      <c r="Q303" s="66"/>
      <c r="R303" s="66"/>
      <c r="S303" s="66"/>
      <c r="T303" s="66"/>
      <c r="U303" s="66"/>
      <c r="V303" s="66"/>
      <c r="W303" s="24"/>
      <c r="X303" s="202"/>
      <c r="Y303" s="24"/>
      <c r="Z303" s="234"/>
      <c r="AA303" s="157"/>
      <c r="AB303" s="148"/>
      <c r="AC303" s="151"/>
      <c r="AD303" s="148"/>
      <c r="AE303" s="157"/>
      <c r="AF303" s="157"/>
      <c r="AG303" s="148"/>
      <c r="AH303" s="151"/>
      <c r="AI303" s="148"/>
      <c r="AJ303" s="157"/>
      <c r="AK303" s="157"/>
      <c r="AL303" s="148"/>
      <c r="AM303" s="151"/>
      <c r="AN303" s="148"/>
      <c r="AO303" s="157"/>
      <c r="AP303" s="157"/>
      <c r="AQ303" s="392"/>
      <c r="AR303" s="24"/>
      <c r="AS303" s="92"/>
      <c r="AT303" s="24"/>
      <c r="AU303" s="92"/>
      <c r="AV303" s="92"/>
      <c r="AW303" s="24" t="e">
        <f t="shared" si="1627"/>
        <v>#REF!</v>
      </c>
      <c r="AX303" s="2" t="e">
        <f>#REF!-AS303</f>
        <v>#REF!</v>
      </c>
      <c r="AY303" s="2" t="e">
        <f>#REF!-AT303</f>
        <v>#REF!</v>
      </c>
      <c r="AZ303" s="2" t="e">
        <f>#REF!-AU303</f>
        <v>#REF!</v>
      </c>
      <c r="BA303" s="2" t="e">
        <f>#REF!-AV303</f>
        <v>#REF!</v>
      </c>
      <c r="BB303" s="24"/>
      <c r="BC303" s="92"/>
      <c r="BD303" s="24"/>
      <c r="BE303" s="92"/>
      <c r="BF303" s="92"/>
      <c r="BG303" s="24"/>
      <c r="BH303" s="252"/>
      <c r="BI303" s="24"/>
      <c r="BJ303" s="252"/>
      <c r="BK303" s="252"/>
      <c r="BL303" s="24"/>
      <c r="BM303" s="92"/>
      <c r="BN303" s="24"/>
      <c r="BO303" s="92"/>
      <c r="BP303" s="92"/>
      <c r="BQ303" s="24"/>
      <c r="BR303" s="252"/>
      <c r="BS303" s="24"/>
      <c r="BT303" s="252"/>
      <c r="BU303" s="158"/>
      <c r="BV303" s="24"/>
      <c r="BW303" s="252"/>
      <c r="BX303" s="252"/>
      <c r="BY303" s="252"/>
      <c r="BZ303" s="252"/>
      <c r="CA303" s="253">
        <f t="shared" si="1501"/>
        <v>0</v>
      </c>
      <c r="CB303" s="24"/>
      <c r="CC303" s="252"/>
      <c r="CD303" s="252"/>
      <c r="CE303" s="252"/>
      <c r="CF303" s="252"/>
      <c r="CG303" s="2"/>
      <c r="CH303" s="2">
        <f t="shared" si="1517"/>
        <v>0</v>
      </c>
      <c r="CI303" s="2"/>
      <c r="CJ303" s="2"/>
      <c r="CK303" s="2"/>
      <c r="CO303" s="24"/>
      <c r="CP303" s="252"/>
      <c r="CQ303" s="24"/>
      <c r="CR303" s="252"/>
      <c r="CS303" s="252"/>
      <c r="CT303" s="24"/>
      <c r="CU303" s="252"/>
      <c r="CV303" s="24"/>
      <c r="CW303" s="252"/>
      <c r="CX303" s="252"/>
      <c r="CY303" s="24"/>
      <c r="CZ303" s="252"/>
      <c r="DA303" s="252"/>
      <c r="DB303" s="252"/>
      <c r="DC303" s="252"/>
      <c r="DD303" s="16"/>
      <c r="DE303" s="16"/>
      <c r="DF303" s="16"/>
      <c r="DG303" s="237"/>
      <c r="DH303" s="76"/>
      <c r="DI303" s="76"/>
      <c r="DJ303" s="238"/>
      <c r="DK303" s="16"/>
      <c r="DL303" s="45"/>
      <c r="DM303" s="45"/>
      <c r="DN303" s="45"/>
      <c r="DO303" s="45"/>
      <c r="DP303" s="16"/>
      <c r="DQ303" s="16"/>
      <c r="DR303" s="24">
        <f>DT303</f>
        <v>0</v>
      </c>
      <c r="DS303" s="92"/>
      <c r="DT303" s="24"/>
      <c r="DU303" s="92"/>
      <c r="DV303" s="92"/>
      <c r="DW303" s="24">
        <f>DY303</f>
        <v>0</v>
      </c>
      <c r="DX303" s="92"/>
      <c r="DY303" s="200"/>
      <c r="DZ303" s="92"/>
      <c r="EA303" s="227"/>
      <c r="EB303" s="291"/>
      <c r="EC303" s="304"/>
      <c r="ED303" s="308"/>
      <c r="EE303" s="304"/>
      <c r="EF303" s="304"/>
      <c r="EG303" s="291"/>
      <c r="EH303" s="304"/>
      <c r="EI303" s="308"/>
      <c r="EJ303" s="304"/>
      <c r="EK303" s="304"/>
      <c r="EL303" s="304"/>
      <c r="EM303" s="304"/>
      <c r="EN303" s="304"/>
      <c r="EO303" s="92"/>
      <c r="EP303" s="330"/>
      <c r="EQ303" s="345"/>
      <c r="ER303" s="346"/>
      <c r="ES303" s="345"/>
      <c r="ET303" s="345"/>
      <c r="EU303" s="330"/>
      <c r="EV303" s="345"/>
      <c r="EW303" s="346"/>
      <c r="EX303" s="345"/>
      <c r="EY303" s="345"/>
      <c r="EZ303" s="345"/>
      <c r="FA303" s="345"/>
      <c r="FB303" s="345"/>
      <c r="FC303" s="291"/>
      <c r="FD303" s="304"/>
      <c r="FE303" s="308"/>
      <c r="FF303" s="304"/>
      <c r="FG303" s="304"/>
      <c r="FH303" s="291"/>
      <c r="FI303" s="304"/>
      <c r="FJ303" s="308"/>
      <c r="FK303" s="304"/>
      <c r="FL303" s="304"/>
      <c r="FM303" s="304"/>
      <c r="FN303" s="304"/>
      <c r="FO303" s="304"/>
    </row>
    <row r="304" spans="2:171" ht="14.25" hidden="1" customHeight="1" x14ac:dyDescent="0.3">
      <c r="M304" s="104"/>
      <c r="N304" s="66" t="s">
        <v>288</v>
      </c>
      <c r="O304" s="66"/>
      <c r="P304" s="414">
        <f t="shared" si="1502"/>
        <v>0</v>
      </c>
      <c r="Q304" s="66"/>
      <c r="R304" s="66"/>
      <c r="S304" s="66"/>
      <c r="T304" s="66"/>
      <c r="U304" s="66"/>
      <c r="V304" s="66"/>
      <c r="W304" s="24"/>
      <c r="X304" s="202"/>
      <c r="Y304" s="24"/>
      <c r="Z304" s="234"/>
      <c r="AA304" s="157"/>
      <c r="AB304" s="148"/>
      <c r="AC304" s="151"/>
      <c r="AD304" s="148"/>
      <c r="AE304" s="157"/>
      <c r="AF304" s="157"/>
      <c r="AG304" s="148"/>
      <c r="AH304" s="151"/>
      <c r="AI304" s="148"/>
      <c r="AJ304" s="157"/>
      <c r="AK304" s="157"/>
      <c r="AL304" s="148"/>
      <c r="AM304" s="151"/>
      <c r="AN304" s="148"/>
      <c r="AO304" s="157"/>
      <c r="AP304" s="157"/>
      <c r="AQ304" s="392"/>
      <c r="AR304" s="24"/>
      <c r="AS304" s="92"/>
      <c r="AT304" s="24"/>
      <c r="AU304" s="92"/>
      <c r="AV304" s="92"/>
      <c r="AW304" s="24"/>
      <c r="AX304" s="92"/>
      <c r="AY304" s="92" t="e">
        <f>#REF!-AT304</f>
        <v>#REF!</v>
      </c>
      <c r="AZ304" s="92"/>
      <c r="BA304" s="92"/>
      <c r="BB304" s="24"/>
      <c r="BC304" s="92"/>
      <c r="BD304" s="24"/>
      <c r="BE304" s="92"/>
      <c r="BF304" s="92"/>
      <c r="BG304" s="24"/>
      <c r="BH304" s="252"/>
      <c r="BI304" s="24"/>
      <c r="BJ304" s="252"/>
      <c r="BK304" s="252"/>
      <c r="BL304" s="24"/>
      <c r="BM304" s="92"/>
      <c r="BN304" s="24"/>
      <c r="BO304" s="92"/>
      <c r="BP304" s="92"/>
      <c r="BQ304" s="24"/>
      <c r="BR304" s="252"/>
      <c r="BS304" s="24"/>
      <c r="BT304" s="252"/>
      <c r="BU304" s="158"/>
      <c r="BV304" s="24"/>
      <c r="BW304" s="252"/>
      <c r="BX304" s="252"/>
      <c r="BY304" s="252"/>
      <c r="BZ304" s="252"/>
      <c r="CA304" s="253">
        <f t="shared" si="1501"/>
        <v>0</v>
      </c>
      <c r="CB304" s="24"/>
      <c r="CC304" s="252"/>
      <c r="CD304" s="252"/>
      <c r="CE304" s="252"/>
      <c r="CF304" s="252"/>
      <c r="CG304" s="2"/>
      <c r="CH304" s="2">
        <f t="shared" si="1517"/>
        <v>0</v>
      </c>
      <c r="CI304" s="2"/>
      <c r="CJ304" s="2"/>
      <c r="CK304" s="2"/>
      <c r="CO304" s="24"/>
      <c r="CP304" s="252"/>
      <c r="CQ304" s="24"/>
      <c r="CR304" s="252"/>
      <c r="CS304" s="252"/>
      <c r="CT304" s="24"/>
      <c r="CU304" s="252"/>
      <c r="CV304" s="24"/>
      <c r="CW304" s="252"/>
      <c r="CX304" s="252"/>
      <c r="CY304" s="24"/>
      <c r="CZ304" s="252"/>
      <c r="DA304" s="252"/>
      <c r="DB304" s="252"/>
      <c r="DC304" s="252"/>
      <c r="DD304" s="16"/>
      <c r="DE304" s="16"/>
      <c r="DF304" s="16"/>
      <c r="DG304" s="237"/>
      <c r="DH304" s="76"/>
      <c r="DI304" s="76"/>
      <c r="DJ304" s="238"/>
      <c r="DK304" s="16"/>
      <c r="DL304" s="45"/>
      <c r="DM304" s="45"/>
      <c r="DN304" s="45"/>
      <c r="DO304" s="45"/>
      <c r="DP304" s="16"/>
      <c r="DQ304" s="16"/>
      <c r="DR304" s="24"/>
      <c r="DS304" s="92"/>
      <c r="DT304" s="24"/>
      <c r="DU304" s="92"/>
      <c r="DV304" s="92"/>
      <c r="DW304" s="24"/>
      <c r="DX304" s="92"/>
      <c r="DY304" s="200"/>
      <c r="DZ304" s="92"/>
      <c r="EA304" s="227"/>
      <c r="EB304" s="291"/>
      <c r="EC304" s="304"/>
      <c r="ED304" s="308"/>
      <c r="EE304" s="304"/>
      <c r="EF304" s="304"/>
      <c r="EG304" s="291"/>
      <c r="EH304" s="304"/>
      <c r="EI304" s="308"/>
      <c r="EJ304" s="304"/>
      <c r="EK304" s="304"/>
      <c r="EL304" s="304"/>
      <c r="EM304" s="304"/>
      <c r="EN304" s="304"/>
      <c r="EO304" s="92"/>
      <c r="EP304" s="330"/>
      <c r="EQ304" s="345"/>
      <c r="ER304" s="346"/>
      <c r="ES304" s="345"/>
      <c r="ET304" s="345"/>
      <c r="EU304" s="330"/>
      <c r="EV304" s="345"/>
      <c r="EW304" s="346"/>
      <c r="EX304" s="345"/>
      <c r="EY304" s="345"/>
      <c r="EZ304" s="345"/>
      <c r="FA304" s="345"/>
      <c r="FB304" s="345"/>
      <c r="FC304" s="291"/>
      <c r="FD304" s="304"/>
      <c r="FE304" s="308"/>
      <c r="FF304" s="304"/>
      <c r="FG304" s="304"/>
      <c r="FH304" s="291"/>
      <c r="FI304" s="304"/>
      <c r="FJ304" s="308"/>
      <c r="FK304" s="304"/>
      <c r="FL304" s="304"/>
      <c r="FM304" s="304"/>
      <c r="FN304" s="304"/>
      <c r="FO304" s="304"/>
    </row>
    <row r="305" spans="2:171" ht="14.25" hidden="1" customHeight="1" x14ac:dyDescent="0.3">
      <c r="M305" s="104"/>
      <c r="N305" s="160"/>
      <c r="O305" s="160"/>
      <c r="P305" s="414">
        <f t="shared" si="1502"/>
        <v>0</v>
      </c>
      <c r="Q305" s="160"/>
      <c r="R305" s="160"/>
      <c r="S305" s="160"/>
      <c r="T305" s="160"/>
      <c r="U305" s="160"/>
      <c r="V305" s="160"/>
      <c r="W305" s="3"/>
      <c r="X305" s="202"/>
      <c r="Y305" s="234"/>
      <c r="Z305" s="234"/>
      <c r="AA305" s="157"/>
      <c r="AB305" s="155"/>
      <c r="AC305" s="151"/>
      <c r="AD305" s="157"/>
      <c r="AE305" s="157"/>
      <c r="AF305" s="157"/>
      <c r="AG305" s="155"/>
      <c r="AH305" s="151"/>
      <c r="AI305" s="157"/>
      <c r="AJ305" s="157"/>
      <c r="AK305" s="157"/>
      <c r="AL305" s="155"/>
      <c r="AM305" s="151"/>
      <c r="AN305" s="157"/>
      <c r="AO305" s="157"/>
      <c r="AP305" s="157"/>
      <c r="AQ305" s="392"/>
      <c r="AR305" s="25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252"/>
      <c r="BH305" s="252"/>
      <c r="BI305" s="252"/>
      <c r="BJ305" s="252"/>
      <c r="BK305" s="252"/>
      <c r="BL305" s="92"/>
      <c r="BM305" s="92"/>
      <c r="BN305" s="92"/>
      <c r="BO305" s="92"/>
      <c r="BP305" s="92"/>
      <c r="BQ305" s="252"/>
      <c r="BR305" s="252"/>
      <c r="BS305" s="252"/>
      <c r="BT305" s="252"/>
      <c r="BU305" s="158"/>
      <c r="BV305" s="252"/>
      <c r="BW305" s="252"/>
      <c r="BX305" s="252"/>
      <c r="BY305" s="252"/>
      <c r="BZ305" s="252"/>
      <c r="CA305" s="253">
        <f t="shared" si="1501"/>
        <v>0</v>
      </c>
      <c r="CB305" s="252"/>
      <c r="CC305" s="252"/>
      <c r="CD305" s="252"/>
      <c r="CE305" s="252"/>
      <c r="CF305" s="252"/>
      <c r="CG305" s="252"/>
      <c r="CH305" s="252">
        <f t="shared" si="1517"/>
        <v>0</v>
      </c>
      <c r="CI305" s="252"/>
      <c r="CJ305" s="252"/>
      <c r="CK305" s="252"/>
      <c r="CO305" s="252"/>
      <c r="CP305" s="252"/>
      <c r="CQ305" s="252"/>
      <c r="CR305" s="252"/>
      <c r="CS305" s="252"/>
      <c r="CT305" s="252"/>
      <c r="CU305" s="252"/>
      <c r="CV305" s="252"/>
      <c r="CW305" s="252"/>
      <c r="CX305" s="252"/>
      <c r="CY305" s="252"/>
      <c r="CZ305" s="252"/>
      <c r="DA305" s="252"/>
      <c r="DB305" s="252"/>
      <c r="DC305" s="252"/>
      <c r="DD305" s="16"/>
      <c r="DE305" s="16"/>
      <c r="DF305" s="16"/>
      <c r="DG305" s="237"/>
      <c r="DH305" s="76"/>
      <c r="DI305" s="76"/>
      <c r="DJ305" s="238"/>
      <c r="DK305" s="16"/>
      <c r="DL305" s="45"/>
      <c r="DM305" s="45"/>
      <c r="DN305" s="45"/>
      <c r="DO305" s="45"/>
      <c r="DP305" s="16"/>
      <c r="DQ305" s="16"/>
      <c r="DR305" s="92"/>
      <c r="DS305" s="92"/>
      <c r="DT305" s="92"/>
      <c r="DU305" s="92"/>
      <c r="DV305" s="92"/>
      <c r="DW305" s="92"/>
      <c r="DX305" s="92"/>
      <c r="DY305" s="199"/>
      <c r="DZ305" s="92"/>
      <c r="EA305" s="227"/>
      <c r="EB305" s="304"/>
      <c r="EC305" s="304"/>
      <c r="ED305" s="309"/>
      <c r="EE305" s="304"/>
      <c r="EF305" s="304"/>
      <c r="EG305" s="304"/>
      <c r="EH305" s="304"/>
      <c r="EI305" s="309"/>
      <c r="EJ305" s="304"/>
      <c r="EK305" s="304"/>
      <c r="EL305" s="304"/>
      <c r="EM305" s="304"/>
      <c r="EN305" s="304"/>
      <c r="EO305" s="92"/>
      <c r="EP305" s="345"/>
      <c r="EQ305" s="345"/>
      <c r="ER305" s="347"/>
      <c r="ES305" s="345"/>
      <c r="ET305" s="345"/>
      <c r="EU305" s="345"/>
      <c r="EV305" s="345"/>
      <c r="EW305" s="347"/>
      <c r="EX305" s="345"/>
      <c r="EY305" s="345"/>
      <c r="EZ305" s="345"/>
      <c r="FA305" s="345"/>
      <c r="FB305" s="345"/>
      <c r="FC305" s="304"/>
      <c r="FD305" s="304"/>
      <c r="FE305" s="309"/>
      <c r="FF305" s="304"/>
      <c r="FG305" s="304"/>
      <c r="FH305" s="304"/>
      <c r="FI305" s="304"/>
      <c r="FJ305" s="309"/>
      <c r="FK305" s="304"/>
      <c r="FL305" s="304"/>
      <c r="FM305" s="304"/>
      <c r="FN305" s="304"/>
      <c r="FO305" s="304"/>
    </row>
    <row r="306" spans="2:171" ht="15.75" hidden="1" customHeight="1" x14ac:dyDescent="0.25">
      <c r="M306" s="619" t="s">
        <v>285</v>
      </c>
      <c r="N306" s="620"/>
      <c r="O306" s="440"/>
      <c r="P306" s="420">
        <f t="shared" si="1502"/>
        <v>62701.032009999733</v>
      </c>
      <c r="Q306" s="440"/>
      <c r="R306" s="440"/>
      <c r="S306" s="440"/>
      <c r="T306" s="440"/>
      <c r="U306" s="440"/>
      <c r="V306" s="440"/>
      <c r="W306" s="57">
        <f t="shared" ref="W306:AA306" si="1628">W292+W296</f>
        <v>1186746.3259999999</v>
      </c>
      <c r="X306" s="57">
        <f t="shared" si="1628"/>
        <v>251056.89799999999</v>
      </c>
      <c r="Y306" s="57">
        <f t="shared" si="1628"/>
        <v>229999.99999999997</v>
      </c>
      <c r="Z306" s="57">
        <f t="shared" si="1628"/>
        <v>705689.42799999996</v>
      </c>
      <c r="AA306" s="145">
        <f t="shared" si="1628"/>
        <v>0</v>
      </c>
      <c r="AB306" s="145">
        <f t="shared" ref="AB306:AF306" si="1629">AB292+AB296</f>
        <v>1063871.942</v>
      </c>
      <c r="AC306" s="145">
        <f t="shared" si="1629"/>
        <v>579145.89100000006</v>
      </c>
      <c r="AD306" s="145">
        <f t="shared" si="1629"/>
        <v>230000.00000000003</v>
      </c>
      <c r="AE306" s="145">
        <f t="shared" si="1629"/>
        <v>254726.05099999998</v>
      </c>
      <c r="AF306" s="145">
        <f t="shared" si="1629"/>
        <v>0</v>
      </c>
      <c r="AG306" s="145">
        <f t="shared" ref="AG306:AK306" si="1630">AG292+AG296</f>
        <v>1071836.1440000001</v>
      </c>
      <c r="AH306" s="145">
        <f t="shared" si="1630"/>
        <v>587110.09299999999</v>
      </c>
      <c r="AI306" s="145">
        <f t="shared" si="1630"/>
        <v>230000.00000000003</v>
      </c>
      <c r="AJ306" s="145">
        <f t="shared" si="1630"/>
        <v>254726.05100000001</v>
      </c>
      <c r="AK306" s="145">
        <f t="shared" si="1630"/>
        <v>0</v>
      </c>
      <c r="AL306" s="145">
        <f t="shared" ref="AL306:BZ306" si="1631">AL292+AL296</f>
        <v>683000</v>
      </c>
      <c r="AM306" s="145">
        <f t="shared" si="1631"/>
        <v>421431.3</v>
      </c>
      <c r="AN306" s="145">
        <f t="shared" si="1631"/>
        <v>100000</v>
      </c>
      <c r="AO306" s="145">
        <f t="shared" si="1631"/>
        <v>161568.70000000001</v>
      </c>
      <c r="AP306" s="145">
        <f t="shared" si="1631"/>
        <v>0</v>
      </c>
      <c r="AQ306" s="387">
        <f t="shared" si="1631"/>
        <v>0</v>
      </c>
      <c r="AR306" s="57">
        <f t="shared" si="1631"/>
        <v>1169918.6534679998</v>
      </c>
      <c r="AS306" s="3">
        <f t="shared" si="1631"/>
        <v>251056.89799999999</v>
      </c>
      <c r="AT306" s="3">
        <f t="shared" si="1631"/>
        <v>221819.15705800004</v>
      </c>
      <c r="AU306" s="3">
        <f t="shared" si="1631"/>
        <v>697042.59840999986</v>
      </c>
      <c r="AV306" s="3">
        <f t="shared" si="1631"/>
        <v>0</v>
      </c>
      <c r="AW306" s="3" t="e">
        <f t="shared" si="1631"/>
        <v>#REF!</v>
      </c>
      <c r="AX306" s="3" t="e">
        <f t="shared" si="1631"/>
        <v>#REF!</v>
      </c>
      <c r="AY306" s="3" t="e">
        <f t="shared" si="1631"/>
        <v>#REF!</v>
      </c>
      <c r="AZ306" s="3" t="e">
        <f t="shared" si="1631"/>
        <v>#REF!</v>
      </c>
      <c r="BA306" s="3" t="e">
        <f t="shared" si="1631"/>
        <v>#REF!</v>
      </c>
      <c r="BB306" s="3">
        <f t="shared" si="1631"/>
        <v>793737.85177999991</v>
      </c>
      <c r="BC306" s="3">
        <f t="shared" si="1631"/>
        <v>315089.22378</v>
      </c>
      <c r="BD306" s="3">
        <f t="shared" si="1631"/>
        <v>223922.57699999999</v>
      </c>
      <c r="BE306" s="3">
        <f t="shared" si="1631"/>
        <v>254726.05100000004</v>
      </c>
      <c r="BF306" s="3">
        <f t="shared" si="1631"/>
        <v>0</v>
      </c>
      <c r="BG306" s="57">
        <f t="shared" si="1631"/>
        <v>0</v>
      </c>
      <c r="BH306" s="57">
        <f t="shared" si="1631"/>
        <v>0</v>
      </c>
      <c r="BI306" s="57">
        <f t="shared" si="1631"/>
        <v>0</v>
      </c>
      <c r="BJ306" s="57">
        <f t="shared" si="1631"/>
        <v>0</v>
      </c>
      <c r="BK306" s="57">
        <f t="shared" si="1631"/>
        <v>0</v>
      </c>
      <c r="BL306" s="3">
        <f t="shared" si="1631"/>
        <v>1160944.2022699998</v>
      </c>
      <c r="BM306" s="3">
        <f t="shared" si="1631"/>
        <v>249964.59700000001</v>
      </c>
      <c r="BN306" s="3">
        <f t="shared" si="1631"/>
        <v>219066.80106000003</v>
      </c>
      <c r="BO306" s="3">
        <f t="shared" si="1631"/>
        <v>691912.80420999986</v>
      </c>
      <c r="BP306" s="3">
        <f t="shared" si="1631"/>
        <v>0</v>
      </c>
      <c r="BQ306" s="57">
        <f t="shared" si="1631"/>
        <v>1098243.17026</v>
      </c>
      <c r="BR306" s="57">
        <f t="shared" si="1631"/>
        <v>187263.56499000001</v>
      </c>
      <c r="BS306" s="57">
        <f t="shared" si="1631"/>
        <v>219066.80106000003</v>
      </c>
      <c r="BT306" s="57">
        <f t="shared" si="1631"/>
        <v>691912.80420999986</v>
      </c>
      <c r="BU306" s="145">
        <f t="shared" si="1631"/>
        <v>0</v>
      </c>
      <c r="BV306" s="57">
        <f t="shared" si="1631"/>
        <v>177214.22271</v>
      </c>
      <c r="BW306" s="57">
        <f t="shared" si="1631"/>
        <v>7413.3918800000001</v>
      </c>
      <c r="BX306" s="57">
        <f t="shared" si="1631"/>
        <v>80103.362610000011</v>
      </c>
      <c r="BY306" s="57">
        <f t="shared" si="1631"/>
        <v>89697.468219999995</v>
      </c>
      <c r="BZ306" s="57">
        <f t="shared" si="1631"/>
        <v>0</v>
      </c>
      <c r="CA306" s="16">
        <f t="shared" si="1501"/>
        <v>1275457.3929699999</v>
      </c>
      <c r="CB306" s="57">
        <f t="shared" ref="CB306:CK306" si="1632">CB292+CB296</f>
        <v>1275457.3929699999</v>
      </c>
      <c r="CC306" s="57">
        <f t="shared" si="1632"/>
        <v>194676.95687000002</v>
      </c>
      <c r="CD306" s="57">
        <f t="shared" si="1632"/>
        <v>299170.16367000004</v>
      </c>
      <c r="CE306" s="57">
        <f t="shared" si="1632"/>
        <v>781610.2724299999</v>
      </c>
      <c r="CF306" s="57">
        <f t="shared" si="1632"/>
        <v>0</v>
      </c>
      <c r="CG306" s="57">
        <f t="shared" si="1632"/>
        <v>62701.032009999995</v>
      </c>
      <c r="CH306" s="57">
        <f t="shared" si="1517"/>
        <v>62701.032009999995</v>
      </c>
      <c r="CI306" s="57">
        <f t="shared" si="1632"/>
        <v>0</v>
      </c>
      <c r="CJ306" s="57">
        <f t="shared" si="1632"/>
        <v>0</v>
      </c>
      <c r="CK306" s="57">
        <f t="shared" si="1632"/>
        <v>0</v>
      </c>
      <c r="CO306" s="57">
        <f t="shared" ref="CO306:DC306" si="1633">CO292+CO296</f>
        <v>0</v>
      </c>
      <c r="CP306" s="57">
        <f t="shared" si="1633"/>
        <v>0</v>
      </c>
      <c r="CQ306" s="57">
        <f t="shared" si="1633"/>
        <v>0</v>
      </c>
      <c r="CR306" s="57">
        <f t="shared" si="1633"/>
        <v>0</v>
      </c>
      <c r="CS306" s="57">
        <f t="shared" si="1633"/>
        <v>0</v>
      </c>
      <c r="CT306" s="57">
        <f t="shared" si="1633"/>
        <v>0</v>
      </c>
      <c r="CU306" s="57">
        <f t="shared" si="1633"/>
        <v>0</v>
      </c>
      <c r="CV306" s="57">
        <f t="shared" si="1633"/>
        <v>0</v>
      </c>
      <c r="CW306" s="57">
        <f t="shared" si="1633"/>
        <v>0</v>
      </c>
      <c r="CX306" s="57">
        <f t="shared" si="1633"/>
        <v>0</v>
      </c>
      <c r="CY306" s="57">
        <f t="shared" si="1633"/>
        <v>0</v>
      </c>
      <c r="CZ306" s="57">
        <f t="shared" si="1633"/>
        <v>0</v>
      </c>
      <c r="DA306" s="57">
        <f t="shared" si="1633"/>
        <v>0</v>
      </c>
      <c r="DB306" s="57">
        <f t="shared" si="1633"/>
        <v>0</v>
      </c>
      <c r="DC306" s="57">
        <f t="shared" si="1633"/>
        <v>0</v>
      </c>
      <c r="DD306" s="16"/>
      <c r="DE306" s="16"/>
      <c r="DF306" s="16"/>
      <c r="DG306" s="237"/>
      <c r="DH306" s="76"/>
      <c r="DI306" s="76"/>
      <c r="DJ306" s="238"/>
      <c r="DK306" s="16"/>
      <c r="DL306" s="45"/>
      <c r="DM306" s="45"/>
      <c r="DN306" s="45"/>
      <c r="DO306" s="45"/>
      <c r="DP306" s="16"/>
      <c r="DQ306" s="16"/>
      <c r="DR306" s="3">
        <f>DS306+DT306+DU306+DV306</f>
        <v>879176.36919999984</v>
      </c>
      <c r="DS306" s="3">
        <f t="shared" ref="DS306:DU306" si="1634">DS292+DS296</f>
        <v>187263.56499000001</v>
      </c>
      <c r="DT306" s="3"/>
      <c r="DU306" s="3">
        <f t="shared" si="1634"/>
        <v>691912.80420999986</v>
      </c>
      <c r="DV306" s="3">
        <f t="shared" ref="DV306" si="1635">DV292+DV296</f>
        <v>0</v>
      </c>
      <c r="DW306" s="3">
        <f>DX306+DY306+DZ306+EA306</f>
        <v>97110.860099999991</v>
      </c>
      <c r="DX306" s="3">
        <f t="shared" ref="DX306" si="1636">DX292+DX296</f>
        <v>7413.3918800000001</v>
      </c>
      <c r="DY306" s="96"/>
      <c r="DZ306" s="3">
        <f t="shared" ref="DZ306" si="1637">DZ292+DZ296</f>
        <v>89697.468219999995</v>
      </c>
      <c r="EA306" s="226">
        <f t="shared" ref="EA306" si="1638">EA292+EA296</f>
        <v>0</v>
      </c>
      <c r="EB306" s="278"/>
      <c r="EC306" s="278"/>
      <c r="ED306" s="299"/>
      <c r="EE306" s="278"/>
      <c r="EF306" s="278"/>
      <c r="EG306" s="278"/>
      <c r="EH306" s="278"/>
      <c r="EI306" s="299"/>
      <c r="EJ306" s="278"/>
      <c r="EK306" s="278"/>
      <c r="EL306" s="278"/>
      <c r="EM306" s="278"/>
      <c r="EN306" s="278"/>
      <c r="EO306" s="3">
        <f t="shared" ref="EO306" si="1639">EO292+EO296</f>
        <v>0</v>
      </c>
      <c r="EP306" s="322"/>
      <c r="EQ306" s="322"/>
      <c r="ER306" s="337"/>
      <c r="ES306" s="322"/>
      <c r="ET306" s="322"/>
      <c r="EU306" s="322"/>
      <c r="EV306" s="322"/>
      <c r="EW306" s="337"/>
      <c r="EX306" s="322"/>
      <c r="EY306" s="322"/>
      <c r="EZ306" s="322"/>
      <c r="FA306" s="322"/>
      <c r="FB306" s="322"/>
      <c r="FC306" s="278"/>
      <c r="FD306" s="278"/>
      <c r="FE306" s="299"/>
      <c r="FF306" s="278"/>
      <c r="FG306" s="278"/>
      <c r="FH306" s="278"/>
      <c r="FI306" s="278"/>
      <c r="FJ306" s="299"/>
      <c r="FK306" s="278"/>
      <c r="FL306" s="278"/>
      <c r="FM306" s="278"/>
      <c r="FN306" s="278"/>
      <c r="FO306" s="278"/>
    </row>
    <row r="307" spans="2:171" s="40" customFormat="1" ht="19.5" hidden="1" customHeight="1" x14ac:dyDescent="0.2">
      <c r="B307" s="35"/>
      <c r="C307" s="36"/>
      <c r="D307" s="35"/>
      <c r="E307" s="42"/>
      <c r="F307" s="35"/>
      <c r="G307" s="36"/>
      <c r="H307" s="35"/>
      <c r="I307" s="35"/>
      <c r="J307" s="35"/>
      <c r="K307" s="35"/>
      <c r="L307" s="35"/>
      <c r="M307" s="65"/>
      <c r="N307" s="66" t="s">
        <v>288</v>
      </c>
      <c r="O307" s="66"/>
      <c r="P307" s="414">
        <f t="shared" si="1502"/>
        <v>0</v>
      </c>
      <c r="Q307" s="66"/>
      <c r="R307" s="66"/>
      <c r="S307" s="66"/>
      <c r="T307" s="66"/>
      <c r="U307" s="66"/>
      <c r="V307" s="66"/>
      <c r="W307" s="2">
        <f>X307+Y307+Z307+AA307</f>
        <v>0</v>
      </c>
      <c r="X307" s="24">
        <f>X293+X297</f>
        <v>0</v>
      </c>
      <c r="Y307" s="24">
        <f>Y293+Y297</f>
        <v>0</v>
      </c>
      <c r="Z307" s="24">
        <f>Z293+Z297</f>
        <v>0</v>
      </c>
      <c r="AA307" s="148">
        <f>AA293+AA297</f>
        <v>0</v>
      </c>
      <c r="AB307" s="146">
        <f>AC307+AD307+AE307+AF307</f>
        <v>33741.300000000003</v>
      </c>
      <c r="AC307" s="148">
        <f>AC293+AC297</f>
        <v>33741.300000000003</v>
      </c>
      <c r="AD307" s="148">
        <f>AD293+AD297</f>
        <v>0</v>
      </c>
      <c r="AE307" s="148">
        <f>AE293+AE297</f>
        <v>0</v>
      </c>
      <c r="AF307" s="148">
        <f>AF293+AF297</f>
        <v>0</v>
      </c>
      <c r="AG307" s="146">
        <f>AH307+AI307+AJ307+AK307</f>
        <v>97565.494999999995</v>
      </c>
      <c r="AH307" s="148">
        <f>AH293+AH297</f>
        <v>97565.494999999995</v>
      </c>
      <c r="AI307" s="148">
        <f>AI293+AI297</f>
        <v>0</v>
      </c>
      <c r="AJ307" s="148">
        <f>AJ293+AJ297</f>
        <v>0</v>
      </c>
      <c r="AK307" s="148">
        <f>AK293+AK297</f>
        <v>0</v>
      </c>
      <c r="AL307" s="146">
        <f>AM307+AN307+AO307+AP307</f>
        <v>0</v>
      </c>
      <c r="AM307" s="148">
        <f>AM293+AM297</f>
        <v>0</v>
      </c>
      <c r="AN307" s="148">
        <f>AN293+AN297</f>
        <v>0</v>
      </c>
      <c r="AO307" s="148">
        <f>AO293+AO297</f>
        <v>0</v>
      </c>
      <c r="AP307" s="148">
        <f>AP293+AP297</f>
        <v>0</v>
      </c>
      <c r="AQ307" s="388"/>
      <c r="AR307" s="2">
        <f>AS307+AT307+AU307+AV307</f>
        <v>0</v>
      </c>
      <c r="AS307" s="24">
        <f>AS293+AS297</f>
        <v>0</v>
      </c>
      <c r="AT307" s="24">
        <f>AT293+AT297</f>
        <v>0</v>
      </c>
      <c r="AU307" s="24">
        <f>AU293+AU297</f>
        <v>0</v>
      </c>
      <c r="AV307" s="24">
        <f>AV293+AV297</f>
        <v>0</v>
      </c>
      <c r="AW307" s="2" t="e">
        <f>AX307+AY307+AZ307+BA307</f>
        <v>#REF!</v>
      </c>
      <c r="AX307" s="24" t="e">
        <f>AX293+AX297</f>
        <v>#REF!</v>
      </c>
      <c r="AY307" s="24" t="e">
        <f>AY293+AY297</f>
        <v>#REF!</v>
      </c>
      <c r="AZ307" s="24" t="e">
        <f>AZ293+AZ297</f>
        <v>#REF!</v>
      </c>
      <c r="BA307" s="24" t="e">
        <f>BA293+BA297</f>
        <v>#REF!</v>
      </c>
      <c r="BB307" s="2">
        <f>BC307+BD307+BE307+BF307</f>
        <v>22388.043260000002</v>
      </c>
      <c r="BC307" s="24">
        <f>BC293+BC297</f>
        <v>22388.043260000002</v>
      </c>
      <c r="BD307" s="24">
        <f>BD293+BD297</f>
        <v>0</v>
      </c>
      <c r="BE307" s="24">
        <f>BE293+BE297</f>
        <v>0</v>
      </c>
      <c r="BF307" s="24">
        <f>BF293+BF297</f>
        <v>0</v>
      </c>
      <c r="BG307" s="2">
        <f>BH307+BI307+BJ307+BK307</f>
        <v>0</v>
      </c>
      <c r="BH307" s="24">
        <f>BH293+BH297</f>
        <v>0</v>
      </c>
      <c r="BI307" s="24">
        <f>BI293+BI297</f>
        <v>0</v>
      </c>
      <c r="BJ307" s="24">
        <f>BJ293+BJ297</f>
        <v>0</v>
      </c>
      <c r="BK307" s="24">
        <f>BK293+BK297</f>
        <v>0</v>
      </c>
      <c r="BL307" s="2">
        <f>BM307+BN307+BO307+BP307</f>
        <v>0</v>
      </c>
      <c r="BM307" s="24">
        <f>BM293+BM297</f>
        <v>0</v>
      </c>
      <c r="BN307" s="24">
        <f>BN293+BN297</f>
        <v>0</v>
      </c>
      <c r="BO307" s="24">
        <f>BO293+BO297</f>
        <v>0</v>
      </c>
      <c r="BP307" s="24">
        <f>BP293+BP297</f>
        <v>0</v>
      </c>
      <c r="BQ307" s="2">
        <f>BR307+BS307+BT307+BU307</f>
        <v>0</v>
      </c>
      <c r="BR307" s="24">
        <f>BR293+BR297</f>
        <v>0</v>
      </c>
      <c r="BS307" s="24">
        <f>BS293+BS297</f>
        <v>0</v>
      </c>
      <c r="BT307" s="24">
        <f>BT293+BT297</f>
        <v>0</v>
      </c>
      <c r="BU307" s="148">
        <f>BU293+BU297</f>
        <v>0</v>
      </c>
      <c r="BV307" s="2">
        <f>BW307+BX307+BY307+BZ307</f>
        <v>0</v>
      </c>
      <c r="BW307" s="24">
        <f>BW293+BW297</f>
        <v>0</v>
      </c>
      <c r="BX307" s="24">
        <f>BX293+BX297</f>
        <v>0</v>
      </c>
      <c r="BY307" s="24">
        <f>BY293+BY297</f>
        <v>0</v>
      </c>
      <c r="BZ307" s="24">
        <f>BZ293+BZ297</f>
        <v>0</v>
      </c>
      <c r="CA307" s="24">
        <f t="shared" si="1501"/>
        <v>0</v>
      </c>
      <c r="CB307" s="2">
        <f>CC307+CD307+CE307+CF307</f>
        <v>0</v>
      </c>
      <c r="CC307" s="24">
        <f>CC293+CC297</f>
        <v>0</v>
      </c>
      <c r="CD307" s="24">
        <f>CD293+CD297</f>
        <v>0</v>
      </c>
      <c r="CE307" s="24">
        <f>CE293+CE297</f>
        <v>0</v>
      </c>
      <c r="CF307" s="24">
        <f>CF293+CF297</f>
        <v>0</v>
      </c>
      <c r="CG307" s="2">
        <f>CH307+CI307+CJ307+CK307</f>
        <v>0</v>
      </c>
      <c r="CH307" s="24">
        <f t="shared" si="1517"/>
        <v>0</v>
      </c>
      <c r="CI307" s="24">
        <f>CI293+CI297</f>
        <v>0</v>
      </c>
      <c r="CJ307" s="24">
        <f>CJ293+CJ297</f>
        <v>0</v>
      </c>
      <c r="CK307" s="24">
        <f>CK293+CK297</f>
        <v>0</v>
      </c>
      <c r="CL307" s="76"/>
      <c r="CM307" s="45"/>
      <c r="CN307" s="45"/>
      <c r="CO307" s="2">
        <f>CP307+CQ307+CR307+CS307</f>
        <v>0</v>
      </c>
      <c r="CP307" s="24">
        <f>CP293+CP297</f>
        <v>0</v>
      </c>
      <c r="CQ307" s="24">
        <f>CQ293+CQ297</f>
        <v>0</v>
      </c>
      <c r="CR307" s="24">
        <f>CR293+CR297</f>
        <v>0</v>
      </c>
      <c r="CS307" s="24">
        <f>CS293+CS297</f>
        <v>0</v>
      </c>
      <c r="CT307" s="2">
        <f>CU307+CV307+CW307+CX307</f>
        <v>0</v>
      </c>
      <c r="CU307" s="24">
        <f>CU293+CU297</f>
        <v>0</v>
      </c>
      <c r="CV307" s="24">
        <f>CV293+CV297</f>
        <v>0</v>
      </c>
      <c r="CW307" s="24">
        <f>CW293+CW297</f>
        <v>0</v>
      </c>
      <c r="CX307" s="24">
        <f>CX293+CX297</f>
        <v>0</v>
      </c>
      <c r="CY307" s="2">
        <f>CZ307+DA307+DB307+DC307</f>
        <v>0</v>
      </c>
      <c r="CZ307" s="24">
        <f>CZ293+CZ297</f>
        <v>0</v>
      </c>
      <c r="DA307" s="24">
        <f>DA293+DA297</f>
        <v>0</v>
      </c>
      <c r="DB307" s="24">
        <f>DB293+DB297</f>
        <v>0</v>
      </c>
      <c r="DC307" s="24">
        <f>DC293+DC297</f>
        <v>0</v>
      </c>
      <c r="DD307" s="45"/>
      <c r="DE307" s="45"/>
      <c r="DF307" s="45"/>
      <c r="DG307" s="237"/>
      <c r="DH307" s="76"/>
      <c r="DI307" s="76"/>
      <c r="DJ307" s="238"/>
      <c r="DK307" s="45"/>
      <c r="DL307" s="45"/>
      <c r="DM307" s="45"/>
      <c r="DN307" s="45"/>
      <c r="DO307" s="45"/>
      <c r="DP307" s="45"/>
      <c r="DQ307" s="45"/>
      <c r="DR307" s="2">
        <f>DS307+DT307+DU307+DV307</f>
        <v>0</v>
      </c>
      <c r="DS307" s="24">
        <f>DS293+DS297</f>
        <v>0</v>
      </c>
      <c r="DT307" s="24"/>
      <c r="DU307" s="24">
        <f>DU293+DU297</f>
        <v>0</v>
      </c>
      <c r="DV307" s="24">
        <f>DV293+DV297</f>
        <v>0</v>
      </c>
      <c r="DW307" s="2">
        <f>DX307+DY307+DZ307+EA307</f>
        <v>89697.468219999995</v>
      </c>
      <c r="DX307" s="24">
        <f>DX293+DX297</f>
        <v>0</v>
      </c>
      <c r="DY307" s="200"/>
      <c r="DZ307" s="24">
        <f>DZ293+DZ297</f>
        <v>89697.468219999995</v>
      </c>
      <c r="EA307" s="2">
        <f>EA293+EA297</f>
        <v>0</v>
      </c>
      <c r="EB307" s="279"/>
      <c r="EC307" s="291"/>
      <c r="ED307" s="308"/>
      <c r="EE307" s="291"/>
      <c r="EF307" s="291"/>
      <c r="EG307" s="279"/>
      <c r="EH307" s="291"/>
      <c r="EI307" s="308"/>
      <c r="EJ307" s="291"/>
      <c r="EK307" s="291"/>
      <c r="EL307" s="291"/>
      <c r="EM307" s="291"/>
      <c r="EN307" s="291"/>
      <c r="EO307" s="24">
        <f>EO293+EO297</f>
        <v>0</v>
      </c>
      <c r="EP307" s="323"/>
      <c r="EQ307" s="330"/>
      <c r="ER307" s="346"/>
      <c r="ES307" s="330"/>
      <c r="ET307" s="330"/>
      <c r="EU307" s="323"/>
      <c r="EV307" s="330"/>
      <c r="EW307" s="346"/>
      <c r="EX307" s="330"/>
      <c r="EY307" s="330"/>
      <c r="EZ307" s="330"/>
      <c r="FA307" s="330"/>
      <c r="FB307" s="330"/>
      <c r="FC307" s="279"/>
      <c r="FD307" s="291"/>
      <c r="FE307" s="308"/>
      <c r="FF307" s="291"/>
      <c r="FG307" s="291"/>
      <c r="FH307" s="279"/>
      <c r="FI307" s="291"/>
      <c r="FJ307" s="308"/>
      <c r="FK307" s="291"/>
      <c r="FL307" s="291"/>
      <c r="FM307" s="291"/>
      <c r="FN307" s="291"/>
      <c r="FO307" s="291"/>
    </row>
    <row r="308" spans="2:171" s="40" customFormat="1" ht="19.5" hidden="1" customHeight="1" x14ac:dyDescent="0.2">
      <c r="B308" s="173"/>
      <c r="C308" s="174"/>
      <c r="D308" s="173"/>
      <c r="E308" s="175"/>
      <c r="F308" s="173"/>
      <c r="G308" s="174"/>
      <c r="H308" s="173"/>
      <c r="I308" s="173"/>
      <c r="J308" s="173"/>
      <c r="K308" s="173"/>
      <c r="L308" s="173"/>
      <c r="M308" s="176"/>
      <c r="N308" s="177" t="s">
        <v>289</v>
      </c>
      <c r="O308" s="177"/>
      <c r="P308" s="423">
        <f t="shared" si="1502"/>
        <v>62701.032009999733</v>
      </c>
      <c r="Q308" s="177"/>
      <c r="R308" s="177"/>
      <c r="S308" s="177"/>
      <c r="T308" s="177"/>
      <c r="U308" s="177"/>
      <c r="V308" s="177"/>
      <c r="W308" s="180">
        <f>X308+Y308+Z308+AA308</f>
        <v>1186746.3259999999</v>
      </c>
      <c r="X308" s="181">
        <f>X294+X298</f>
        <v>251056.89799999999</v>
      </c>
      <c r="Y308" s="181">
        <f>Y294+Y298</f>
        <v>229999.99999999997</v>
      </c>
      <c r="Z308" s="181">
        <f>Z294</f>
        <v>705689.42799999996</v>
      </c>
      <c r="AA308" s="179">
        <f>AA294</f>
        <v>0</v>
      </c>
      <c r="AB308" s="178">
        <f>AC308+AD308+AE308+AF308</f>
        <v>1030130.642</v>
      </c>
      <c r="AC308" s="179">
        <f>AC294+AC298</f>
        <v>545404.59100000001</v>
      </c>
      <c r="AD308" s="179">
        <f>AD294+AD298</f>
        <v>230000.00000000003</v>
      </c>
      <c r="AE308" s="179">
        <f>AE294</f>
        <v>254726.05099999998</v>
      </c>
      <c r="AF308" s="179">
        <f>AF294</f>
        <v>0</v>
      </c>
      <c r="AG308" s="178">
        <f>AH308+AI308+AJ308+AK308</f>
        <v>974270.64899999998</v>
      </c>
      <c r="AH308" s="179">
        <f>AH294+AH298</f>
        <v>489544.598</v>
      </c>
      <c r="AI308" s="179">
        <f>AI294+AI298</f>
        <v>230000.00000000003</v>
      </c>
      <c r="AJ308" s="179">
        <f>AJ294</f>
        <v>254726.05100000001</v>
      </c>
      <c r="AK308" s="179">
        <f>AK294</f>
        <v>0</v>
      </c>
      <c r="AL308" s="178">
        <f>AM308+AN308+AO308+AP308</f>
        <v>683000</v>
      </c>
      <c r="AM308" s="179">
        <f>AM294+AM298</f>
        <v>421431.3</v>
      </c>
      <c r="AN308" s="179">
        <f>AN294+AN298</f>
        <v>100000</v>
      </c>
      <c r="AO308" s="179">
        <f>AO294</f>
        <v>161568.70000000001</v>
      </c>
      <c r="AP308" s="179">
        <f>AP294</f>
        <v>0</v>
      </c>
      <c r="AQ308" s="393"/>
      <c r="AR308" s="180">
        <f>AS308+AT308+AU308+AV308</f>
        <v>1169918.6534679998</v>
      </c>
      <c r="AS308" s="181">
        <f>AS294+AS298</f>
        <v>251056.89799999999</v>
      </c>
      <c r="AT308" s="181">
        <f>AT294+AT298</f>
        <v>221819.15705800004</v>
      </c>
      <c r="AU308" s="181">
        <f>AU294</f>
        <v>697042.59840999986</v>
      </c>
      <c r="AV308" s="181">
        <f>AV294</f>
        <v>0</v>
      </c>
      <c r="AW308" s="180" t="e">
        <f>AX308+AY308+AZ308+BA308</f>
        <v>#REF!</v>
      </c>
      <c r="AX308" s="181" t="e">
        <f>AX294+AX298</f>
        <v>#REF!</v>
      </c>
      <c r="AY308" s="181" t="e">
        <f>AY294+AY298</f>
        <v>#REF!</v>
      </c>
      <c r="AZ308" s="181" t="e">
        <f>AZ294</f>
        <v>#REF!</v>
      </c>
      <c r="BA308" s="181" t="e">
        <f>BA294</f>
        <v>#REF!</v>
      </c>
      <c r="BB308" s="180">
        <f>BC308+BD308+BE308+BF308</f>
        <v>771349.80851999996</v>
      </c>
      <c r="BC308" s="181">
        <f>BC294+BC298</f>
        <v>292701.18051999999</v>
      </c>
      <c r="BD308" s="181">
        <f>BD294+BD298</f>
        <v>223922.57699999999</v>
      </c>
      <c r="BE308" s="181">
        <f>BE294</f>
        <v>254726.05100000004</v>
      </c>
      <c r="BF308" s="181">
        <f>BF294</f>
        <v>0</v>
      </c>
      <c r="BG308" s="180">
        <f>BH308+BI308+BJ308+BK308</f>
        <v>0</v>
      </c>
      <c r="BH308" s="181">
        <f>BH294+BH298</f>
        <v>0</v>
      </c>
      <c r="BI308" s="181">
        <f>BI294+BI298</f>
        <v>0</v>
      </c>
      <c r="BJ308" s="181">
        <f>BJ294</f>
        <v>0</v>
      </c>
      <c r="BK308" s="181">
        <f>BK294</f>
        <v>0</v>
      </c>
      <c r="BL308" s="180">
        <f>BM308+BN308+BO308+BP308</f>
        <v>1160944.2022699998</v>
      </c>
      <c r="BM308" s="181">
        <f>BM294+BM298</f>
        <v>249964.59700000001</v>
      </c>
      <c r="BN308" s="181">
        <f>BN294+BN298</f>
        <v>219066.80106000003</v>
      </c>
      <c r="BO308" s="181">
        <f>BO294</f>
        <v>691912.80420999986</v>
      </c>
      <c r="BP308" s="181">
        <f>BP294</f>
        <v>0</v>
      </c>
      <c r="BQ308" s="180">
        <f>BR308+BS308+BT308+BU308</f>
        <v>1098243.17026</v>
      </c>
      <c r="BR308" s="181">
        <f>BR294+BR298</f>
        <v>187263.56499000001</v>
      </c>
      <c r="BS308" s="181">
        <f>BS294+BS298</f>
        <v>219066.80106000003</v>
      </c>
      <c r="BT308" s="181">
        <f>BT294</f>
        <v>691912.80420999986</v>
      </c>
      <c r="BU308" s="179">
        <f>BU294</f>
        <v>0</v>
      </c>
      <c r="BV308" s="180">
        <f>BW308+BX308+BY308+BZ308</f>
        <v>177214.22271</v>
      </c>
      <c r="BW308" s="181">
        <f>BW294+BW298</f>
        <v>7413.3918800000001</v>
      </c>
      <c r="BX308" s="181">
        <f>BX294+BX298</f>
        <v>80103.362610000011</v>
      </c>
      <c r="BY308" s="181">
        <f>BY294</f>
        <v>89697.468219999995</v>
      </c>
      <c r="BZ308" s="181">
        <f>BZ294</f>
        <v>0</v>
      </c>
      <c r="CA308" s="181">
        <f t="shared" si="1501"/>
        <v>1275457.3929699999</v>
      </c>
      <c r="CB308" s="180">
        <f>CC308+CD308+CE308+CF308</f>
        <v>1275457.3929699999</v>
      </c>
      <c r="CC308" s="181">
        <f>CC294+CC298</f>
        <v>194676.95687000002</v>
      </c>
      <c r="CD308" s="181">
        <f>CD294+CD298</f>
        <v>299170.16367000004</v>
      </c>
      <c r="CE308" s="181">
        <f>CE294</f>
        <v>781610.2724299999</v>
      </c>
      <c r="CF308" s="181">
        <f>CF294</f>
        <v>0</v>
      </c>
      <c r="CG308" s="180">
        <f>CH308+CI308+CJ308+CK308</f>
        <v>62701.032009999995</v>
      </c>
      <c r="CH308" s="181">
        <f t="shared" si="1517"/>
        <v>62701.032009999995</v>
      </c>
      <c r="CI308" s="181">
        <f>CI294+CI298</f>
        <v>0</v>
      </c>
      <c r="CJ308" s="181">
        <f>CJ294</f>
        <v>0</v>
      </c>
      <c r="CK308" s="181">
        <f>CK294</f>
        <v>0</v>
      </c>
      <c r="CL308" s="76"/>
      <c r="CM308" s="45"/>
      <c r="CN308" s="45"/>
      <c r="CO308" s="180">
        <f>CP308+CQ308+CR308+CS308</f>
        <v>0</v>
      </c>
      <c r="CP308" s="181">
        <f>CP294+CP298</f>
        <v>0</v>
      </c>
      <c r="CQ308" s="181">
        <f>CQ294+CQ298</f>
        <v>0</v>
      </c>
      <c r="CR308" s="181">
        <f>CR294</f>
        <v>0</v>
      </c>
      <c r="CS308" s="181">
        <f>CS294</f>
        <v>0</v>
      </c>
      <c r="CT308" s="180">
        <f>CU308+CV308+CW308+CX308</f>
        <v>0</v>
      </c>
      <c r="CU308" s="181">
        <f>CU294+CU298</f>
        <v>0</v>
      </c>
      <c r="CV308" s="181">
        <f>CV294+CV298</f>
        <v>0</v>
      </c>
      <c r="CW308" s="181">
        <f>CW294</f>
        <v>0</v>
      </c>
      <c r="CX308" s="181">
        <f>CX294</f>
        <v>0</v>
      </c>
      <c r="CY308" s="180">
        <f>CZ308+DA308+DB308+DC308</f>
        <v>0</v>
      </c>
      <c r="CZ308" s="181">
        <f>CZ294+CZ298</f>
        <v>0</v>
      </c>
      <c r="DA308" s="181">
        <f>DA294+DA298</f>
        <v>0</v>
      </c>
      <c r="DB308" s="181"/>
      <c r="DC308" s="181"/>
      <c r="DD308" s="45"/>
      <c r="DE308" s="45"/>
      <c r="DF308" s="45"/>
      <c r="DG308" s="237"/>
      <c r="DH308" s="76"/>
      <c r="DI308" s="76"/>
      <c r="DJ308" s="238"/>
      <c r="DK308" s="45"/>
      <c r="DL308" s="45"/>
      <c r="DM308" s="45"/>
      <c r="DN308" s="45"/>
      <c r="DO308" s="45"/>
      <c r="DP308" s="45"/>
      <c r="DQ308" s="45"/>
      <c r="DR308" s="180">
        <f>DS308+DT308+DU308+DV308</f>
        <v>187263.56499000001</v>
      </c>
      <c r="DS308" s="181">
        <f>DS294+DS298</f>
        <v>187263.56499000001</v>
      </c>
      <c r="DT308" s="181"/>
      <c r="DU308" s="181"/>
      <c r="DV308" s="181"/>
      <c r="DW308" s="180">
        <f>DX308+DY308+DZ308+EA308</f>
        <v>7413.3918800000001</v>
      </c>
      <c r="DX308" s="181">
        <f>DX294+DX298</f>
        <v>7413.3918800000001</v>
      </c>
      <c r="DY308" s="198"/>
      <c r="DZ308" s="24"/>
      <c r="EA308" s="2"/>
      <c r="EB308" s="300"/>
      <c r="EC308" s="301"/>
      <c r="ED308" s="302"/>
      <c r="EE308" s="291"/>
      <c r="EF308" s="291"/>
      <c r="EG308" s="300"/>
      <c r="EH308" s="301"/>
      <c r="EI308" s="302"/>
      <c r="EJ308" s="291"/>
      <c r="EK308" s="291"/>
      <c r="EL308" s="291"/>
      <c r="EM308" s="291"/>
      <c r="EN308" s="291"/>
      <c r="EO308" s="24"/>
      <c r="EP308" s="338"/>
      <c r="EQ308" s="339"/>
      <c r="ER308" s="340"/>
      <c r="ES308" s="330"/>
      <c r="ET308" s="330"/>
      <c r="EU308" s="338"/>
      <c r="EV308" s="339"/>
      <c r="EW308" s="340"/>
      <c r="EX308" s="330"/>
      <c r="EY308" s="330"/>
      <c r="EZ308" s="330"/>
      <c r="FA308" s="330"/>
      <c r="FB308" s="330"/>
      <c r="FC308" s="300"/>
      <c r="FD308" s="301"/>
      <c r="FE308" s="302"/>
      <c r="FF308" s="291"/>
      <c r="FG308" s="291"/>
      <c r="FH308" s="300"/>
      <c r="FI308" s="301"/>
      <c r="FJ308" s="302"/>
      <c r="FK308" s="291"/>
      <c r="FL308" s="291"/>
      <c r="FM308" s="291"/>
      <c r="FN308" s="291"/>
      <c r="FO308" s="291"/>
    </row>
    <row r="309" spans="2:171" s="186" customFormat="1" ht="31.15" hidden="1" customHeight="1" x14ac:dyDescent="0.2">
      <c r="B309" s="122"/>
      <c r="C309" s="122"/>
      <c r="D309" s="122"/>
      <c r="E309" s="123"/>
      <c r="F309" s="122"/>
      <c r="G309" s="122"/>
      <c r="H309" s="122"/>
      <c r="I309" s="122"/>
      <c r="J309" s="122"/>
      <c r="K309" s="122"/>
      <c r="L309" s="122"/>
      <c r="M309" s="633" t="s">
        <v>428</v>
      </c>
      <c r="N309" s="633"/>
      <c r="O309" s="439"/>
      <c r="P309" s="424">
        <f t="shared" si="1502"/>
        <v>0</v>
      </c>
      <c r="Q309" s="439"/>
      <c r="R309" s="439"/>
      <c r="S309" s="439"/>
      <c r="T309" s="439"/>
      <c r="U309" s="408"/>
      <c r="V309" s="439"/>
      <c r="W309" s="68"/>
      <c r="X309" s="68"/>
      <c r="Y309" s="68"/>
      <c r="Z309" s="68"/>
      <c r="AA309" s="172"/>
      <c r="AB309" s="172"/>
      <c r="AC309" s="172"/>
      <c r="AD309" s="172"/>
      <c r="AE309" s="172"/>
      <c r="AF309" s="172"/>
      <c r="AG309" s="172"/>
      <c r="AH309" s="172"/>
      <c r="AI309" s="172"/>
      <c r="AJ309" s="172"/>
      <c r="AK309" s="172"/>
      <c r="AL309" s="172"/>
      <c r="AM309" s="172"/>
      <c r="AN309" s="172"/>
      <c r="AO309" s="172"/>
      <c r="AP309" s="172"/>
      <c r="AQ309" s="387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  <c r="BI309" s="68"/>
      <c r="BJ309" s="68"/>
      <c r="BK309" s="68"/>
      <c r="BL309" s="68"/>
      <c r="BM309" s="68"/>
      <c r="BN309" s="68"/>
      <c r="BO309" s="68"/>
      <c r="BP309" s="68"/>
      <c r="BQ309" s="68"/>
      <c r="BR309" s="68"/>
      <c r="BS309" s="68"/>
      <c r="BT309" s="68"/>
      <c r="BU309" s="172"/>
      <c r="BV309" s="68"/>
      <c r="BW309" s="68"/>
      <c r="BX309" s="68"/>
      <c r="BY309" s="68"/>
      <c r="BZ309" s="68"/>
      <c r="CA309" s="68"/>
      <c r="CB309" s="68"/>
      <c r="CC309" s="68"/>
      <c r="CD309" s="68"/>
      <c r="CE309" s="68"/>
      <c r="CF309" s="68"/>
      <c r="CG309" s="68"/>
      <c r="CH309" s="68"/>
      <c r="CI309" s="68"/>
      <c r="CJ309" s="68"/>
      <c r="CK309" s="68"/>
      <c r="CL309" s="239"/>
      <c r="CM309" s="239"/>
      <c r="CN309" s="239"/>
      <c r="CO309" s="68"/>
      <c r="CP309" s="68"/>
      <c r="CQ309" s="68"/>
      <c r="CR309" s="68"/>
      <c r="CS309" s="68"/>
      <c r="CT309" s="68"/>
      <c r="CU309" s="68"/>
      <c r="CV309" s="68"/>
      <c r="CW309" s="68"/>
      <c r="CX309" s="68"/>
      <c r="CY309" s="68"/>
      <c r="CZ309" s="68"/>
      <c r="DA309" s="68"/>
      <c r="DB309" s="68"/>
      <c r="DC309" s="68"/>
      <c r="DD309" s="239"/>
      <c r="DE309" s="239"/>
      <c r="DF309" s="239"/>
      <c r="DG309" s="239"/>
      <c r="DH309" s="239"/>
      <c r="DI309" s="239"/>
      <c r="DJ309" s="239"/>
      <c r="DK309" s="239"/>
      <c r="DL309" s="239"/>
      <c r="DM309" s="239"/>
      <c r="DN309" s="239"/>
      <c r="DO309" s="239"/>
      <c r="DP309" s="239"/>
      <c r="DQ309" s="239"/>
      <c r="DR309" s="68"/>
      <c r="DS309" s="68"/>
      <c r="DT309" s="68"/>
      <c r="DU309" s="68"/>
      <c r="DV309" s="68"/>
      <c r="DW309" s="68"/>
      <c r="DX309" s="68"/>
      <c r="DY309" s="201"/>
      <c r="DZ309" s="68"/>
      <c r="EA309" s="228"/>
      <c r="EB309" s="68"/>
      <c r="EC309" s="68"/>
      <c r="ED309" s="201"/>
      <c r="EE309" s="68"/>
      <c r="EF309" s="68"/>
      <c r="EG309" s="68"/>
      <c r="EH309" s="68"/>
      <c r="EI309" s="201"/>
      <c r="EJ309" s="68"/>
      <c r="EK309" s="68"/>
      <c r="EL309" s="68"/>
      <c r="EM309" s="68"/>
      <c r="EN309" s="68"/>
      <c r="EO309" s="68"/>
      <c r="EP309" s="68"/>
      <c r="EQ309" s="68"/>
      <c r="ER309" s="201"/>
      <c r="ES309" s="68"/>
      <c r="ET309" s="68"/>
      <c r="EU309" s="68"/>
      <c r="EV309" s="68"/>
      <c r="EW309" s="201"/>
      <c r="EX309" s="68"/>
      <c r="EY309" s="68"/>
      <c r="EZ309" s="68"/>
      <c r="FA309" s="68"/>
      <c r="FB309" s="68"/>
      <c r="FC309" s="68"/>
      <c r="FD309" s="68"/>
      <c r="FE309" s="201"/>
      <c r="FF309" s="68"/>
      <c r="FG309" s="68"/>
      <c r="FH309" s="68"/>
      <c r="FI309" s="68"/>
      <c r="FJ309" s="201"/>
      <c r="FK309" s="68"/>
      <c r="FL309" s="68"/>
      <c r="FM309" s="68"/>
      <c r="FN309" s="68"/>
      <c r="FO309" s="68"/>
    </row>
    <row r="310" spans="2:171" s="40" customFormat="1" ht="27.6" hidden="1" customHeight="1" x14ac:dyDescent="0.2">
      <c r="B310" s="35"/>
      <c r="C310" s="36"/>
      <c r="D310" s="35"/>
      <c r="E310" s="43"/>
      <c r="F310" s="35"/>
      <c r="G310" s="36"/>
      <c r="H310" s="35"/>
      <c r="I310" s="35"/>
      <c r="J310" s="35"/>
      <c r="K310" s="35"/>
      <c r="L310" s="35"/>
      <c r="M310" s="402">
        <v>1</v>
      </c>
      <c r="N310" s="405" t="s">
        <v>475</v>
      </c>
      <c r="O310" s="183"/>
      <c r="P310" s="413">
        <f t="shared" si="1502"/>
        <v>0</v>
      </c>
      <c r="Q310" s="183"/>
      <c r="R310" s="183"/>
      <c r="S310" s="183"/>
      <c r="T310" s="183"/>
      <c r="U310" s="246">
        <v>1</v>
      </c>
      <c r="V310" s="410">
        <v>1</v>
      </c>
      <c r="W310" s="46">
        <f>X310+Y310+Z310+AA310</f>
        <v>4455.7740000000003</v>
      </c>
      <c r="X310" s="94"/>
      <c r="Y310" s="94">
        <v>4455.7740000000003</v>
      </c>
      <c r="Z310" s="94"/>
      <c r="AA310" s="154"/>
      <c r="AB310" s="185">
        <f t="shared" ref="AB310:AB311" si="1640">AC310+AD310+AE310+AF310</f>
        <v>0</v>
      </c>
      <c r="AC310" s="154"/>
      <c r="AD310" s="154"/>
      <c r="AE310" s="154"/>
      <c r="AF310" s="154"/>
      <c r="AG310" s="185">
        <f t="shared" ref="AG310:AG311" si="1641">AH310+AI310+AJ310+AK310</f>
        <v>0</v>
      </c>
      <c r="AH310" s="154"/>
      <c r="AI310" s="154"/>
      <c r="AJ310" s="154"/>
      <c r="AK310" s="154"/>
      <c r="AL310" s="185">
        <f t="shared" ref="AL310:AL311" si="1642">AM310+AN310+AO310+AP310</f>
        <v>0</v>
      </c>
      <c r="AM310" s="154"/>
      <c r="AN310" s="154"/>
      <c r="AO310" s="154"/>
      <c r="AP310" s="154"/>
      <c r="AQ310" s="94" t="s">
        <v>504</v>
      </c>
      <c r="AR310" s="46">
        <f t="shared" ref="AR310:AR312" si="1643">AS310+AT310+AU310+AV310</f>
        <v>4455.7740000000003</v>
      </c>
      <c r="AS310" s="94"/>
      <c r="AT310" s="94">
        <v>4455.7740000000003</v>
      </c>
      <c r="AU310" s="94"/>
      <c r="AV310" s="94"/>
      <c r="AW310" s="46" t="e">
        <f t="shared" ref="AW310:AW312" si="1644">AX310+AY310+AZ310+BA310</f>
        <v>#REF!</v>
      </c>
      <c r="AX310" s="94"/>
      <c r="AY310" s="94" t="e">
        <f>#REF!-AT310</f>
        <v>#REF!</v>
      </c>
      <c r="AZ310" s="94"/>
      <c r="BA310" s="94"/>
      <c r="BB310" s="46">
        <f t="shared" ref="BB310:BB312" si="1645">BC310+BD310+BE310+BF310</f>
        <v>9535.06</v>
      </c>
      <c r="BC310" s="94">
        <v>9535.06</v>
      </c>
      <c r="BD310" s="94"/>
      <c r="BE310" s="94"/>
      <c r="BF310" s="94"/>
      <c r="BG310" s="46">
        <f t="shared" ref="BG310:BG311" si="1646">BH310+BI310+BJ310+BK310</f>
        <v>0</v>
      </c>
      <c r="BH310" s="94"/>
      <c r="BI310" s="94"/>
      <c r="BJ310" s="94"/>
      <c r="BK310" s="94"/>
      <c r="BL310" s="46">
        <f t="shared" ref="BL310:BL312" si="1647">BM310+BN310+BO310+BP310</f>
        <v>4455.7740000000003</v>
      </c>
      <c r="BM310" s="94"/>
      <c r="BN310" s="94">
        <v>4455.7740000000003</v>
      </c>
      <c r="BO310" s="94"/>
      <c r="BP310" s="94"/>
      <c r="BQ310" s="46">
        <f t="shared" ref="BQ310:BQ312" si="1648">BR310+BS310+BT310+BU310</f>
        <v>4455.7740000000003</v>
      </c>
      <c r="BR310" s="94"/>
      <c r="BS310" s="94">
        <v>4455.7740000000003</v>
      </c>
      <c r="BT310" s="94"/>
      <c r="BU310" s="154"/>
      <c r="BV310" s="46">
        <f t="shared" ref="BV310:BV312" si="1649">BW310+BX310+BY310+BZ310</f>
        <v>0</v>
      </c>
      <c r="BW310" s="94"/>
      <c r="BX310" s="94"/>
      <c r="BY310" s="94"/>
      <c r="BZ310" s="94"/>
      <c r="CA310" s="94">
        <f t="shared" si="1501"/>
        <v>4455.7740000000003</v>
      </c>
      <c r="CB310" s="46">
        <f t="shared" ref="CB310:CB313" si="1650">CC310+CD310+CE310+CF310</f>
        <v>4455.7740000000003</v>
      </c>
      <c r="CC310" s="94"/>
      <c r="CD310" s="94">
        <f t="shared" ref="CD310:CD318" si="1651">BS310+BX310</f>
        <v>4455.7740000000003</v>
      </c>
      <c r="CE310" s="94"/>
      <c r="CF310" s="94"/>
      <c r="CG310" s="46">
        <f t="shared" ref="CG310:CG313" si="1652">CH310+CI310+CJ310+CK310</f>
        <v>0</v>
      </c>
      <c r="CH310" s="46">
        <f t="shared" si="1517"/>
        <v>0</v>
      </c>
      <c r="CI310" s="46">
        <f>BN310-BS310</f>
        <v>0</v>
      </c>
      <c r="CJ310" s="46"/>
      <c r="CK310" s="46"/>
      <c r="CL310" s="76"/>
      <c r="CM310" s="45"/>
      <c r="CN310" s="45"/>
      <c r="CO310" s="46">
        <f t="shared" ref="CO310:CO311" si="1653">CP310+CQ310+CR310+CS310</f>
        <v>0</v>
      </c>
      <c r="CP310" s="94"/>
      <c r="CQ310" s="94"/>
      <c r="CR310" s="94"/>
      <c r="CS310" s="94"/>
      <c r="CT310" s="46">
        <f t="shared" ref="CT310:CT311" si="1654">CU310+CV310+CW310+CX310</f>
        <v>0</v>
      </c>
      <c r="CU310" s="94"/>
      <c r="CV310" s="94"/>
      <c r="CW310" s="94"/>
      <c r="CX310" s="94"/>
      <c r="CY310" s="46">
        <f>CZ310+DA310+DB310+DC310</f>
        <v>0</v>
      </c>
      <c r="CZ310" s="94"/>
      <c r="DA310" s="94"/>
      <c r="DB310" s="94"/>
      <c r="DC310" s="94"/>
      <c r="DD310" s="45"/>
      <c r="DE310" s="45"/>
      <c r="DF310" s="45"/>
      <c r="DG310" s="237"/>
      <c r="DH310" s="76"/>
      <c r="DI310" s="76"/>
      <c r="DJ310" s="238"/>
      <c r="DK310" s="45"/>
      <c r="DL310" s="45"/>
      <c r="DM310" s="45"/>
      <c r="DN310" s="45"/>
      <c r="DO310" s="45"/>
      <c r="DP310" s="45"/>
      <c r="DQ310" s="45"/>
      <c r="DR310" s="46">
        <f>DS310+DT310+DU310+DV310</f>
        <v>4455.7740000000003</v>
      </c>
      <c r="DS310" s="94"/>
      <c r="DT310" s="94">
        <v>4455.7740000000003</v>
      </c>
      <c r="DU310" s="94"/>
      <c r="DV310" s="94"/>
      <c r="DW310" s="46">
        <f>DX310+DY310+DZ310+EA310</f>
        <v>0</v>
      </c>
      <c r="DX310" s="94"/>
      <c r="DY310" s="240"/>
      <c r="DZ310" s="24"/>
      <c r="EA310" s="2"/>
      <c r="EB310" s="310"/>
      <c r="EC310" s="277"/>
      <c r="ED310" s="311"/>
      <c r="EE310" s="291"/>
      <c r="EF310" s="291"/>
      <c r="EG310" s="310"/>
      <c r="EH310" s="277"/>
      <c r="EI310" s="311"/>
      <c r="EJ310" s="291"/>
      <c r="EK310" s="291"/>
      <c r="EL310" s="291"/>
      <c r="EM310" s="291"/>
      <c r="EN310" s="291"/>
      <c r="EO310" s="24"/>
      <c r="EP310" s="348"/>
      <c r="EQ310" s="319"/>
      <c r="ER310" s="349"/>
      <c r="ES310" s="330"/>
      <c r="ET310" s="330"/>
      <c r="EU310" s="348"/>
      <c r="EV310" s="319"/>
      <c r="EW310" s="349"/>
      <c r="EX310" s="330"/>
      <c r="EY310" s="330"/>
      <c r="EZ310" s="330"/>
      <c r="FA310" s="330"/>
      <c r="FB310" s="330"/>
      <c r="FC310" s="310"/>
      <c r="FD310" s="277"/>
      <c r="FE310" s="311"/>
      <c r="FF310" s="291"/>
      <c r="FG310" s="291"/>
      <c r="FH310" s="310"/>
      <c r="FI310" s="277"/>
      <c r="FJ310" s="311"/>
      <c r="FK310" s="291"/>
      <c r="FL310" s="291"/>
      <c r="FM310" s="291"/>
      <c r="FN310" s="291"/>
      <c r="FO310" s="291"/>
    </row>
    <row r="311" spans="2:171" s="40" customFormat="1" ht="25.9" hidden="1" customHeight="1" x14ac:dyDescent="0.2">
      <c r="B311" s="35"/>
      <c r="C311" s="36"/>
      <c r="D311" s="35"/>
      <c r="E311" s="42"/>
      <c r="F311" s="35"/>
      <c r="G311" s="36"/>
      <c r="H311" s="35"/>
      <c r="I311" s="35"/>
      <c r="J311" s="35"/>
      <c r="K311" s="35"/>
      <c r="L311" s="35"/>
      <c r="M311" s="402">
        <v>2</v>
      </c>
      <c r="N311" s="403"/>
      <c r="O311" s="66"/>
      <c r="P311" s="414">
        <f t="shared" si="1502"/>
        <v>0</v>
      </c>
      <c r="Q311" s="66"/>
      <c r="R311" s="66"/>
      <c r="S311" s="66"/>
      <c r="T311" s="66"/>
      <c r="U311" s="247"/>
      <c r="V311" s="438"/>
      <c r="W311" s="2">
        <f>X311+Y311+Z311+AA311</f>
        <v>0</v>
      </c>
      <c r="X311" s="2"/>
      <c r="Y311" s="24"/>
      <c r="Z311" s="24"/>
      <c r="AA311" s="148"/>
      <c r="AB311" s="146">
        <f t="shared" si="1640"/>
        <v>0</v>
      </c>
      <c r="AC311" s="148"/>
      <c r="AD311" s="148"/>
      <c r="AE311" s="148"/>
      <c r="AF311" s="148"/>
      <c r="AG311" s="146">
        <f t="shared" si="1641"/>
        <v>0</v>
      </c>
      <c r="AH311" s="148"/>
      <c r="AI311" s="148"/>
      <c r="AJ311" s="148"/>
      <c r="AK311" s="148"/>
      <c r="AL311" s="146">
        <f t="shared" si="1642"/>
        <v>0</v>
      </c>
      <c r="AM311" s="148"/>
      <c r="AN311" s="148"/>
      <c r="AO311" s="148"/>
      <c r="AP311" s="148"/>
      <c r="AQ311" s="448"/>
      <c r="AR311" s="2">
        <f t="shared" si="1643"/>
        <v>0</v>
      </c>
      <c r="AS311" s="2"/>
      <c r="AT311" s="24"/>
      <c r="AU311" s="24"/>
      <c r="AV311" s="24"/>
      <c r="AW311" s="2" t="e">
        <f t="shared" si="1644"/>
        <v>#REF!</v>
      </c>
      <c r="AX311" s="24"/>
      <c r="AY311" s="24" t="e">
        <f>#REF!-AT311</f>
        <v>#REF!</v>
      </c>
      <c r="AZ311" s="24"/>
      <c r="BA311" s="24"/>
      <c r="BB311" s="2">
        <f t="shared" si="1645"/>
        <v>0</v>
      </c>
      <c r="BC311" s="24"/>
      <c r="BD311" s="24"/>
      <c r="BE311" s="24"/>
      <c r="BF311" s="24"/>
      <c r="BG311" s="2">
        <f t="shared" si="1646"/>
        <v>0</v>
      </c>
      <c r="BH311" s="24"/>
      <c r="BI311" s="24"/>
      <c r="BJ311" s="24"/>
      <c r="BK311" s="24"/>
      <c r="BL311" s="2">
        <f t="shared" si="1647"/>
        <v>0</v>
      </c>
      <c r="BM311" s="2"/>
      <c r="BN311" s="24"/>
      <c r="BO311" s="24"/>
      <c r="BP311" s="24"/>
      <c r="BQ311" s="2">
        <f t="shared" si="1648"/>
        <v>0</v>
      </c>
      <c r="BR311" s="2"/>
      <c r="BS311" s="24"/>
      <c r="BT311" s="24"/>
      <c r="BU311" s="148"/>
      <c r="BV311" s="2">
        <f t="shared" si="1649"/>
        <v>0</v>
      </c>
      <c r="BW311" s="24"/>
      <c r="BX311" s="24"/>
      <c r="BY311" s="3"/>
      <c r="BZ311" s="3"/>
      <c r="CA311" s="24">
        <f t="shared" si="1501"/>
        <v>0</v>
      </c>
      <c r="CB311" s="2">
        <f t="shared" si="1650"/>
        <v>0</v>
      </c>
      <c r="CC311" s="24"/>
      <c r="CD311" s="24">
        <f t="shared" si="1651"/>
        <v>0</v>
      </c>
      <c r="CE311" s="3"/>
      <c r="CF311" s="3"/>
      <c r="CG311" s="2">
        <f t="shared" si="1652"/>
        <v>0</v>
      </c>
      <c r="CH311" s="2">
        <f t="shared" si="1517"/>
        <v>0</v>
      </c>
      <c r="CI311" s="2">
        <f t="shared" si="1517"/>
        <v>0</v>
      </c>
      <c r="CJ311" s="2"/>
      <c r="CK311" s="2"/>
      <c r="CL311" s="76"/>
      <c r="CM311" s="45"/>
      <c r="CN311" s="45"/>
      <c r="CO311" s="2">
        <f t="shared" si="1653"/>
        <v>0</v>
      </c>
      <c r="CP311" s="24"/>
      <c r="CQ311" s="24"/>
      <c r="CR311" s="24"/>
      <c r="CS311" s="24"/>
      <c r="CT311" s="2">
        <f t="shared" si="1654"/>
        <v>0</v>
      </c>
      <c r="CU311" s="24"/>
      <c r="CV311" s="24"/>
      <c r="CW311" s="24"/>
      <c r="CX311" s="24"/>
      <c r="CY311" s="2">
        <f>CZ311+DA311+DB311+DC311</f>
        <v>0</v>
      </c>
      <c r="CZ311" s="24"/>
      <c r="DA311" s="3"/>
      <c r="DB311" s="3"/>
      <c r="DC311" s="3"/>
      <c r="DD311" s="45"/>
      <c r="DE311" s="45"/>
      <c r="DF311" s="45"/>
      <c r="DG311" s="237"/>
      <c r="DH311" s="76"/>
      <c r="DI311" s="76"/>
      <c r="DJ311" s="238"/>
      <c r="DK311" s="45"/>
      <c r="DL311" s="45"/>
      <c r="DM311" s="45"/>
      <c r="DN311" s="45"/>
      <c r="DO311" s="45"/>
      <c r="DP311" s="45"/>
      <c r="DQ311" s="45"/>
      <c r="DR311" s="2">
        <f t="shared" ref="DR311:DR312" si="1655">DS311+DT311+DU311+DV311</f>
        <v>0</v>
      </c>
      <c r="DS311" s="2"/>
      <c r="DT311" s="24"/>
      <c r="DU311" s="3"/>
      <c r="DV311" s="3"/>
      <c r="DW311" s="2">
        <f>DX311+DY311+DZ311+EA311</f>
        <v>0</v>
      </c>
      <c r="DX311" s="24"/>
      <c r="DY311" s="200"/>
      <c r="DZ311" s="3"/>
      <c r="EA311" s="226"/>
      <c r="EB311" s="279"/>
      <c r="EC311" s="291"/>
      <c r="ED311" s="308"/>
      <c r="EE311" s="278"/>
      <c r="EF311" s="278"/>
      <c r="EG311" s="279"/>
      <c r="EH311" s="291"/>
      <c r="EI311" s="308"/>
      <c r="EJ311" s="278"/>
      <c r="EK311" s="278"/>
      <c r="EL311" s="278"/>
      <c r="EM311" s="278"/>
      <c r="EN311" s="278"/>
      <c r="EO311" s="3"/>
      <c r="EP311" s="323"/>
      <c r="EQ311" s="330"/>
      <c r="ER311" s="346"/>
      <c r="ES311" s="322"/>
      <c r="ET311" s="322"/>
      <c r="EU311" s="323"/>
      <c r="EV311" s="330"/>
      <c r="EW311" s="346"/>
      <c r="EX311" s="322"/>
      <c r="EY311" s="322"/>
      <c r="EZ311" s="322"/>
      <c r="FA311" s="322"/>
      <c r="FB311" s="322"/>
      <c r="FC311" s="279"/>
      <c r="FD311" s="291"/>
      <c r="FE311" s="308"/>
      <c r="FF311" s="278"/>
      <c r="FG311" s="278"/>
      <c r="FH311" s="279"/>
      <c r="FI311" s="291"/>
      <c r="FJ311" s="308"/>
      <c r="FK311" s="278"/>
      <c r="FL311" s="278"/>
      <c r="FM311" s="278"/>
      <c r="FN311" s="278"/>
      <c r="FO311" s="278"/>
    </row>
    <row r="312" spans="2:171" s="40" customFormat="1" ht="21" hidden="1" customHeight="1" x14ac:dyDescent="0.2">
      <c r="B312" s="51"/>
      <c r="C312" s="51"/>
      <c r="D312" s="51"/>
      <c r="E312" s="67"/>
      <c r="F312" s="51"/>
      <c r="G312" s="51"/>
      <c r="H312" s="51"/>
      <c r="I312" s="51"/>
      <c r="J312" s="51"/>
      <c r="K312" s="51"/>
      <c r="L312" s="51"/>
      <c r="M312" s="434">
        <v>3</v>
      </c>
      <c r="N312" s="404"/>
      <c r="O312" s="66"/>
      <c r="P312" s="414">
        <f t="shared" si="1502"/>
        <v>0</v>
      </c>
      <c r="Q312" s="66"/>
      <c r="R312" s="66"/>
      <c r="S312" s="66"/>
      <c r="T312" s="66"/>
      <c r="U312" s="247"/>
      <c r="V312" s="438"/>
      <c r="W312" s="2">
        <f>X312+Y312+Z312+AA312</f>
        <v>0</v>
      </c>
      <c r="X312" s="24"/>
      <c r="Y312" s="24"/>
      <c r="Z312" s="24"/>
      <c r="AA312" s="148"/>
      <c r="AB312" s="146"/>
      <c r="AC312" s="148"/>
      <c r="AD312" s="148"/>
      <c r="AE312" s="148"/>
      <c r="AF312" s="148"/>
      <c r="AG312" s="146"/>
      <c r="AH312" s="148"/>
      <c r="AI312" s="148"/>
      <c r="AJ312" s="148"/>
      <c r="AK312" s="148"/>
      <c r="AL312" s="146"/>
      <c r="AM312" s="148"/>
      <c r="AN312" s="148"/>
      <c r="AO312" s="148"/>
      <c r="AP312" s="148"/>
      <c r="AQ312" s="448"/>
      <c r="AR312" s="2">
        <f t="shared" si="1643"/>
        <v>0</v>
      </c>
      <c r="AS312" s="24"/>
      <c r="AT312" s="24"/>
      <c r="AU312" s="24"/>
      <c r="AV312" s="24"/>
      <c r="AW312" s="2" t="e">
        <f t="shared" si="1644"/>
        <v>#REF!</v>
      </c>
      <c r="AX312" s="24"/>
      <c r="AY312" s="24" t="e">
        <f>#REF!-AT312</f>
        <v>#REF!</v>
      </c>
      <c r="AZ312" s="24"/>
      <c r="BA312" s="24"/>
      <c r="BB312" s="2">
        <f t="shared" si="1645"/>
        <v>691</v>
      </c>
      <c r="BC312" s="24">
        <v>691</v>
      </c>
      <c r="BD312" s="24"/>
      <c r="BE312" s="24"/>
      <c r="BF312" s="24"/>
      <c r="BG312" s="2"/>
      <c r="BH312" s="24"/>
      <c r="BI312" s="24"/>
      <c r="BJ312" s="24"/>
      <c r="BK312" s="24"/>
      <c r="BL312" s="2">
        <f t="shared" si="1647"/>
        <v>0</v>
      </c>
      <c r="BM312" s="24"/>
      <c r="BN312" s="24"/>
      <c r="BO312" s="24"/>
      <c r="BP312" s="24"/>
      <c r="BQ312" s="2">
        <f t="shared" si="1648"/>
        <v>0</v>
      </c>
      <c r="BR312" s="24"/>
      <c r="BS312" s="24"/>
      <c r="BT312" s="24"/>
      <c r="BU312" s="148"/>
      <c r="BV312" s="2">
        <f t="shared" si="1649"/>
        <v>0</v>
      </c>
      <c r="BW312" s="24"/>
      <c r="BX312" s="24"/>
      <c r="BY312" s="3"/>
      <c r="BZ312" s="3"/>
      <c r="CA312" s="83">
        <f t="shared" si="1501"/>
        <v>0</v>
      </c>
      <c r="CB312" s="24">
        <f t="shared" si="1650"/>
        <v>0</v>
      </c>
      <c r="CC312" s="24"/>
      <c r="CD312" s="24">
        <f t="shared" si="1651"/>
        <v>0</v>
      </c>
      <c r="CE312" s="3"/>
      <c r="CF312" s="3"/>
      <c r="CG312" s="2">
        <f t="shared" si="1652"/>
        <v>0</v>
      </c>
      <c r="CH312" s="2">
        <f t="shared" si="1517"/>
        <v>0</v>
      </c>
      <c r="CI312" s="2">
        <f t="shared" si="1517"/>
        <v>0</v>
      </c>
      <c r="CJ312" s="2"/>
      <c r="CK312" s="2"/>
      <c r="CL312" s="76"/>
      <c r="CM312" s="45"/>
      <c r="CN312" s="45"/>
      <c r="CO312" s="2"/>
      <c r="CP312" s="24"/>
      <c r="CQ312" s="24"/>
      <c r="CR312" s="24"/>
      <c r="CS312" s="24"/>
      <c r="CT312" s="2"/>
      <c r="CU312" s="24"/>
      <c r="CV312" s="24"/>
      <c r="CW312" s="24"/>
      <c r="CX312" s="24"/>
      <c r="CY312" s="2"/>
      <c r="CZ312" s="24"/>
      <c r="DA312" s="3"/>
      <c r="DB312" s="3"/>
      <c r="DC312" s="3"/>
      <c r="DD312" s="45"/>
      <c r="DE312" s="45"/>
      <c r="DF312" s="45"/>
      <c r="DG312" s="237"/>
      <c r="DH312" s="76"/>
      <c r="DI312" s="76"/>
      <c r="DJ312" s="238"/>
      <c r="DK312" s="45"/>
      <c r="DL312" s="45"/>
      <c r="DM312" s="45"/>
      <c r="DN312" s="45"/>
      <c r="DO312" s="45"/>
      <c r="DP312" s="45"/>
      <c r="DQ312" s="45"/>
      <c r="DR312" s="2">
        <f t="shared" si="1655"/>
        <v>0</v>
      </c>
      <c r="DS312" s="24"/>
      <c r="DT312" s="24"/>
      <c r="DU312" s="3"/>
      <c r="DV312" s="3"/>
      <c r="DW312" s="2">
        <f t="shared" ref="DW312" si="1656">DX312+DY312+DZ312+EA312</f>
        <v>0</v>
      </c>
      <c r="DX312" s="24"/>
      <c r="DY312" s="96"/>
      <c r="DZ312" s="3"/>
      <c r="EA312" s="226"/>
      <c r="EB312" s="279"/>
      <c r="EC312" s="291"/>
      <c r="ED312" s="299"/>
      <c r="EE312" s="278"/>
      <c r="EF312" s="278"/>
      <c r="EG312" s="279"/>
      <c r="EH312" s="291"/>
      <c r="EI312" s="299"/>
      <c r="EJ312" s="278"/>
      <c r="EK312" s="278"/>
      <c r="EL312" s="278"/>
      <c r="EM312" s="278"/>
      <c r="EN312" s="278"/>
      <c r="EO312" s="3"/>
      <c r="EP312" s="323"/>
      <c r="EQ312" s="330"/>
      <c r="ER312" s="337"/>
      <c r="ES312" s="322"/>
      <c r="ET312" s="322"/>
      <c r="EU312" s="323"/>
      <c r="EV312" s="330"/>
      <c r="EW312" s="337"/>
      <c r="EX312" s="322"/>
      <c r="EY312" s="322"/>
      <c r="EZ312" s="322"/>
      <c r="FA312" s="322"/>
      <c r="FB312" s="322"/>
      <c r="FC312" s="279"/>
      <c r="FD312" s="291"/>
      <c r="FE312" s="299"/>
      <c r="FF312" s="278"/>
      <c r="FG312" s="278"/>
      <c r="FH312" s="279"/>
      <c r="FI312" s="291"/>
      <c r="FJ312" s="299"/>
      <c r="FK312" s="278"/>
      <c r="FL312" s="278"/>
      <c r="FM312" s="278"/>
      <c r="FN312" s="278"/>
      <c r="FO312" s="278"/>
    </row>
    <row r="313" spans="2:171" s="40" customFormat="1" ht="21" hidden="1" customHeight="1" x14ac:dyDescent="0.2">
      <c r="B313" s="51"/>
      <c r="C313" s="51"/>
      <c r="D313" s="51"/>
      <c r="E313" s="67"/>
      <c r="F313" s="51"/>
      <c r="G313" s="51"/>
      <c r="H313" s="51"/>
      <c r="I313" s="51"/>
      <c r="J313" s="51"/>
      <c r="K313" s="51"/>
      <c r="L313" s="51"/>
      <c r="M313" s="616"/>
      <c r="N313" s="617"/>
      <c r="O313" s="438"/>
      <c r="P313" s="414">
        <f t="shared" si="1502"/>
        <v>0</v>
      </c>
      <c r="Q313" s="438"/>
      <c r="R313" s="438"/>
      <c r="S313" s="438"/>
      <c r="T313" s="438"/>
      <c r="U313" s="247"/>
      <c r="V313" s="438"/>
      <c r="W313" s="582"/>
      <c r="X313" s="582"/>
      <c r="Y313" s="582"/>
      <c r="Z313" s="582"/>
      <c r="AA313" s="583"/>
      <c r="AB313" s="583"/>
      <c r="AC313" s="583"/>
      <c r="AD313" s="583"/>
      <c r="AE313" s="583"/>
      <c r="AF313" s="583"/>
      <c r="AG313" s="583"/>
      <c r="AH313" s="583"/>
      <c r="AI313" s="583"/>
      <c r="AJ313" s="583"/>
      <c r="AK313" s="583"/>
      <c r="AL313" s="584"/>
      <c r="AM313" s="584"/>
      <c r="AN313" s="584"/>
      <c r="AO313" s="584"/>
      <c r="AP313" s="584"/>
      <c r="AQ313" s="394"/>
      <c r="AR313" s="24"/>
      <c r="AS313" s="24"/>
      <c r="AT313" s="24"/>
      <c r="AU313" s="24"/>
      <c r="AV313" s="24"/>
      <c r="AW313" s="2"/>
      <c r="AX313" s="24"/>
      <c r="AY313" s="24"/>
      <c r="AZ313" s="24"/>
      <c r="BA313" s="24"/>
      <c r="BB313" s="2"/>
      <c r="BC313" s="24"/>
      <c r="BD313" s="24"/>
      <c r="BE313" s="24"/>
      <c r="BF313" s="24"/>
      <c r="BG313" s="2"/>
      <c r="BH313" s="24"/>
      <c r="BI313" s="24"/>
      <c r="BJ313" s="24"/>
      <c r="BK313" s="24"/>
      <c r="BL313" s="2"/>
      <c r="BM313" s="24"/>
      <c r="BN313" s="24"/>
      <c r="BO313" s="24"/>
      <c r="BP313" s="24"/>
      <c r="BQ313" s="2"/>
      <c r="BR313" s="24"/>
      <c r="BS313" s="24"/>
      <c r="BT313" s="24"/>
      <c r="BU313" s="148"/>
      <c r="BV313" s="2"/>
      <c r="BW313" s="24"/>
      <c r="BX313" s="24"/>
      <c r="BY313" s="3"/>
      <c r="BZ313" s="3"/>
      <c r="CA313" s="24">
        <f t="shared" si="1501"/>
        <v>0</v>
      </c>
      <c r="CB313" s="2">
        <f t="shared" si="1650"/>
        <v>0</v>
      </c>
      <c r="CC313" s="24"/>
      <c r="CD313" s="24">
        <f t="shared" si="1651"/>
        <v>0</v>
      </c>
      <c r="CE313" s="3"/>
      <c r="CF313" s="3"/>
      <c r="CG313" s="2">
        <f t="shared" si="1652"/>
        <v>0</v>
      </c>
      <c r="CH313" s="2">
        <f t="shared" si="1517"/>
        <v>0</v>
      </c>
      <c r="CI313" s="2">
        <f t="shared" si="1517"/>
        <v>0</v>
      </c>
      <c r="CJ313" s="2"/>
      <c r="CK313" s="2"/>
      <c r="CL313" s="76"/>
      <c r="CM313" s="45"/>
      <c r="CN313" s="45"/>
      <c r="CO313" s="2"/>
      <c r="CP313" s="24"/>
      <c r="CQ313" s="24"/>
      <c r="CR313" s="24"/>
      <c r="CS313" s="24"/>
      <c r="CT313" s="2"/>
      <c r="CU313" s="24"/>
      <c r="CV313" s="24"/>
      <c r="CW313" s="24"/>
      <c r="CX313" s="24"/>
      <c r="CY313" s="2"/>
      <c r="CZ313" s="24"/>
      <c r="DA313" s="3"/>
      <c r="DB313" s="3"/>
      <c r="DC313" s="3"/>
      <c r="DD313" s="45"/>
      <c r="DE313" s="45"/>
      <c r="DF313" s="45"/>
      <c r="DG313" s="237"/>
      <c r="DH313" s="76"/>
      <c r="DI313" s="76"/>
      <c r="DJ313" s="238"/>
      <c r="DK313" s="45"/>
      <c r="DL313" s="45"/>
      <c r="DM313" s="45"/>
      <c r="DN313" s="45"/>
      <c r="DO313" s="45"/>
      <c r="DP313" s="45"/>
      <c r="DQ313" s="45"/>
      <c r="DR313" s="2"/>
      <c r="DS313" s="24"/>
      <c r="DT313" s="3"/>
      <c r="DU313" s="3"/>
      <c r="DV313" s="3"/>
      <c r="DW313" s="2"/>
      <c r="DX313" s="24"/>
      <c r="DY313" s="96"/>
      <c r="DZ313" s="3"/>
      <c r="EA313" s="226"/>
      <c r="EB313" s="279"/>
      <c r="EC313" s="291"/>
      <c r="ED313" s="299"/>
      <c r="EE313" s="278"/>
      <c r="EF313" s="278"/>
      <c r="EG313" s="279"/>
      <c r="EH313" s="291"/>
      <c r="EI313" s="299"/>
      <c r="EJ313" s="278"/>
      <c r="EK313" s="278"/>
      <c r="EL313" s="278"/>
      <c r="EM313" s="278"/>
      <c r="EN313" s="278"/>
      <c r="EO313" s="3"/>
      <c r="EP313" s="323"/>
      <c r="EQ313" s="330"/>
      <c r="ER313" s="337"/>
      <c r="ES313" s="322"/>
      <c r="ET313" s="322"/>
      <c r="EU313" s="323"/>
      <c r="EV313" s="330"/>
      <c r="EW313" s="337"/>
      <c r="EX313" s="322"/>
      <c r="EY313" s="322"/>
      <c r="EZ313" s="322"/>
      <c r="FA313" s="322"/>
      <c r="FB313" s="322"/>
      <c r="FC313" s="279"/>
      <c r="FD313" s="291"/>
      <c r="FE313" s="299"/>
      <c r="FF313" s="278"/>
      <c r="FG313" s="278"/>
      <c r="FH313" s="279"/>
      <c r="FI313" s="291"/>
      <c r="FJ313" s="299"/>
      <c r="FK313" s="278"/>
      <c r="FL313" s="278"/>
      <c r="FM313" s="278"/>
      <c r="FN313" s="278"/>
      <c r="FO313" s="278"/>
    </row>
    <row r="314" spans="2:171" s="119" customFormat="1" ht="27" hidden="1" customHeight="1" x14ac:dyDescent="0.25">
      <c r="B314" s="130"/>
      <c r="C314" s="131"/>
      <c r="D314" s="131"/>
      <c r="M314" s="627" t="s">
        <v>429</v>
      </c>
      <c r="N314" s="628"/>
      <c r="O314" s="440"/>
      <c r="P314" s="420">
        <f t="shared" si="1502"/>
        <v>0</v>
      </c>
      <c r="Q314" s="440"/>
      <c r="R314" s="440"/>
      <c r="S314" s="440"/>
      <c r="T314" s="440"/>
      <c r="U314" s="166">
        <f>U310+U311+U312</f>
        <v>1</v>
      </c>
      <c r="V314" s="166">
        <f>V310+V311+V312</f>
        <v>1</v>
      </c>
      <c r="W314" s="57">
        <f>W310+W311+W312</f>
        <v>4455.7740000000003</v>
      </c>
      <c r="X314" s="57">
        <f>X310+X311+X312+X313</f>
        <v>0</v>
      </c>
      <c r="Y314" s="57">
        <f>Y310+Y311</f>
        <v>4455.7740000000003</v>
      </c>
      <c r="Z314" s="57">
        <f t="shared" ref="Z314:AA314" si="1657">Z310+Z311+Z312+Z313</f>
        <v>0</v>
      </c>
      <c r="AA314" s="57">
        <f t="shared" si="1657"/>
        <v>0</v>
      </c>
      <c r="AB314" s="57">
        <f>AD314</f>
        <v>0</v>
      </c>
      <c r="AC314" s="57"/>
      <c r="AD314" s="57">
        <f>AD310+AD311</f>
        <v>0</v>
      </c>
      <c r="AE314" s="57"/>
      <c r="AF314" s="57"/>
      <c r="AG314" s="57">
        <f>AI314</f>
        <v>0</v>
      </c>
      <c r="AH314" s="57"/>
      <c r="AI314" s="57">
        <f>AI310+AI311</f>
        <v>0</v>
      </c>
      <c r="AJ314" s="57"/>
      <c r="AK314" s="57"/>
      <c r="AL314" s="57">
        <f>AN314</f>
        <v>0</v>
      </c>
      <c r="AM314" s="57"/>
      <c r="AN314" s="57">
        <f>AN310+AN311</f>
        <v>0</v>
      </c>
      <c r="AO314" s="57"/>
      <c r="AP314" s="57"/>
      <c r="AQ314" s="118"/>
      <c r="AR314" s="57">
        <f>AR310+AR311+AR312+AR313</f>
        <v>4455.7740000000003</v>
      </c>
      <c r="AS314" s="57">
        <f>AS310+AS311+AS312+AS313</f>
        <v>0</v>
      </c>
      <c r="AT314" s="57">
        <f>AT310+AT311+AT312+AT313</f>
        <v>4455.7740000000003</v>
      </c>
      <c r="AU314" s="57">
        <f>AU310+AU311+AU312+AU313</f>
        <v>0</v>
      </c>
      <c r="AV314" s="57">
        <f>AV310+AV311+AV312+AV313</f>
        <v>0</v>
      </c>
      <c r="AW314" s="57" t="e">
        <f>AW298+AW302</f>
        <v>#REF!</v>
      </c>
      <c r="AX314" s="57">
        <f t="shared" ref="AX314:BA314" si="1658">AX310+AX311+AX312</f>
        <v>0</v>
      </c>
      <c r="AY314" s="57" t="e">
        <f t="shared" si="1658"/>
        <v>#REF!</v>
      </c>
      <c r="AZ314" s="57">
        <f t="shared" si="1658"/>
        <v>0</v>
      </c>
      <c r="BA314" s="57">
        <f t="shared" si="1658"/>
        <v>0</v>
      </c>
      <c r="BB314" s="57">
        <f>BB310+BB311+BB312+BB313</f>
        <v>10226.06</v>
      </c>
      <c r="BC314" s="57">
        <f>BC310+BC311+BC312+BC313</f>
        <v>10226.06</v>
      </c>
      <c r="BD314" s="57">
        <f>BD310+BD311+BD312+BD313</f>
        <v>0</v>
      </c>
      <c r="BE314" s="57">
        <f t="shared" ref="BE314:BF314" si="1659">BE310+BE311+BE312+BE313</f>
        <v>0</v>
      </c>
      <c r="BF314" s="57">
        <f t="shared" si="1659"/>
        <v>0</v>
      </c>
      <c r="BG314" s="57"/>
      <c r="BH314" s="57"/>
      <c r="BI314" s="57"/>
      <c r="BJ314" s="57"/>
      <c r="BK314" s="57"/>
      <c r="BL314" s="57">
        <f>BL310+BL311+BL312+BL313</f>
        <v>4455.7740000000003</v>
      </c>
      <c r="BM314" s="57">
        <f>BM310+BM311+BM312</f>
        <v>0</v>
      </c>
      <c r="BN314" s="57">
        <f>BN310+BN311+BN312+BN313</f>
        <v>4455.7740000000003</v>
      </c>
      <c r="BO314" s="57">
        <f t="shared" ref="BO314:CK314" si="1660">BO310+BO311+BO312+BO313</f>
        <v>0</v>
      </c>
      <c r="BP314" s="57">
        <f t="shared" si="1660"/>
        <v>0</v>
      </c>
      <c r="BQ314" s="57">
        <f t="shared" si="1660"/>
        <v>4455.7740000000003</v>
      </c>
      <c r="BR314" s="57">
        <f t="shared" si="1660"/>
        <v>0</v>
      </c>
      <c r="BS314" s="57">
        <f t="shared" si="1660"/>
        <v>4455.7740000000003</v>
      </c>
      <c r="BT314" s="57">
        <f t="shared" si="1660"/>
        <v>0</v>
      </c>
      <c r="BU314" s="57">
        <f t="shared" si="1660"/>
        <v>0</v>
      </c>
      <c r="BV314" s="57">
        <f t="shared" si="1660"/>
        <v>0</v>
      </c>
      <c r="BW314" s="57">
        <f t="shared" si="1660"/>
        <v>0</v>
      </c>
      <c r="BX314" s="57">
        <f t="shared" si="1660"/>
        <v>0</v>
      </c>
      <c r="BY314" s="57">
        <f t="shared" si="1660"/>
        <v>0</v>
      </c>
      <c r="BZ314" s="57">
        <f t="shared" si="1660"/>
        <v>0</v>
      </c>
      <c r="CA314" s="241">
        <f t="shared" si="1660"/>
        <v>4455.7740000000003</v>
      </c>
      <c r="CB314" s="57">
        <f t="shared" si="1660"/>
        <v>4455.7740000000003</v>
      </c>
      <c r="CC314" s="57">
        <f t="shared" si="1660"/>
        <v>0</v>
      </c>
      <c r="CD314" s="57">
        <f t="shared" si="1660"/>
        <v>4455.7740000000003</v>
      </c>
      <c r="CE314" s="57">
        <f t="shared" si="1660"/>
        <v>0</v>
      </c>
      <c r="CF314" s="57">
        <f t="shared" si="1660"/>
        <v>0</v>
      </c>
      <c r="CG314" s="57">
        <f t="shared" si="1660"/>
        <v>0</v>
      </c>
      <c r="CH314" s="57">
        <f t="shared" si="1660"/>
        <v>0</v>
      </c>
      <c r="CI314" s="57">
        <f t="shared" si="1660"/>
        <v>0</v>
      </c>
      <c r="CJ314" s="57">
        <f t="shared" si="1660"/>
        <v>0</v>
      </c>
      <c r="CK314" s="57">
        <f t="shared" si="1660"/>
        <v>0</v>
      </c>
      <c r="CL314" s="224"/>
      <c r="CM314" s="129"/>
      <c r="CN314" s="129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>
        <f>CY298+CY302</f>
        <v>0</v>
      </c>
      <c r="CZ314" s="57">
        <f>CZ298+CZ302</f>
        <v>0</v>
      </c>
      <c r="DA314" s="57">
        <f>DA298+DA302</f>
        <v>0</v>
      </c>
      <c r="DB314" s="57">
        <f>DB298+DB302</f>
        <v>0</v>
      </c>
      <c r="DC314" s="57">
        <f>DC298+DC302</f>
        <v>0</v>
      </c>
      <c r="DD314" s="129"/>
      <c r="DE314" s="129"/>
      <c r="DF314" s="129"/>
      <c r="DG314" s="235"/>
      <c r="DH314" s="224"/>
      <c r="DI314" s="224"/>
      <c r="DJ314" s="236"/>
      <c r="DK314" s="129"/>
      <c r="DL314" s="129"/>
      <c r="DM314" s="129"/>
      <c r="DN314" s="129"/>
      <c r="DO314" s="129"/>
      <c r="DP314" s="129"/>
      <c r="DQ314" s="129"/>
      <c r="DR314" s="57">
        <f>DR310+DR311+DR312</f>
        <v>4455.7740000000003</v>
      </c>
      <c r="DS314" s="57">
        <f t="shared" ref="DS314" si="1661">DS310+DS311+DS312+DS313</f>
        <v>0</v>
      </c>
      <c r="DT314" s="57">
        <f>DT310+DT311+DT312</f>
        <v>4455.7740000000003</v>
      </c>
      <c r="DU314" s="57">
        <f t="shared" ref="DU314" si="1662">DU310+DU311+DU312+DU313</f>
        <v>0</v>
      </c>
      <c r="DV314" s="57"/>
      <c r="DW314" s="57">
        <f t="shared" ref="DW314:DZ314" si="1663">DW310+DW311+DW312</f>
        <v>0</v>
      </c>
      <c r="DX314" s="57">
        <f t="shared" si="1663"/>
        <v>0</v>
      </c>
      <c r="DY314" s="77">
        <f t="shared" si="1663"/>
        <v>0</v>
      </c>
      <c r="DZ314" s="57">
        <f t="shared" si="1663"/>
        <v>0</v>
      </c>
      <c r="EA314" s="223">
        <f t="shared" ref="EA314" si="1664">EA310+EA311+EA312</f>
        <v>0</v>
      </c>
      <c r="EB314" s="57"/>
      <c r="EC314" s="57"/>
      <c r="ED314" s="77"/>
      <c r="EE314" s="57"/>
      <c r="EF314" s="57"/>
      <c r="EG314" s="57"/>
      <c r="EH314" s="57"/>
      <c r="EI314" s="77"/>
      <c r="EJ314" s="57"/>
      <c r="EK314" s="57"/>
      <c r="EL314" s="57"/>
      <c r="EM314" s="57"/>
      <c r="EN314" s="57"/>
      <c r="EO314" s="57">
        <f t="shared" ref="EO314" si="1665">EO310+EO311+EO312</f>
        <v>0</v>
      </c>
      <c r="EP314" s="57"/>
      <c r="EQ314" s="57"/>
      <c r="ER314" s="77"/>
      <c r="ES314" s="57"/>
      <c r="ET314" s="57"/>
      <c r="EU314" s="57"/>
      <c r="EV314" s="57"/>
      <c r="EW314" s="77"/>
      <c r="EX314" s="57"/>
      <c r="EY314" s="57"/>
      <c r="EZ314" s="57"/>
      <c r="FA314" s="57"/>
      <c r="FB314" s="57"/>
      <c r="FC314" s="57"/>
      <c r="FD314" s="57"/>
      <c r="FE314" s="77"/>
      <c r="FF314" s="57"/>
      <c r="FG314" s="57"/>
      <c r="FH314" s="57"/>
      <c r="FI314" s="57"/>
      <c r="FJ314" s="77"/>
      <c r="FK314" s="57"/>
      <c r="FL314" s="57"/>
      <c r="FM314" s="57"/>
      <c r="FN314" s="57"/>
      <c r="FO314" s="57"/>
    </row>
    <row r="315" spans="2:171" s="40" customFormat="1" ht="12.75" hidden="1" customHeight="1" thickBot="1" x14ac:dyDescent="0.25">
      <c r="B315" s="51"/>
      <c r="C315" s="51"/>
      <c r="D315" s="51"/>
      <c r="E315" s="67"/>
      <c r="F315" s="51"/>
      <c r="G315" s="51"/>
      <c r="H315" s="51"/>
      <c r="I315" s="51"/>
      <c r="J315" s="51"/>
      <c r="K315" s="51"/>
      <c r="L315" s="51"/>
      <c r="M315" s="81"/>
      <c r="N315" s="81"/>
      <c r="O315" s="81"/>
      <c r="P315" s="425">
        <f t="shared" si="1502"/>
        <v>0</v>
      </c>
      <c r="Q315" s="81"/>
      <c r="R315" s="81"/>
      <c r="S315" s="81"/>
      <c r="T315" s="81"/>
      <c r="U315" s="81"/>
      <c r="V315" s="81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19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  <c r="BI315" s="83"/>
      <c r="BJ315" s="83"/>
      <c r="BK315" s="83"/>
      <c r="BL315" s="83"/>
      <c r="BM315" s="83"/>
      <c r="BN315" s="83"/>
      <c r="BO315" s="83"/>
      <c r="BP315" s="83"/>
      <c r="BQ315" s="83"/>
      <c r="BR315" s="83"/>
      <c r="BS315" s="83"/>
      <c r="BT315" s="83"/>
      <c r="BU315" s="83"/>
      <c r="BV315" s="83"/>
      <c r="BW315" s="83"/>
      <c r="BX315" s="83"/>
      <c r="BY315" s="83"/>
      <c r="BZ315" s="83"/>
      <c r="CA315" s="78"/>
      <c r="CB315" s="83"/>
      <c r="CC315" s="83"/>
      <c r="CD315" s="83"/>
      <c r="CE315" s="83"/>
      <c r="CF315" s="83"/>
      <c r="CG315" s="83"/>
      <c r="CH315" s="83"/>
      <c r="CI315" s="83"/>
      <c r="CJ315" s="83"/>
      <c r="CK315" s="83"/>
      <c r="CL315" s="76"/>
      <c r="CM315" s="45"/>
      <c r="CN315" s="45"/>
      <c r="CO315" s="83"/>
      <c r="CP315" s="83"/>
      <c r="CQ315" s="83"/>
      <c r="CR315" s="83"/>
      <c r="CS315" s="83"/>
      <c r="CT315" s="83"/>
      <c r="CU315" s="83"/>
      <c r="CV315" s="83"/>
      <c r="CW315" s="83"/>
      <c r="CX315" s="83"/>
      <c r="CY315" s="83"/>
      <c r="CZ315" s="83"/>
      <c r="DA315" s="83"/>
      <c r="DB315" s="83"/>
      <c r="DC315" s="83"/>
      <c r="DD315" s="45"/>
      <c r="DE315" s="45"/>
      <c r="DF315" s="45"/>
      <c r="DG315" s="242" t="s">
        <v>307</v>
      </c>
      <c r="DH315" s="76"/>
      <c r="DI315" s="76"/>
      <c r="DJ315" s="238"/>
      <c r="DK315" s="45"/>
      <c r="DL315" s="45"/>
      <c r="DM315" s="45"/>
      <c r="DN315" s="45"/>
      <c r="DO315" s="45"/>
      <c r="DP315" s="45"/>
      <c r="DQ315" s="45"/>
      <c r="DR315" s="83"/>
      <c r="DS315" s="83"/>
      <c r="DT315" s="83"/>
      <c r="DU315" s="83"/>
      <c r="DV315" s="83"/>
      <c r="DW315" s="83"/>
      <c r="DX315" s="83"/>
      <c r="DY315" s="83"/>
      <c r="DZ315" s="24"/>
      <c r="EA315" s="2"/>
      <c r="EB315" s="312"/>
      <c r="EC315" s="312"/>
      <c r="ED315" s="312"/>
      <c r="EE315" s="291"/>
      <c r="EF315" s="291"/>
      <c r="EG315" s="312"/>
      <c r="EH315" s="312"/>
      <c r="EI315" s="312"/>
      <c r="EJ315" s="291"/>
      <c r="EK315" s="291"/>
      <c r="EL315" s="291"/>
      <c r="EM315" s="291"/>
      <c r="EN315" s="291"/>
      <c r="EO315" s="24"/>
      <c r="EP315" s="350"/>
      <c r="EQ315" s="350"/>
      <c r="ER315" s="350"/>
      <c r="ES315" s="330"/>
      <c r="ET315" s="330"/>
      <c r="EU315" s="350"/>
      <c r="EV315" s="350"/>
      <c r="EW315" s="350"/>
      <c r="EX315" s="330"/>
      <c r="EY315" s="330"/>
      <c r="EZ315" s="330"/>
      <c r="FA315" s="330"/>
      <c r="FB315" s="330"/>
      <c r="FC315" s="312"/>
      <c r="FD315" s="312"/>
      <c r="FE315" s="312"/>
      <c r="FF315" s="291"/>
      <c r="FG315" s="291"/>
      <c r="FH315" s="312"/>
      <c r="FI315" s="312"/>
      <c r="FJ315" s="312"/>
      <c r="FK315" s="291"/>
      <c r="FL315" s="291"/>
      <c r="FM315" s="291"/>
      <c r="FN315" s="291"/>
      <c r="FO315" s="291"/>
    </row>
    <row r="316" spans="2:171" s="119" customFormat="1" ht="16.5" hidden="1" thickBot="1" x14ac:dyDescent="0.3">
      <c r="B316" s="130"/>
      <c r="C316" s="131"/>
      <c r="D316" s="131"/>
      <c r="M316" s="619" t="s">
        <v>285</v>
      </c>
      <c r="N316" s="620"/>
      <c r="O316" s="440"/>
      <c r="P316" s="420">
        <f t="shared" si="1502"/>
        <v>62701.032010000199</v>
      </c>
      <c r="Q316" s="440"/>
      <c r="R316" s="440"/>
      <c r="S316" s="440"/>
      <c r="T316" s="440"/>
      <c r="U316" s="440"/>
      <c r="V316" s="440"/>
      <c r="W316" s="57">
        <f>X316+Y316+Z316+AA316</f>
        <v>1191202.0999999999</v>
      </c>
      <c r="X316" s="57">
        <f>X317+X318</f>
        <v>251056.89799999999</v>
      </c>
      <c r="Y316" s="57">
        <f>Y317+Y318</f>
        <v>234455.77399999998</v>
      </c>
      <c r="Z316" s="57">
        <f>Z317+Z318</f>
        <v>705689.42799999996</v>
      </c>
      <c r="AA316" s="57">
        <f>AA317+AA318</f>
        <v>0</v>
      </c>
      <c r="AB316" s="57">
        <f>AC316+AD316+AE316+AF316</f>
        <v>1063871.942</v>
      </c>
      <c r="AC316" s="57">
        <f>AC317+AC318</f>
        <v>579145.89100000006</v>
      </c>
      <c r="AD316" s="57">
        <f>AD317+AD318</f>
        <v>230000.00000000003</v>
      </c>
      <c r="AE316" s="57">
        <f>AE317+AE318</f>
        <v>254726.05099999998</v>
      </c>
      <c r="AF316" s="57">
        <f>AF317+AF318</f>
        <v>0</v>
      </c>
      <c r="AG316" s="57">
        <f>AH316+AI316+AJ316+AK316</f>
        <v>1071836.1440000001</v>
      </c>
      <c r="AH316" s="57">
        <f>AH317+AH318</f>
        <v>587110.09299999999</v>
      </c>
      <c r="AI316" s="57">
        <f>AI317+AI318</f>
        <v>230000.00000000003</v>
      </c>
      <c r="AJ316" s="57">
        <f>AJ317+AJ318</f>
        <v>254726.05100000001</v>
      </c>
      <c r="AK316" s="57">
        <f>AK317+AK318</f>
        <v>0</v>
      </c>
      <c r="AL316" s="57">
        <f>AM316+AN316+AO316+AP316</f>
        <v>683000</v>
      </c>
      <c r="AM316" s="57">
        <f>AM317+AM318</f>
        <v>421431.3</v>
      </c>
      <c r="AN316" s="57">
        <f>AN317+AN318</f>
        <v>100000</v>
      </c>
      <c r="AO316" s="57">
        <f>AO317+AO318</f>
        <v>161568.70000000001</v>
      </c>
      <c r="AP316" s="57">
        <f>AP317+AP318</f>
        <v>0</v>
      </c>
      <c r="AQ316" s="118"/>
      <c r="AR316" s="57">
        <f>AS316+AT316+AU316+AV316</f>
        <v>1174374.427468</v>
      </c>
      <c r="AS316" s="57">
        <f>AS317+AS318</f>
        <v>251056.89799999999</v>
      </c>
      <c r="AT316" s="57">
        <f>AT317+AT318</f>
        <v>226274.93105800005</v>
      </c>
      <c r="AU316" s="57">
        <f>AU317+AU318</f>
        <v>697042.59840999986</v>
      </c>
      <c r="AV316" s="57">
        <f>AV317+AV318</f>
        <v>0</v>
      </c>
      <c r="AW316" s="57" t="e">
        <f>AX316+AY316+AZ316+BA316</f>
        <v>#REF!</v>
      </c>
      <c r="AX316" s="57" t="e">
        <f>AX317+AX318</f>
        <v>#REF!</v>
      </c>
      <c r="AY316" s="57" t="e">
        <f>AY317+AY318</f>
        <v>#REF!</v>
      </c>
      <c r="AZ316" s="57" t="e">
        <f>AZ317+AZ318</f>
        <v>#REF!</v>
      </c>
      <c r="BA316" s="57" t="e">
        <f>BA317+BA318</f>
        <v>#REF!</v>
      </c>
      <c r="BB316" s="57">
        <f>BC316+BD316+BE316+BF316</f>
        <v>803963.91177999997</v>
      </c>
      <c r="BC316" s="57">
        <f>BC317+BC318</f>
        <v>325315.28378</v>
      </c>
      <c r="BD316" s="57">
        <f>BD317+BD318</f>
        <v>223922.57699999999</v>
      </c>
      <c r="BE316" s="57">
        <f>BE317+BE318</f>
        <v>254726.05100000004</v>
      </c>
      <c r="BF316" s="57">
        <f>BF317+BF318</f>
        <v>0</v>
      </c>
      <c r="BG316" s="57">
        <f>BH316+BI316+BJ316+BK316</f>
        <v>0</v>
      </c>
      <c r="BH316" s="57">
        <f>BH317+BH318</f>
        <v>0</v>
      </c>
      <c r="BI316" s="57">
        <f>BI317+BI318</f>
        <v>0</v>
      </c>
      <c r="BJ316" s="57">
        <f>BJ317+BJ318</f>
        <v>0</v>
      </c>
      <c r="BK316" s="57">
        <f>BK317+BK318</f>
        <v>0</v>
      </c>
      <c r="BL316" s="57">
        <f>BM316+BN316+BO316+BP316</f>
        <v>1165399.97627</v>
      </c>
      <c r="BM316" s="57">
        <f>BM317+BM318</f>
        <v>249964.59700000001</v>
      </c>
      <c r="BN316" s="57">
        <f>BN317+BN318</f>
        <v>223522.57506000003</v>
      </c>
      <c r="BO316" s="57">
        <f>BO317+BO318</f>
        <v>691912.80420999986</v>
      </c>
      <c r="BP316" s="57">
        <f>BP317+BP318</f>
        <v>0</v>
      </c>
      <c r="BQ316" s="57">
        <f>BR316+BS316+BT316+BU316</f>
        <v>1102698.9442599998</v>
      </c>
      <c r="BR316" s="57">
        <f>BR317+BR318</f>
        <v>187263.56499000001</v>
      </c>
      <c r="BS316" s="57">
        <f>BS317+BS318</f>
        <v>223522.57506000003</v>
      </c>
      <c r="BT316" s="57">
        <f>BT317+BT318</f>
        <v>691912.80420999986</v>
      </c>
      <c r="BU316" s="57">
        <f>BU317+BU318</f>
        <v>0</v>
      </c>
      <c r="BV316" s="57">
        <f>BW316+BX316+BY316+BZ316</f>
        <v>177214.22271</v>
      </c>
      <c r="BW316" s="57">
        <f>BW317+BW318</f>
        <v>7413.3918800000001</v>
      </c>
      <c r="BX316" s="57">
        <f>BX317+BX318</f>
        <v>80103.362610000011</v>
      </c>
      <c r="BY316" s="57">
        <f>BY317+BY318</f>
        <v>89697.468219999995</v>
      </c>
      <c r="BZ316" s="57">
        <f>BZ317+BZ318</f>
        <v>0</v>
      </c>
      <c r="CA316" s="57">
        <f t="shared" si="1501"/>
        <v>1279913.1669699999</v>
      </c>
      <c r="CB316" s="57">
        <f>CC316+CD316+CE316+CF316</f>
        <v>1279913.1669699999</v>
      </c>
      <c r="CC316" s="57">
        <f>CC317+CC318</f>
        <v>194676.95687000002</v>
      </c>
      <c r="CD316" s="57">
        <f t="shared" si="1651"/>
        <v>303625.93767000001</v>
      </c>
      <c r="CE316" s="57">
        <f>CE317+CE318</f>
        <v>781610.2724299999</v>
      </c>
      <c r="CF316" s="57">
        <f>CF317+CF318</f>
        <v>0</v>
      </c>
      <c r="CG316" s="57">
        <f>CH316+CI316+CJ316+CK316</f>
        <v>62701.032009999995</v>
      </c>
      <c r="CH316" s="57">
        <f t="shared" si="1517"/>
        <v>62701.032009999995</v>
      </c>
      <c r="CI316" s="57">
        <f>CI317+CI318</f>
        <v>0</v>
      </c>
      <c r="CJ316" s="57">
        <f>CJ317+CJ318</f>
        <v>0</v>
      </c>
      <c r="CK316" s="57">
        <f>CK317+CK318</f>
        <v>0</v>
      </c>
      <c r="CL316" s="224"/>
      <c r="CM316" s="129"/>
      <c r="CN316" s="129"/>
      <c r="CO316" s="57">
        <f>CO292</f>
        <v>0</v>
      </c>
      <c r="CP316" s="57">
        <f>CP292</f>
        <v>0</v>
      </c>
      <c r="CQ316" s="57">
        <f>CQ292</f>
        <v>0</v>
      </c>
      <c r="CR316" s="57">
        <f>CR292</f>
        <v>0</v>
      </c>
      <c r="CS316" s="57">
        <f>CS292</f>
        <v>0</v>
      </c>
      <c r="CT316" s="57">
        <f>CU316+CV316+CW316+CX316</f>
        <v>0</v>
      </c>
      <c r="CU316" s="57">
        <f>CU317+CU318</f>
        <v>0</v>
      </c>
      <c r="CV316" s="57">
        <f>CV317+CV318</f>
        <v>0</v>
      </c>
      <c r="CW316" s="57">
        <f>CW317+CW318</f>
        <v>0</v>
      </c>
      <c r="CX316" s="57">
        <f>CX317+CX318</f>
        <v>0</v>
      </c>
      <c r="CY316" s="57">
        <f t="shared" ref="CY316:DF316" si="1666">CY306+CY314</f>
        <v>0</v>
      </c>
      <c r="CZ316" s="57">
        <f t="shared" si="1666"/>
        <v>0</v>
      </c>
      <c r="DA316" s="57">
        <f t="shared" si="1666"/>
        <v>0</v>
      </c>
      <c r="DB316" s="57">
        <f t="shared" si="1666"/>
        <v>0</v>
      </c>
      <c r="DC316" s="57">
        <f t="shared" si="1666"/>
        <v>0</v>
      </c>
      <c r="DD316" s="57">
        <f t="shared" si="1666"/>
        <v>0</v>
      </c>
      <c r="DE316" s="57">
        <f t="shared" si="1666"/>
        <v>0</v>
      </c>
      <c r="DF316" s="77">
        <f t="shared" si="1666"/>
        <v>0</v>
      </c>
      <c r="DG316" s="98">
        <f>DI316-DJ316</f>
        <v>62701.032009999966</v>
      </c>
      <c r="DH316" s="243"/>
      <c r="DI316" s="97">
        <f>DI260+DI265</f>
        <v>1160944.20227</v>
      </c>
      <c r="DJ316" s="98">
        <f>DJ260+DJ265</f>
        <v>1098243.17026</v>
      </c>
      <c r="DK316" s="129"/>
      <c r="DL316" s="129"/>
      <c r="DM316" s="129"/>
      <c r="DN316" s="129"/>
      <c r="DO316" s="129"/>
      <c r="DP316" s="129"/>
      <c r="DQ316" s="129"/>
      <c r="DR316" s="57">
        <f>DS316+DT316+DU316+DV316</f>
        <v>1102698.9442599998</v>
      </c>
      <c r="DS316" s="57">
        <f>DS317+DS318</f>
        <v>187263.56499000001</v>
      </c>
      <c r="DT316" s="57">
        <f>DT317+DT318</f>
        <v>223522.57506000003</v>
      </c>
      <c r="DU316" s="57">
        <f>DU317+DU318</f>
        <v>691912.80420999986</v>
      </c>
      <c r="DV316" s="57">
        <f>DV317+DV318</f>
        <v>0</v>
      </c>
      <c r="DW316" s="57">
        <f>DX316+DY316+DZ316+EA316</f>
        <v>177214.22271</v>
      </c>
      <c r="DX316" s="57">
        <f>DX317+DX318</f>
        <v>7413.3918800000001</v>
      </c>
      <c r="DY316" s="77">
        <f>DY317+DY318</f>
        <v>80103.362610000011</v>
      </c>
      <c r="DZ316" s="57">
        <f>DZ317+DZ318</f>
        <v>89697.468219999995</v>
      </c>
      <c r="EA316" s="229">
        <f>EA317+EA318</f>
        <v>0</v>
      </c>
      <c r="EB316" s="57"/>
      <c r="EC316" s="57"/>
      <c r="ED316" s="77"/>
      <c r="EE316" s="57"/>
      <c r="EF316" s="57"/>
      <c r="EG316" s="57"/>
      <c r="EH316" s="57"/>
      <c r="EI316" s="77"/>
      <c r="EJ316" s="57"/>
      <c r="EK316" s="57"/>
      <c r="EL316" s="57"/>
      <c r="EM316" s="57"/>
      <c r="EN316" s="57"/>
      <c r="EO316" s="57">
        <f t="shared" ref="EO316" si="1667">EO317+EO318</f>
        <v>0</v>
      </c>
      <c r="EP316" s="57"/>
      <c r="EQ316" s="57"/>
      <c r="ER316" s="77"/>
      <c r="ES316" s="57"/>
      <c r="ET316" s="57"/>
      <c r="EU316" s="57"/>
      <c r="EV316" s="57"/>
      <c r="EW316" s="77"/>
      <c r="EX316" s="57"/>
      <c r="EY316" s="57"/>
      <c r="EZ316" s="57"/>
      <c r="FA316" s="57"/>
      <c r="FB316" s="57"/>
      <c r="FC316" s="57"/>
      <c r="FD316" s="57"/>
      <c r="FE316" s="77"/>
      <c r="FF316" s="57"/>
      <c r="FG316" s="57"/>
      <c r="FH316" s="57"/>
      <c r="FI316" s="57"/>
      <c r="FJ316" s="77"/>
      <c r="FK316" s="57"/>
      <c r="FL316" s="57"/>
      <c r="FM316" s="57"/>
      <c r="FN316" s="57"/>
      <c r="FO316" s="57"/>
    </row>
    <row r="317" spans="2:171" s="40" customFormat="1" ht="19.5" hidden="1" customHeight="1" x14ac:dyDescent="0.2">
      <c r="B317" s="35"/>
      <c r="C317" s="36"/>
      <c r="D317" s="35"/>
      <c r="E317" s="42"/>
      <c r="F317" s="35"/>
      <c r="G317" s="36"/>
      <c r="H317" s="35"/>
      <c r="I317" s="35"/>
      <c r="J317" s="35"/>
      <c r="K317" s="35"/>
      <c r="L317" s="35"/>
      <c r="M317" s="65"/>
      <c r="N317" s="66" t="s">
        <v>288</v>
      </c>
      <c r="O317" s="66"/>
      <c r="P317" s="414">
        <f t="shared" si="1502"/>
        <v>0</v>
      </c>
      <c r="Q317" s="66"/>
      <c r="R317" s="66"/>
      <c r="S317" s="66"/>
      <c r="T317" s="66"/>
      <c r="U317" s="66"/>
      <c r="V317" s="66"/>
      <c r="W317" s="2">
        <f>X317+Y317+Z317+AA317</f>
        <v>0</v>
      </c>
      <c r="X317" s="24">
        <f>X307</f>
        <v>0</v>
      </c>
      <c r="Y317" s="24">
        <f>Y307</f>
        <v>0</v>
      </c>
      <c r="Z317" s="24">
        <f>Z307</f>
        <v>0</v>
      </c>
      <c r="AA317" s="24">
        <f>AA307</f>
        <v>0</v>
      </c>
      <c r="AB317" s="2">
        <f>AC317+AD317+AE317+AF317</f>
        <v>33741.300000000003</v>
      </c>
      <c r="AC317" s="24">
        <f>AC307</f>
        <v>33741.300000000003</v>
      </c>
      <c r="AD317" s="24">
        <f>AD307</f>
        <v>0</v>
      </c>
      <c r="AE317" s="24">
        <f>AE307</f>
        <v>0</v>
      </c>
      <c r="AF317" s="24">
        <f>AF307</f>
        <v>0</v>
      </c>
      <c r="AG317" s="2">
        <f>AH317+AI317+AJ317+AK317</f>
        <v>97565.494999999995</v>
      </c>
      <c r="AH317" s="24">
        <f>AH307</f>
        <v>97565.494999999995</v>
      </c>
      <c r="AI317" s="24">
        <f>AI307</f>
        <v>0</v>
      </c>
      <c r="AJ317" s="24">
        <f>AJ307</f>
        <v>0</v>
      </c>
      <c r="AK317" s="24">
        <f>AK307</f>
        <v>0</v>
      </c>
      <c r="AL317" s="2">
        <f>AM317+AN317+AO317+AP317</f>
        <v>0</v>
      </c>
      <c r="AM317" s="24">
        <f>AM307</f>
        <v>0</v>
      </c>
      <c r="AN317" s="24">
        <f>AN307</f>
        <v>0</v>
      </c>
      <c r="AO317" s="24">
        <f>AO307</f>
        <v>0</v>
      </c>
      <c r="AP317" s="24">
        <f>AP307</f>
        <v>0</v>
      </c>
      <c r="AQ317" s="390"/>
      <c r="AR317" s="2">
        <f>AS317+AT317+AU317+AV317</f>
        <v>0</v>
      </c>
      <c r="AS317" s="24">
        <f t="shared" ref="AS317:BA317" si="1668">AS307</f>
        <v>0</v>
      </c>
      <c r="AT317" s="24">
        <f t="shared" si="1668"/>
        <v>0</v>
      </c>
      <c r="AU317" s="24">
        <f t="shared" si="1668"/>
        <v>0</v>
      </c>
      <c r="AV317" s="24">
        <f t="shared" si="1668"/>
        <v>0</v>
      </c>
      <c r="AW317" s="24" t="e">
        <f t="shared" si="1668"/>
        <v>#REF!</v>
      </c>
      <c r="AX317" s="24" t="e">
        <f t="shared" si="1668"/>
        <v>#REF!</v>
      </c>
      <c r="AY317" s="24" t="e">
        <f t="shared" si="1668"/>
        <v>#REF!</v>
      </c>
      <c r="AZ317" s="24" t="e">
        <f t="shared" si="1668"/>
        <v>#REF!</v>
      </c>
      <c r="BA317" s="24" t="e">
        <f t="shared" si="1668"/>
        <v>#REF!</v>
      </c>
      <c r="BB317" s="2">
        <f>BC317+BD317+BE317+BF317</f>
        <v>22388.043260000002</v>
      </c>
      <c r="BC317" s="24">
        <f t="shared" ref="BC317:BK317" si="1669">BC307</f>
        <v>22388.043260000002</v>
      </c>
      <c r="BD317" s="24">
        <f t="shared" si="1669"/>
        <v>0</v>
      </c>
      <c r="BE317" s="24">
        <f t="shared" si="1669"/>
        <v>0</v>
      </c>
      <c r="BF317" s="24">
        <f t="shared" si="1669"/>
        <v>0</v>
      </c>
      <c r="BG317" s="24">
        <f t="shared" si="1669"/>
        <v>0</v>
      </c>
      <c r="BH317" s="24">
        <f t="shared" si="1669"/>
        <v>0</v>
      </c>
      <c r="BI317" s="24">
        <f t="shared" si="1669"/>
        <v>0</v>
      </c>
      <c r="BJ317" s="24">
        <f t="shared" si="1669"/>
        <v>0</v>
      </c>
      <c r="BK317" s="24">
        <f t="shared" si="1669"/>
        <v>0</v>
      </c>
      <c r="BL317" s="2">
        <f>BM317+BN317+BO317+BP317</f>
        <v>0</v>
      </c>
      <c r="BM317" s="24">
        <f>BM307</f>
        <v>0</v>
      </c>
      <c r="BN317" s="24">
        <f>BN307</f>
        <v>0</v>
      </c>
      <c r="BO317" s="24">
        <f>BO307</f>
        <v>0</v>
      </c>
      <c r="BP317" s="24">
        <f>BP307</f>
        <v>0</v>
      </c>
      <c r="BQ317" s="2">
        <f>BR317+BS317+BT317+BU317</f>
        <v>0</v>
      </c>
      <c r="BR317" s="24">
        <f>BR307</f>
        <v>0</v>
      </c>
      <c r="BS317" s="24">
        <f>BS307</f>
        <v>0</v>
      </c>
      <c r="BT317" s="24">
        <f>BT307</f>
        <v>0</v>
      </c>
      <c r="BU317" s="24">
        <f>BU307</f>
        <v>0</v>
      </c>
      <c r="BV317" s="2">
        <f>BW317+BX317+BY317+BZ317</f>
        <v>0</v>
      </c>
      <c r="BW317" s="24">
        <f>BW307</f>
        <v>0</v>
      </c>
      <c r="BX317" s="24">
        <f>BX307</f>
        <v>0</v>
      </c>
      <c r="BY317" s="24">
        <f>BY307</f>
        <v>0</v>
      </c>
      <c r="BZ317" s="24">
        <f>BZ307</f>
        <v>0</v>
      </c>
      <c r="CA317" s="24">
        <f t="shared" si="1501"/>
        <v>0</v>
      </c>
      <c r="CB317" s="2">
        <f>CC317+CD317+CE317+CF317</f>
        <v>0</v>
      </c>
      <c r="CC317" s="24">
        <f>CC307</f>
        <v>0</v>
      </c>
      <c r="CD317" s="24">
        <f t="shared" si="1651"/>
        <v>0</v>
      </c>
      <c r="CE317" s="24">
        <f>CE307</f>
        <v>0</v>
      </c>
      <c r="CF317" s="24">
        <f>CF307</f>
        <v>0</v>
      </c>
      <c r="CG317" s="2">
        <f>CH317+CI317+CJ317+CK317</f>
        <v>0</v>
      </c>
      <c r="CH317" s="24">
        <f t="shared" si="1517"/>
        <v>0</v>
      </c>
      <c r="CI317" s="24">
        <f>CI307</f>
        <v>0</v>
      </c>
      <c r="CJ317" s="24">
        <f>CJ307</f>
        <v>0</v>
      </c>
      <c r="CK317" s="24">
        <f>CK307</f>
        <v>0</v>
      </c>
      <c r="CL317" s="76"/>
      <c r="CM317" s="45"/>
      <c r="CN317" s="45"/>
      <c r="CO317" s="2">
        <f>CP317+CQ317+CR317+CS317</f>
        <v>0</v>
      </c>
      <c r="CP317" s="24">
        <f>CP301+CP305</f>
        <v>0</v>
      </c>
      <c r="CQ317" s="24">
        <f>CQ301+CQ305</f>
        <v>0</v>
      </c>
      <c r="CR317" s="24">
        <f>CR301+CR305</f>
        <v>0</v>
      </c>
      <c r="CS317" s="24">
        <f>CS301+CS305</f>
        <v>0</v>
      </c>
      <c r="CT317" s="2">
        <f>CU317+CV317+CW317+CX317</f>
        <v>0</v>
      </c>
      <c r="CU317" s="24">
        <f t="shared" ref="CU317:CX318" si="1670">CU301+CU305</f>
        <v>0</v>
      </c>
      <c r="CV317" s="24">
        <f t="shared" si="1670"/>
        <v>0</v>
      </c>
      <c r="CW317" s="24">
        <f t="shared" si="1670"/>
        <v>0</v>
      </c>
      <c r="CX317" s="24">
        <f t="shared" si="1670"/>
        <v>0</v>
      </c>
      <c r="CY317" s="2">
        <f>CZ317+DA317+DB317+DC317</f>
        <v>0</v>
      </c>
      <c r="CZ317" s="24">
        <f>CZ301+CZ305</f>
        <v>0</v>
      </c>
      <c r="DA317" s="24">
        <f>DA301+DA305</f>
        <v>0</v>
      </c>
      <c r="DB317" s="24">
        <f>DB301+DB305</f>
        <v>0</v>
      </c>
      <c r="DC317" s="24">
        <f>DC301+DC305</f>
        <v>0</v>
      </c>
      <c r="DD317" s="45"/>
      <c r="DE317" s="45"/>
      <c r="DF317" s="45"/>
      <c r="DG317" s="45"/>
      <c r="DH317" s="45"/>
      <c r="DI317" s="45"/>
      <c r="DJ317" s="45"/>
      <c r="DK317" s="45"/>
      <c r="DL317" s="24">
        <f>DL301+DL305</f>
        <v>0</v>
      </c>
      <c r="DM317" s="24">
        <f>DM301+DM305</f>
        <v>0</v>
      </c>
      <c r="DN317" s="45"/>
      <c r="DO317" s="24">
        <f>DO301+DO305</f>
        <v>0</v>
      </c>
      <c r="DP317" s="45"/>
      <c r="DQ317" s="45"/>
      <c r="DR317" s="2">
        <f>DS317+DT317+DU317+DV317</f>
        <v>0</v>
      </c>
      <c r="DS317" s="2">
        <f>DS293</f>
        <v>0</v>
      </c>
      <c r="DT317" s="2">
        <f t="shared" ref="DT317:DU317" si="1671">DT293</f>
        <v>0</v>
      </c>
      <c r="DU317" s="2">
        <f t="shared" si="1671"/>
        <v>0</v>
      </c>
      <c r="DV317" s="2">
        <f t="shared" ref="DV317" si="1672">DV293</f>
        <v>0</v>
      </c>
      <c r="DW317" s="2">
        <f>DX317+DY317+DZ317+EA317</f>
        <v>169800.83082999999</v>
      </c>
      <c r="DX317" s="2">
        <f>DX293</f>
        <v>0</v>
      </c>
      <c r="DY317" s="244">
        <f t="shared" ref="DY317:DZ317" si="1673">DY293</f>
        <v>80103.362610000011</v>
      </c>
      <c r="DZ317" s="24">
        <f t="shared" si="1673"/>
        <v>89697.468219999995</v>
      </c>
      <c r="EA317" s="14">
        <f t="shared" ref="EA317" si="1674">EA293</f>
        <v>0</v>
      </c>
      <c r="EB317" s="279"/>
      <c r="EC317" s="279"/>
      <c r="ED317" s="313"/>
      <c r="EE317" s="291"/>
      <c r="EF317" s="291"/>
      <c r="EG317" s="279"/>
      <c r="EH317" s="279"/>
      <c r="EI317" s="313"/>
      <c r="EJ317" s="291"/>
      <c r="EK317" s="291"/>
      <c r="EL317" s="291"/>
      <c r="EM317" s="291"/>
      <c r="EN317" s="291"/>
      <c r="EO317" s="24">
        <f t="shared" ref="EO317" si="1675">EO293</f>
        <v>0</v>
      </c>
      <c r="EP317" s="323"/>
      <c r="EQ317" s="323"/>
      <c r="ER317" s="351"/>
      <c r="ES317" s="330"/>
      <c r="ET317" s="330"/>
      <c r="EU317" s="323"/>
      <c r="EV317" s="323"/>
      <c r="EW317" s="351"/>
      <c r="EX317" s="330"/>
      <c r="EY317" s="330"/>
      <c r="EZ317" s="330"/>
      <c r="FA317" s="330"/>
      <c r="FB317" s="330"/>
      <c r="FC317" s="279"/>
      <c r="FD317" s="279"/>
      <c r="FE317" s="313"/>
      <c r="FF317" s="291"/>
      <c r="FG317" s="291"/>
      <c r="FH317" s="279"/>
      <c r="FI317" s="279"/>
      <c r="FJ317" s="313"/>
      <c r="FK317" s="291"/>
      <c r="FL317" s="291"/>
      <c r="FM317" s="291"/>
      <c r="FN317" s="291"/>
      <c r="FO317" s="291"/>
    </row>
    <row r="318" spans="2:171" s="40" customFormat="1" ht="19.5" hidden="1" customHeight="1" x14ac:dyDescent="0.2">
      <c r="B318" s="35"/>
      <c r="C318" s="36"/>
      <c r="D318" s="35"/>
      <c r="E318" s="42"/>
      <c r="F318" s="35"/>
      <c r="G318" s="36"/>
      <c r="H318" s="35"/>
      <c r="I318" s="35"/>
      <c r="J318" s="35"/>
      <c r="K318" s="35"/>
      <c r="L318" s="35"/>
      <c r="M318" s="65"/>
      <c r="N318" s="66" t="s">
        <v>289</v>
      </c>
      <c r="O318" s="66"/>
      <c r="P318" s="414">
        <f t="shared" si="1502"/>
        <v>62701.032010000199</v>
      </c>
      <c r="Q318" s="66"/>
      <c r="R318" s="66"/>
      <c r="S318" s="66"/>
      <c r="T318" s="66"/>
      <c r="U318" s="66"/>
      <c r="V318" s="66"/>
      <c r="W318" s="2">
        <f>X318+Y318+Z318+AA318</f>
        <v>1191202.0999999999</v>
      </c>
      <c r="X318" s="24">
        <f>X308+X314</f>
        <v>251056.89799999999</v>
      </c>
      <c r="Y318" s="24">
        <f>Y294+Y314</f>
        <v>234455.77399999998</v>
      </c>
      <c r="Z318" s="24">
        <f>Z308+Z314</f>
        <v>705689.42799999996</v>
      </c>
      <c r="AA318" s="24">
        <f>AA308+AA314</f>
        <v>0</v>
      </c>
      <c r="AB318" s="2">
        <f>AC318+AD318+AE318+AF318</f>
        <v>1030130.642</v>
      </c>
      <c r="AC318" s="24">
        <f>AC308+AC314</f>
        <v>545404.59100000001</v>
      </c>
      <c r="AD318" s="24">
        <f>AD308+AD314</f>
        <v>230000.00000000003</v>
      </c>
      <c r="AE318" s="24">
        <f>AE308+AE314</f>
        <v>254726.05099999998</v>
      </c>
      <c r="AF318" s="24">
        <f>AF308+AF314</f>
        <v>0</v>
      </c>
      <c r="AG318" s="2">
        <f>AH318+AI318+AJ318+AK318</f>
        <v>974270.64899999998</v>
      </c>
      <c r="AH318" s="24">
        <f>AH308+AH314</f>
        <v>489544.598</v>
      </c>
      <c r="AI318" s="24">
        <f>AI308+AI314</f>
        <v>230000.00000000003</v>
      </c>
      <c r="AJ318" s="24">
        <f>AJ308+AJ314</f>
        <v>254726.05100000001</v>
      </c>
      <c r="AK318" s="24">
        <f>AK308+AK314</f>
        <v>0</v>
      </c>
      <c r="AL318" s="2">
        <f>AM318+AN318+AO318+AP318</f>
        <v>683000</v>
      </c>
      <c r="AM318" s="24">
        <f>AM308+AM314</f>
        <v>421431.3</v>
      </c>
      <c r="AN318" s="24">
        <f>AN308+AN314</f>
        <v>100000</v>
      </c>
      <c r="AO318" s="24">
        <f>AO308+AO314</f>
        <v>161568.70000000001</v>
      </c>
      <c r="AP318" s="24">
        <f>AP308+AP314</f>
        <v>0</v>
      </c>
      <c r="AQ318" s="390"/>
      <c r="AR318" s="2">
        <f>AS318+AT318+AU318+AV318</f>
        <v>1174374.427468</v>
      </c>
      <c r="AS318" s="24">
        <f t="shared" ref="AS318:BA318" si="1676">AS308+AS314</f>
        <v>251056.89799999999</v>
      </c>
      <c r="AT318" s="24">
        <f t="shared" si="1676"/>
        <v>226274.93105800005</v>
      </c>
      <c r="AU318" s="24">
        <f t="shared" si="1676"/>
        <v>697042.59840999986</v>
      </c>
      <c r="AV318" s="24">
        <f t="shared" si="1676"/>
        <v>0</v>
      </c>
      <c r="AW318" s="24" t="e">
        <f t="shared" si="1676"/>
        <v>#REF!</v>
      </c>
      <c r="AX318" s="24" t="e">
        <f t="shared" si="1676"/>
        <v>#REF!</v>
      </c>
      <c r="AY318" s="24" t="e">
        <f t="shared" si="1676"/>
        <v>#REF!</v>
      </c>
      <c r="AZ318" s="24" t="e">
        <f t="shared" si="1676"/>
        <v>#REF!</v>
      </c>
      <c r="BA318" s="24" t="e">
        <f t="shared" si="1676"/>
        <v>#REF!</v>
      </c>
      <c r="BB318" s="2">
        <f>BC318+BD318+BE318+BF318</f>
        <v>781575.86852000002</v>
      </c>
      <c r="BC318" s="24">
        <f t="shared" ref="BC318:BK318" si="1677">BC308+BC314</f>
        <v>302927.24051999999</v>
      </c>
      <c r="BD318" s="24">
        <f t="shared" si="1677"/>
        <v>223922.57699999999</v>
      </c>
      <c r="BE318" s="24">
        <f t="shared" si="1677"/>
        <v>254726.05100000004</v>
      </c>
      <c r="BF318" s="24">
        <f t="shared" si="1677"/>
        <v>0</v>
      </c>
      <c r="BG318" s="24">
        <f t="shared" si="1677"/>
        <v>0</v>
      </c>
      <c r="BH318" s="24">
        <f t="shared" si="1677"/>
        <v>0</v>
      </c>
      <c r="BI318" s="24">
        <f t="shared" si="1677"/>
        <v>0</v>
      </c>
      <c r="BJ318" s="24">
        <f t="shared" si="1677"/>
        <v>0</v>
      </c>
      <c r="BK318" s="24">
        <f t="shared" si="1677"/>
        <v>0</v>
      </c>
      <c r="BL318" s="2">
        <f>BM318+BN318+BO318+BP318</f>
        <v>1165399.97627</v>
      </c>
      <c r="BM318" s="24">
        <f>BM308+BM314</f>
        <v>249964.59700000001</v>
      </c>
      <c r="BN318" s="24">
        <f>BN308+BN314</f>
        <v>223522.57506000003</v>
      </c>
      <c r="BO318" s="24">
        <f>BO308+BO314</f>
        <v>691912.80420999986</v>
      </c>
      <c r="BP318" s="24">
        <f>BP308+BP314</f>
        <v>0</v>
      </c>
      <c r="BQ318" s="2">
        <f>BR318+BS318+BT318+BU318</f>
        <v>1102698.9442599998</v>
      </c>
      <c r="BR318" s="24">
        <f>BR308+BR314</f>
        <v>187263.56499000001</v>
      </c>
      <c r="BS318" s="24">
        <f>BS308+BS314</f>
        <v>223522.57506000003</v>
      </c>
      <c r="BT318" s="24">
        <f>BT308+BT314</f>
        <v>691912.80420999986</v>
      </c>
      <c r="BU318" s="24">
        <f>BU308+BU314</f>
        <v>0</v>
      </c>
      <c r="BV318" s="2">
        <f>BW318+BX318+BY318+BZ318</f>
        <v>177214.22271</v>
      </c>
      <c r="BW318" s="24">
        <f>BW308+BW314</f>
        <v>7413.3918800000001</v>
      </c>
      <c r="BX318" s="24">
        <f>BX308+BX314</f>
        <v>80103.362610000011</v>
      </c>
      <c r="BY318" s="24">
        <f>BY308+BY314</f>
        <v>89697.468219999995</v>
      </c>
      <c r="BZ318" s="24">
        <f>BZ308+BZ314</f>
        <v>0</v>
      </c>
      <c r="CA318" s="24">
        <f t="shared" si="1501"/>
        <v>1279913.1669699999</v>
      </c>
      <c r="CB318" s="2">
        <f>CC318+CD318+CE318+CF318</f>
        <v>1279913.1669699999</v>
      </c>
      <c r="CC318" s="24">
        <f>CC308+CC314</f>
        <v>194676.95687000002</v>
      </c>
      <c r="CD318" s="24">
        <f t="shared" si="1651"/>
        <v>303625.93767000001</v>
      </c>
      <c r="CE318" s="24">
        <f>CE308+CE314</f>
        <v>781610.2724299999</v>
      </c>
      <c r="CF318" s="24">
        <f>CF308+CF314</f>
        <v>0</v>
      </c>
      <c r="CG318" s="2">
        <f>CH318+CI318+CJ318+CK318</f>
        <v>62701.032009999995</v>
      </c>
      <c r="CH318" s="24">
        <f t="shared" si="1517"/>
        <v>62701.032009999995</v>
      </c>
      <c r="CI318" s="24">
        <f>CI308+CI314</f>
        <v>0</v>
      </c>
      <c r="CJ318" s="24">
        <f>CJ308+CJ314</f>
        <v>0</v>
      </c>
      <c r="CK318" s="24">
        <f>CK308+CK314</f>
        <v>0</v>
      </c>
      <c r="CL318" s="76"/>
      <c r="CM318" s="45"/>
      <c r="CN318" s="45"/>
      <c r="CO318" s="2">
        <f>CP318+CQ318+CR318+CS318</f>
        <v>0</v>
      </c>
      <c r="CP318" s="24">
        <f>CP302+CP306</f>
        <v>0</v>
      </c>
      <c r="CQ318" s="24">
        <f>CQ302+CQ306</f>
        <v>0</v>
      </c>
      <c r="CR318" s="24"/>
      <c r="CS318" s="24"/>
      <c r="CT318" s="2">
        <f>CU318+CV318+CW318+CX318</f>
        <v>0</v>
      </c>
      <c r="CU318" s="24">
        <f t="shared" si="1670"/>
        <v>0</v>
      </c>
      <c r="CV318" s="24">
        <f t="shared" si="1670"/>
        <v>0</v>
      </c>
      <c r="CW318" s="24">
        <f t="shared" si="1670"/>
        <v>0</v>
      </c>
      <c r="CX318" s="24">
        <f t="shared" si="1670"/>
        <v>0</v>
      </c>
      <c r="CY318" s="2">
        <f>CZ318+DA318+DB318+DC318</f>
        <v>0</v>
      </c>
      <c r="CZ318" s="24">
        <f>CZ302+CZ306</f>
        <v>0</v>
      </c>
      <c r="DA318" s="24">
        <f>DA302+DA306</f>
        <v>0</v>
      </c>
      <c r="DB318" s="24"/>
      <c r="DC318" s="24"/>
      <c r="DD318" s="45"/>
      <c r="DE318" s="45"/>
      <c r="DF318" s="45"/>
      <c r="DG318" s="45"/>
      <c r="DH318" s="45"/>
      <c r="DI318" s="45"/>
      <c r="DJ318" s="45"/>
      <c r="DK318" s="45"/>
      <c r="DL318" s="24">
        <f>DL302+DL306</f>
        <v>0</v>
      </c>
      <c r="DM318" s="24">
        <f>DM302+DM306</f>
        <v>0</v>
      </c>
      <c r="DN318" s="45"/>
      <c r="DO318" s="24">
        <f>DO302+DO306</f>
        <v>0</v>
      </c>
      <c r="DP318" s="45"/>
      <c r="DQ318" s="45"/>
      <c r="DR318" s="2">
        <f>DS318+DT318+DU318+DV318</f>
        <v>1102698.9442599998</v>
      </c>
      <c r="DS318" s="24">
        <f>DS294+DS314</f>
        <v>187263.56499000001</v>
      </c>
      <c r="DT318" s="24">
        <f t="shared" ref="DT318:DU318" si="1678">DT294+DT314</f>
        <v>223522.57506000003</v>
      </c>
      <c r="DU318" s="24">
        <f t="shared" si="1678"/>
        <v>691912.80420999986</v>
      </c>
      <c r="DV318" s="24">
        <f t="shared" ref="DV318" si="1679">DV294+DV314</f>
        <v>0</v>
      </c>
      <c r="DW318" s="2">
        <f>DX318+DY318+DZ318+EA318</f>
        <v>7413.3918800000001</v>
      </c>
      <c r="DX318" s="24">
        <f>DX294+DX314</f>
        <v>7413.3918800000001</v>
      </c>
      <c r="DY318" s="200">
        <f t="shared" ref="DY318:DZ318" si="1680">DY294+DY314</f>
        <v>0</v>
      </c>
      <c r="DZ318" s="24">
        <f t="shared" si="1680"/>
        <v>0</v>
      </c>
      <c r="EA318" s="14">
        <f t="shared" ref="EA318" si="1681">EA294+EA314</f>
        <v>0</v>
      </c>
      <c r="EB318" s="279"/>
      <c r="EC318" s="291"/>
      <c r="ED318" s="308"/>
      <c r="EE318" s="291"/>
      <c r="EF318" s="291"/>
      <c r="EG318" s="279"/>
      <c r="EH318" s="291"/>
      <c r="EI318" s="308"/>
      <c r="EJ318" s="291"/>
      <c r="EK318" s="291"/>
      <c r="EL318" s="291"/>
      <c r="EM318" s="291"/>
      <c r="EN318" s="291"/>
      <c r="EO318" s="24">
        <f t="shared" ref="EO318" si="1682">EO294+EO314</f>
        <v>0</v>
      </c>
      <c r="EP318" s="323"/>
      <c r="EQ318" s="330"/>
      <c r="ER318" s="346"/>
      <c r="ES318" s="330"/>
      <c r="ET318" s="330"/>
      <c r="EU318" s="323"/>
      <c r="EV318" s="330"/>
      <c r="EW318" s="346"/>
      <c r="EX318" s="330"/>
      <c r="EY318" s="330"/>
      <c r="EZ318" s="330"/>
      <c r="FA318" s="330"/>
      <c r="FB318" s="330"/>
      <c r="FC318" s="279"/>
      <c r="FD318" s="291"/>
      <c r="FE318" s="308"/>
      <c r="FF318" s="291"/>
      <c r="FG318" s="291"/>
      <c r="FH318" s="279"/>
      <c r="FI318" s="291"/>
      <c r="FJ318" s="308"/>
      <c r="FK318" s="291"/>
      <c r="FL318" s="291"/>
      <c r="FM318" s="291"/>
      <c r="FN318" s="291"/>
      <c r="FO318" s="291"/>
    </row>
    <row r="319" spans="2:171" s="40" customFormat="1" ht="19.5" hidden="1" customHeight="1" x14ac:dyDescent="0.2">
      <c r="B319" s="51"/>
      <c r="C319" s="51"/>
      <c r="D319" s="51"/>
      <c r="E319" s="67"/>
      <c r="F319" s="51"/>
      <c r="G319" s="51"/>
      <c r="H319" s="51"/>
      <c r="I319" s="51"/>
      <c r="J319" s="51"/>
      <c r="K319" s="51"/>
      <c r="L319" s="51"/>
      <c r="M319" s="81"/>
      <c r="N319" s="81"/>
      <c r="O319" s="81"/>
      <c r="P319" s="425">
        <f t="shared" si="1502"/>
        <v>0</v>
      </c>
      <c r="Q319" s="81"/>
      <c r="R319" s="81"/>
      <c r="S319" s="81"/>
      <c r="T319" s="81"/>
      <c r="U319" s="81"/>
      <c r="V319" s="81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395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  <c r="BI319" s="83"/>
      <c r="BJ319" s="83"/>
      <c r="BK319" s="83"/>
      <c r="BL319" s="83"/>
      <c r="BM319" s="83"/>
      <c r="BN319" s="83"/>
      <c r="BO319" s="83"/>
      <c r="BP319" s="83"/>
      <c r="BQ319" s="83"/>
      <c r="BR319" s="83"/>
      <c r="BS319" s="83"/>
      <c r="BT319" s="83"/>
      <c r="BU319" s="83"/>
      <c r="BV319" s="83"/>
      <c r="BW319" s="83"/>
      <c r="BX319" s="83"/>
      <c r="BY319" s="83"/>
      <c r="BZ319" s="83"/>
      <c r="CA319" s="78"/>
      <c r="CB319" s="83"/>
      <c r="CC319" s="83"/>
      <c r="CD319" s="83"/>
      <c r="CE319" s="83"/>
      <c r="CF319" s="83"/>
      <c r="CG319" s="83"/>
      <c r="CH319" s="83"/>
      <c r="CI319" s="83"/>
      <c r="CJ319" s="83"/>
      <c r="CK319" s="83"/>
      <c r="CL319" s="76"/>
      <c r="CM319" s="45"/>
      <c r="CN319" s="45"/>
      <c r="CO319" s="83"/>
      <c r="CP319" s="83"/>
      <c r="CQ319" s="83"/>
      <c r="CR319" s="83"/>
      <c r="CS319" s="83"/>
      <c r="CT319" s="83"/>
      <c r="CU319" s="83"/>
      <c r="CV319" s="83"/>
      <c r="CW319" s="83"/>
      <c r="CX319" s="83"/>
      <c r="CY319" s="83"/>
      <c r="CZ319" s="83"/>
      <c r="DA319" s="83"/>
      <c r="DB319" s="83"/>
      <c r="DC319" s="83"/>
      <c r="DD319" s="45"/>
      <c r="DE319" s="45"/>
      <c r="DF319" s="45"/>
      <c r="DG319" s="45"/>
      <c r="DH319" s="45"/>
      <c r="DI319" s="45"/>
      <c r="DJ319" s="45"/>
      <c r="DK319" s="45"/>
      <c r="DL319" s="83"/>
      <c r="DM319" s="83"/>
      <c r="DN319" s="45"/>
      <c r="DO319" s="83"/>
      <c r="DP319" s="45"/>
      <c r="DQ319" s="45"/>
      <c r="DR319" s="83"/>
      <c r="DS319" s="83"/>
      <c r="DT319" s="83"/>
      <c r="DU319" s="83"/>
      <c r="DV319" s="83"/>
      <c r="DW319" s="83"/>
      <c r="DX319" s="83"/>
      <c r="DY319" s="83"/>
      <c r="DZ319" s="24"/>
      <c r="EA319" s="2"/>
      <c r="EB319" s="312"/>
      <c r="EC319" s="312"/>
      <c r="ED319" s="312"/>
      <c r="EE319" s="291"/>
      <c r="EF319" s="291"/>
      <c r="EG319" s="312"/>
      <c r="EH319" s="312"/>
      <c r="EI319" s="312"/>
      <c r="EJ319" s="291"/>
      <c r="EK319" s="291"/>
      <c r="EL319" s="291"/>
      <c r="EM319" s="291"/>
      <c r="EN319" s="291"/>
      <c r="EO319" s="24"/>
      <c r="EP319" s="350"/>
      <c r="EQ319" s="350"/>
      <c r="ER319" s="350"/>
      <c r="ES319" s="330"/>
      <c r="ET319" s="330"/>
      <c r="EU319" s="350"/>
      <c r="EV319" s="350"/>
      <c r="EW319" s="350"/>
      <c r="EX319" s="330"/>
      <c r="EY319" s="330"/>
      <c r="EZ319" s="330"/>
      <c r="FA319" s="330"/>
      <c r="FB319" s="330"/>
      <c r="FC319" s="312"/>
      <c r="FD319" s="312"/>
      <c r="FE319" s="312"/>
      <c r="FF319" s="291"/>
      <c r="FG319" s="291"/>
      <c r="FH319" s="312"/>
      <c r="FI319" s="312"/>
      <c r="FJ319" s="312"/>
      <c r="FK319" s="291"/>
      <c r="FL319" s="291"/>
      <c r="FM319" s="291"/>
      <c r="FN319" s="291"/>
      <c r="FO319" s="291"/>
    </row>
    <row r="320" spans="2:171" ht="25.5" hidden="1" customHeight="1" x14ac:dyDescent="0.3">
      <c r="P320" s="415">
        <f t="shared" si="1502"/>
        <v>62701.032009999733</v>
      </c>
      <c r="AQ320" s="396"/>
      <c r="BB320" s="45">
        <f>BB306-BG306</f>
        <v>793737.85177999991</v>
      </c>
      <c r="BC320" s="45">
        <f t="shared" ref="BC320:BF320" si="1683">BC306-BH306</f>
        <v>315089.22378</v>
      </c>
      <c r="BD320" s="45">
        <f t="shared" si="1683"/>
        <v>223922.57699999999</v>
      </c>
      <c r="BE320" s="45">
        <f t="shared" si="1683"/>
        <v>254726.05100000004</v>
      </c>
      <c r="BF320" s="45">
        <f t="shared" si="1683"/>
        <v>0</v>
      </c>
      <c r="BH320" s="16"/>
      <c r="BL320" s="45">
        <f>BL306-BQ306</f>
        <v>62701.032009999733</v>
      </c>
      <c r="BM320" s="45">
        <f t="shared" ref="BM320:BP320" si="1684">BM306-BR306</f>
        <v>62701.032009999995</v>
      </c>
      <c r="BN320" s="45">
        <f t="shared" si="1684"/>
        <v>0</v>
      </c>
      <c r="BO320" s="45">
        <f t="shared" si="1684"/>
        <v>0</v>
      </c>
      <c r="BP320" s="45">
        <f t="shared" si="1684"/>
        <v>0</v>
      </c>
      <c r="CP320" s="16"/>
      <c r="CQ320" s="16"/>
      <c r="CR320" s="16"/>
      <c r="CS320" s="16"/>
      <c r="CY320" s="16"/>
      <c r="CZ320" s="16"/>
      <c r="DA320" s="16"/>
      <c r="DB320" s="16"/>
      <c r="DC320" s="16"/>
      <c r="DD320" s="16"/>
      <c r="DE320" s="16"/>
      <c r="DF320" s="16"/>
      <c r="DH320" s="16"/>
      <c r="DK320" s="16"/>
      <c r="DN320" s="16"/>
      <c r="DP320" s="16"/>
      <c r="DQ320" s="16"/>
      <c r="DZ320" s="202"/>
      <c r="EA320" s="230"/>
      <c r="EE320" s="314"/>
      <c r="EF320" s="314"/>
      <c r="EJ320" s="314"/>
      <c r="EK320" s="314"/>
      <c r="EL320" s="314"/>
      <c r="EM320" s="314"/>
      <c r="EN320" s="314"/>
      <c r="EO320" s="202"/>
      <c r="ES320" s="354"/>
      <c r="ET320" s="354"/>
      <c r="EX320" s="354"/>
      <c r="EY320" s="354"/>
      <c r="EZ320" s="354"/>
      <c r="FA320" s="354"/>
      <c r="FB320" s="354"/>
      <c r="FF320" s="314"/>
      <c r="FG320" s="314"/>
      <c r="FK320" s="314"/>
      <c r="FL320" s="314"/>
      <c r="FM320" s="314"/>
      <c r="FN320" s="314"/>
      <c r="FO320" s="314"/>
    </row>
    <row r="321" spans="2:171" ht="15.75" hidden="1" customHeight="1" x14ac:dyDescent="0.25">
      <c r="M321" s="60" t="s">
        <v>295</v>
      </c>
      <c r="N321" s="61"/>
      <c r="O321" s="61"/>
      <c r="P321" s="421">
        <f t="shared" si="1502"/>
        <v>0</v>
      </c>
      <c r="Q321" s="61"/>
      <c r="R321" s="61"/>
      <c r="S321" s="61"/>
      <c r="T321" s="61"/>
      <c r="U321" s="61"/>
      <c r="V321" s="61"/>
      <c r="W321" s="62"/>
      <c r="X321" s="62"/>
      <c r="Y321" s="62"/>
      <c r="Z321" s="62"/>
      <c r="AA321" s="62"/>
      <c r="AB321" s="62"/>
      <c r="AC321" s="62"/>
      <c r="AD321" s="62"/>
      <c r="AE321" s="62"/>
      <c r="AF321" s="62"/>
      <c r="AG321" s="62"/>
      <c r="AH321" s="62"/>
      <c r="AI321" s="62"/>
      <c r="AJ321" s="62"/>
      <c r="AK321" s="62"/>
      <c r="AL321" s="62"/>
      <c r="AM321" s="62"/>
      <c r="AN321" s="62"/>
      <c r="AO321" s="62"/>
      <c r="AP321" s="62"/>
      <c r="AQ321" s="61"/>
      <c r="AR321" s="254" t="e">
        <f>SUM(AR292/#REF!)</f>
        <v>#REF!</v>
      </c>
      <c r="AS321" s="110" t="e">
        <f>SUM(AS292/#REF!)</f>
        <v>#REF!</v>
      </c>
      <c r="AT321" s="110" t="e">
        <f>SUM(AT292/#REF!)</f>
        <v>#REF!</v>
      </c>
      <c r="AU321" s="110" t="e">
        <f>SUM(AU292/#REF!)</f>
        <v>#REF!</v>
      </c>
      <c r="AV321" s="110"/>
      <c r="AW321" s="8"/>
      <c r="AX321" s="8"/>
      <c r="AY321" s="8"/>
      <c r="AZ321" s="8"/>
      <c r="BA321" s="8"/>
      <c r="BB321" s="110"/>
      <c r="BC321" s="110"/>
      <c r="BD321" s="110"/>
      <c r="BE321" s="110"/>
      <c r="BF321" s="110"/>
      <c r="BG321" s="71"/>
      <c r="BH321" s="71"/>
      <c r="BI321" s="71"/>
      <c r="BJ321" s="71"/>
      <c r="BK321" s="71"/>
      <c r="BL321" s="110"/>
      <c r="BM321" s="110"/>
      <c r="BN321" s="110"/>
      <c r="BO321" s="110"/>
      <c r="BP321" s="110"/>
      <c r="BQ321" s="71"/>
      <c r="BR321" s="71"/>
      <c r="BS321" s="71"/>
      <c r="BT321" s="71"/>
      <c r="BU321" s="71"/>
      <c r="BV321" s="79"/>
      <c r="BW321" s="71"/>
      <c r="BX321" s="71"/>
      <c r="BY321" s="71"/>
      <c r="BZ321" s="71"/>
      <c r="CA321" s="63"/>
      <c r="CB321" s="71"/>
      <c r="CC321" s="71"/>
      <c r="CD321" s="71"/>
      <c r="CE321" s="71"/>
      <c r="CF321" s="71"/>
      <c r="CG321" s="71"/>
      <c r="CH321" s="71"/>
      <c r="CI321" s="71"/>
      <c r="CJ321" s="71"/>
      <c r="CK321" s="71"/>
      <c r="CL321" s="80"/>
      <c r="CM321" s="64"/>
      <c r="CN321" s="64"/>
      <c r="CO321" s="64"/>
      <c r="CP321" s="64"/>
      <c r="CQ321" s="64"/>
      <c r="CR321" s="71"/>
      <c r="CS321" s="64"/>
      <c r="CT321" s="64"/>
      <c r="CU321" s="64"/>
      <c r="CV321" s="64"/>
      <c r="CW321" s="64"/>
      <c r="CX321" s="64"/>
      <c r="CY321" s="64"/>
      <c r="CZ321" s="64"/>
      <c r="DA321" s="64"/>
      <c r="DB321" s="64"/>
      <c r="DC321" s="64"/>
      <c r="DD321" s="64"/>
      <c r="DE321" s="64"/>
      <c r="DF321" s="64"/>
      <c r="DG321" s="64"/>
      <c r="DH321" s="64"/>
      <c r="DI321" s="64"/>
      <c r="DJ321" s="64"/>
      <c r="DK321" s="16"/>
      <c r="DL321" s="71"/>
      <c r="DM321" s="71"/>
      <c r="DN321" s="16"/>
      <c r="DO321" s="71"/>
      <c r="DP321" s="16"/>
      <c r="DQ321" s="16"/>
      <c r="DR321" s="8"/>
      <c r="DS321" s="8"/>
      <c r="DT321" s="8"/>
      <c r="DU321" s="8"/>
      <c r="DV321" s="9"/>
      <c r="DW321" s="8"/>
      <c r="DX321" s="8"/>
      <c r="DY321" s="9"/>
      <c r="DZ321" s="8"/>
      <c r="EA321" s="7"/>
      <c r="EB321" s="294"/>
      <c r="EC321" s="294"/>
      <c r="ED321" s="296"/>
      <c r="EE321" s="294"/>
      <c r="EF321" s="294"/>
      <c r="EG321" s="294"/>
      <c r="EH321" s="294"/>
      <c r="EI321" s="296"/>
      <c r="EJ321" s="294"/>
      <c r="EK321" s="294"/>
      <c r="EL321" s="294"/>
      <c r="EM321" s="294"/>
      <c r="EN321" s="294"/>
      <c r="EO321" s="8"/>
      <c r="EP321" s="332"/>
      <c r="EQ321" s="332"/>
      <c r="ER321" s="334"/>
      <c r="ES321" s="332"/>
      <c r="ET321" s="332"/>
      <c r="EU321" s="332"/>
      <c r="EV321" s="332"/>
      <c r="EW321" s="334"/>
      <c r="EX321" s="332"/>
      <c r="EY321" s="332"/>
      <c r="EZ321" s="332"/>
      <c r="FA321" s="332"/>
      <c r="FB321" s="332"/>
      <c r="FC321" s="294"/>
      <c r="FD321" s="294"/>
      <c r="FE321" s="296"/>
      <c r="FF321" s="294"/>
      <c r="FG321" s="294"/>
      <c r="FH321" s="294"/>
      <c r="FI321" s="294"/>
      <c r="FJ321" s="296"/>
      <c r="FK321" s="294"/>
      <c r="FL321" s="294"/>
      <c r="FM321" s="294"/>
      <c r="FN321" s="294"/>
      <c r="FO321" s="294"/>
    </row>
    <row r="322" spans="2:171" ht="18.75" hidden="1" customHeight="1" x14ac:dyDescent="0.3">
      <c r="M322" s="72" t="s">
        <v>296</v>
      </c>
      <c r="P322" s="415">
        <f t="shared" si="1502"/>
        <v>0</v>
      </c>
      <c r="AQ322" s="396"/>
      <c r="AR322" s="255" t="e">
        <f>SUM(AR294/#REF!)</f>
        <v>#REF!</v>
      </c>
      <c r="AS322" s="111" t="e">
        <f>SUM(AS294/#REF!)</f>
        <v>#REF!</v>
      </c>
      <c r="AT322" s="111" t="e">
        <f>SUM(AT294/#REF!)</f>
        <v>#REF!</v>
      </c>
      <c r="AU322" s="111" t="e">
        <f>SUM(AU294/#REF!)</f>
        <v>#REF!</v>
      </c>
      <c r="AV322" s="111"/>
      <c r="BH322" s="16"/>
      <c r="BL322" s="45"/>
      <c r="BM322" s="45"/>
      <c r="BN322" s="45"/>
      <c r="BO322" s="45"/>
      <c r="BP322" s="45"/>
      <c r="CP322" s="16"/>
      <c r="CQ322" s="16"/>
      <c r="CR322" s="16"/>
      <c r="CS322" s="16"/>
      <c r="CY322" s="16"/>
      <c r="CZ322" s="16"/>
      <c r="DA322" s="16"/>
      <c r="DB322" s="16"/>
      <c r="DC322" s="16"/>
      <c r="DD322" s="16"/>
      <c r="DE322" s="16"/>
      <c r="DF322" s="16"/>
      <c r="DH322" s="16"/>
      <c r="DK322" s="16"/>
      <c r="DN322" s="16"/>
      <c r="DP322" s="16"/>
      <c r="DQ322" s="16"/>
      <c r="DZ322" s="202"/>
      <c r="EA322" s="230"/>
      <c r="EE322" s="314"/>
      <c r="EF322" s="314"/>
      <c r="EJ322" s="314"/>
      <c r="EK322" s="314"/>
      <c r="EL322" s="314"/>
      <c r="EM322" s="314"/>
      <c r="EN322" s="314"/>
      <c r="EO322" s="202"/>
      <c r="ES322" s="354"/>
      <c r="ET322" s="354"/>
      <c r="EX322" s="354"/>
      <c r="EY322" s="354"/>
      <c r="EZ322" s="354"/>
      <c r="FA322" s="354"/>
      <c r="FB322" s="354"/>
      <c r="FF322" s="314"/>
      <c r="FG322" s="314"/>
      <c r="FK322" s="314"/>
      <c r="FL322" s="314"/>
      <c r="FM322" s="314"/>
      <c r="FN322" s="314"/>
      <c r="FO322" s="314"/>
    </row>
    <row r="323" spans="2:171" ht="15.75" hidden="1" customHeight="1" x14ac:dyDescent="0.25">
      <c r="M323" s="60" t="s">
        <v>287</v>
      </c>
      <c r="N323" s="61"/>
      <c r="O323" s="61"/>
      <c r="P323" s="421">
        <f t="shared" si="1502"/>
        <v>0</v>
      </c>
      <c r="Q323" s="61"/>
      <c r="R323" s="61"/>
      <c r="S323" s="61"/>
      <c r="T323" s="61"/>
      <c r="U323" s="61"/>
      <c r="V323" s="61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1"/>
      <c r="AR323" s="254" t="e">
        <f>SUM(AR260/#REF!)</f>
        <v>#REF!</v>
      </c>
      <c r="AS323" s="110" t="e">
        <f>SUM(AS260/#REF!)</f>
        <v>#REF!</v>
      </c>
      <c r="AT323" s="110" t="e">
        <f>SUM(AT260/#REF!)</f>
        <v>#REF!</v>
      </c>
      <c r="AU323" s="110" t="e">
        <f>SUM(AU260/#REF!)</f>
        <v>#REF!</v>
      </c>
      <c r="AV323" s="110"/>
      <c r="AW323" s="8"/>
      <c r="AX323" s="8"/>
      <c r="AY323" s="8"/>
      <c r="AZ323" s="8"/>
      <c r="BA323" s="8"/>
      <c r="BB323" s="110"/>
      <c r="BC323" s="110"/>
      <c r="BD323" s="110"/>
      <c r="BE323" s="110"/>
      <c r="BF323" s="110"/>
      <c r="BH323" s="16"/>
      <c r="BL323" s="110"/>
      <c r="BM323" s="110"/>
      <c r="BN323" s="110"/>
      <c r="BO323" s="110"/>
      <c r="BP323" s="110"/>
      <c r="CP323" s="16"/>
      <c r="CQ323" s="16"/>
      <c r="CR323" s="16"/>
      <c r="CS323" s="16"/>
      <c r="CY323" s="16"/>
      <c r="CZ323" s="16"/>
      <c r="DA323" s="16"/>
      <c r="DB323" s="16"/>
      <c r="DC323" s="16"/>
      <c r="DD323" s="16"/>
      <c r="DE323" s="16"/>
      <c r="DF323" s="16"/>
      <c r="DH323" s="16"/>
      <c r="DK323" s="16"/>
      <c r="DN323" s="16"/>
      <c r="DP323" s="16"/>
      <c r="DQ323" s="16"/>
      <c r="DZ323" s="202"/>
      <c r="EA323" s="230"/>
      <c r="EE323" s="314"/>
      <c r="EF323" s="314"/>
      <c r="EJ323" s="314"/>
      <c r="EK323" s="314"/>
      <c r="EL323" s="314"/>
      <c r="EM323" s="314"/>
      <c r="EN323" s="314"/>
      <c r="EO323" s="202"/>
      <c r="ES323" s="354"/>
      <c r="ET323" s="354"/>
      <c r="EX323" s="354"/>
      <c r="EY323" s="354"/>
      <c r="EZ323" s="354"/>
      <c r="FA323" s="354"/>
      <c r="FB323" s="354"/>
      <c r="FF323" s="314"/>
      <c r="FG323" s="314"/>
      <c r="FK323" s="314"/>
      <c r="FL323" s="314"/>
      <c r="FM323" s="314"/>
      <c r="FN323" s="314"/>
      <c r="FO323" s="314"/>
    </row>
    <row r="324" spans="2:171" ht="18.75" hidden="1" customHeight="1" x14ac:dyDescent="0.3">
      <c r="P324" s="415">
        <f t="shared" si="1502"/>
        <v>0</v>
      </c>
      <c r="AQ324" s="396"/>
      <c r="BH324" s="16"/>
      <c r="BL324" s="45"/>
      <c r="BM324" s="45"/>
      <c r="BN324" s="45"/>
      <c r="BO324" s="45"/>
      <c r="BP324" s="45"/>
      <c r="CP324" s="16"/>
      <c r="CQ324" s="16"/>
      <c r="CR324" s="16"/>
      <c r="CS324" s="16"/>
      <c r="CY324" s="16"/>
      <c r="CZ324" s="16"/>
      <c r="DA324" s="16"/>
      <c r="DB324" s="16"/>
      <c r="DC324" s="16"/>
      <c r="DD324" s="16"/>
      <c r="DE324" s="16"/>
      <c r="DF324" s="16"/>
      <c r="DH324" s="16"/>
      <c r="DK324" s="16"/>
      <c r="DN324" s="16"/>
      <c r="DP324" s="16"/>
      <c r="DQ324" s="16"/>
      <c r="DZ324" s="202"/>
      <c r="EA324" s="230"/>
      <c r="EE324" s="314"/>
      <c r="EF324" s="314"/>
      <c r="EJ324" s="314"/>
      <c r="EK324" s="314"/>
      <c r="EL324" s="314"/>
      <c r="EM324" s="314"/>
      <c r="EN324" s="314"/>
      <c r="EO324" s="202"/>
      <c r="ES324" s="354"/>
      <c r="ET324" s="354"/>
      <c r="EX324" s="354"/>
      <c r="EY324" s="354"/>
      <c r="EZ324" s="354"/>
      <c r="FA324" s="354"/>
      <c r="FB324" s="354"/>
      <c r="FF324" s="314"/>
      <c r="FG324" s="314"/>
      <c r="FK324" s="314"/>
      <c r="FL324" s="314"/>
      <c r="FM324" s="314"/>
      <c r="FN324" s="314"/>
      <c r="FO324" s="314"/>
    </row>
    <row r="325" spans="2:171" ht="17.45" hidden="1" customHeight="1" x14ac:dyDescent="0.3">
      <c r="N325" s="15" t="s">
        <v>303</v>
      </c>
      <c r="P325" s="415">
        <f t="shared" si="1502"/>
        <v>0</v>
      </c>
      <c r="AQ325" s="397"/>
      <c r="AR325" s="59" t="e">
        <f>AW306</f>
        <v>#REF!</v>
      </c>
      <c r="AS325" s="112" t="e">
        <f>AX306</f>
        <v>#REF!</v>
      </c>
      <c r="AT325" s="112" t="e">
        <f>AY306</f>
        <v>#REF!</v>
      </c>
      <c r="AU325" s="112" t="e">
        <f>AZ306</f>
        <v>#REF!</v>
      </c>
      <c r="AV325" s="112" t="e">
        <f>BA306</f>
        <v>#REF!</v>
      </c>
      <c r="BH325" s="16"/>
      <c r="BL325" s="45"/>
      <c r="BM325" s="45"/>
      <c r="BN325" s="45"/>
      <c r="BO325" s="45"/>
      <c r="BP325" s="45"/>
      <c r="CP325" s="16"/>
      <c r="CQ325" s="16"/>
      <c r="CR325" s="16"/>
      <c r="CS325" s="16"/>
      <c r="CY325" s="16"/>
      <c r="CZ325" s="16"/>
      <c r="DA325" s="16"/>
      <c r="DB325" s="16"/>
      <c r="DC325" s="16"/>
      <c r="DD325" s="16"/>
      <c r="DE325" s="16"/>
      <c r="DF325" s="16"/>
      <c r="DH325" s="16"/>
      <c r="DK325" s="16"/>
      <c r="DN325" s="16"/>
      <c r="DP325" s="16"/>
      <c r="DQ325" s="16"/>
      <c r="DZ325" s="202"/>
      <c r="EA325" s="230"/>
      <c r="EE325" s="314"/>
      <c r="EF325" s="314"/>
      <c r="EJ325" s="314"/>
      <c r="EK325" s="314"/>
      <c r="EL325" s="314"/>
      <c r="EM325" s="314"/>
      <c r="EN325" s="314"/>
      <c r="EO325" s="202"/>
      <c r="ES325" s="354"/>
      <c r="ET325" s="354"/>
      <c r="EX325" s="354"/>
      <c r="EY325" s="354"/>
      <c r="EZ325" s="354"/>
      <c r="FA325" s="354"/>
      <c r="FB325" s="354"/>
      <c r="FF325" s="314"/>
      <c r="FG325" s="314"/>
      <c r="FK325" s="314"/>
      <c r="FL325" s="314"/>
      <c r="FM325" s="314"/>
      <c r="FN325" s="314"/>
      <c r="FO325" s="314"/>
    </row>
    <row r="326" spans="2:171" s="186" customFormat="1" ht="19.5" hidden="1" customHeight="1" x14ac:dyDescent="0.2">
      <c r="B326" s="122"/>
      <c r="C326" s="122"/>
      <c r="D326" s="122"/>
      <c r="E326" s="123"/>
      <c r="F326" s="122"/>
      <c r="G326" s="122"/>
      <c r="H326" s="122"/>
      <c r="I326" s="122"/>
      <c r="J326" s="122"/>
      <c r="K326" s="122"/>
      <c r="L326" s="122"/>
      <c r="M326" s="618" t="s">
        <v>311</v>
      </c>
      <c r="N326" s="618"/>
      <c r="O326" s="439"/>
      <c r="P326" s="424">
        <f t="shared" si="1502"/>
        <v>0</v>
      </c>
      <c r="Q326" s="439"/>
      <c r="R326" s="439"/>
      <c r="S326" s="439"/>
      <c r="T326" s="439"/>
      <c r="U326" s="439"/>
      <c r="V326" s="439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11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  <c r="BI326" s="68"/>
      <c r="BJ326" s="68"/>
      <c r="BK326" s="68"/>
      <c r="BL326" s="68"/>
      <c r="BM326" s="68"/>
      <c r="BN326" s="68"/>
      <c r="BO326" s="68"/>
      <c r="BP326" s="68"/>
      <c r="BQ326" s="68"/>
      <c r="BR326" s="68"/>
      <c r="BS326" s="68"/>
      <c r="BT326" s="68"/>
      <c r="BU326" s="68"/>
      <c r="BV326" s="68"/>
      <c r="BW326" s="68"/>
      <c r="BX326" s="68"/>
      <c r="BY326" s="68"/>
      <c r="BZ326" s="68"/>
      <c r="CA326" s="68"/>
      <c r="CB326" s="68"/>
      <c r="CC326" s="68"/>
      <c r="CD326" s="68"/>
      <c r="CE326" s="68"/>
      <c r="CF326" s="68"/>
      <c r="CG326" s="68"/>
      <c r="CH326" s="68"/>
      <c r="CI326" s="68"/>
      <c r="CJ326" s="68"/>
      <c r="CK326" s="68"/>
      <c r="CL326" s="239"/>
      <c r="CM326" s="239"/>
      <c r="CN326" s="239"/>
      <c r="CO326" s="68"/>
      <c r="CP326" s="68"/>
      <c r="CQ326" s="68"/>
      <c r="CR326" s="68"/>
      <c r="CS326" s="68"/>
      <c r="CT326" s="68"/>
      <c r="CU326" s="68"/>
      <c r="CV326" s="68"/>
      <c r="CW326" s="68"/>
      <c r="CX326" s="68"/>
      <c r="CY326" s="68"/>
      <c r="CZ326" s="68"/>
      <c r="DA326" s="68"/>
      <c r="DB326" s="68"/>
      <c r="DC326" s="68"/>
      <c r="DD326" s="239"/>
      <c r="DE326" s="239"/>
      <c r="DF326" s="239"/>
      <c r="DG326" s="239"/>
      <c r="DH326" s="239"/>
      <c r="DI326" s="239"/>
      <c r="DJ326" s="239"/>
      <c r="DK326" s="239"/>
      <c r="DL326" s="239"/>
      <c r="DM326" s="239"/>
      <c r="DN326" s="239"/>
      <c r="DO326" s="239"/>
      <c r="DP326" s="239"/>
      <c r="DQ326" s="239"/>
      <c r="DR326" s="68"/>
      <c r="DS326" s="68"/>
      <c r="DT326" s="68"/>
      <c r="DU326" s="68"/>
      <c r="DV326" s="68"/>
      <c r="DW326" s="68"/>
      <c r="DX326" s="68"/>
      <c r="DY326" s="201"/>
      <c r="DZ326" s="68"/>
      <c r="EA326" s="228"/>
      <c r="EB326" s="291"/>
      <c r="EC326" s="291"/>
      <c r="ED326" s="308"/>
      <c r="EE326" s="291"/>
      <c r="EF326" s="291"/>
      <c r="EG326" s="291"/>
      <c r="EH326" s="291"/>
      <c r="EI326" s="308"/>
      <c r="EJ326" s="291"/>
      <c r="EK326" s="291"/>
      <c r="EL326" s="291"/>
      <c r="EM326" s="291"/>
      <c r="EN326" s="291"/>
      <c r="EO326" s="68"/>
      <c r="EP326" s="330"/>
      <c r="EQ326" s="330"/>
      <c r="ER326" s="346"/>
      <c r="ES326" s="330"/>
      <c r="ET326" s="330"/>
      <c r="EU326" s="330"/>
      <c r="EV326" s="330"/>
      <c r="EW326" s="346"/>
      <c r="EX326" s="330"/>
      <c r="EY326" s="330"/>
      <c r="EZ326" s="330"/>
      <c r="FA326" s="330"/>
      <c r="FB326" s="330"/>
      <c r="FC326" s="291"/>
      <c r="FD326" s="291"/>
      <c r="FE326" s="308"/>
      <c r="FF326" s="291"/>
      <c r="FG326" s="291"/>
      <c r="FH326" s="291"/>
      <c r="FI326" s="291"/>
      <c r="FJ326" s="308"/>
      <c r="FK326" s="291"/>
      <c r="FL326" s="291"/>
      <c r="FM326" s="291"/>
      <c r="FN326" s="291"/>
      <c r="FO326" s="291"/>
    </row>
    <row r="327" spans="2:171" s="40" customFormat="1" ht="19.5" hidden="1" customHeight="1" x14ac:dyDescent="0.2">
      <c r="B327" s="35"/>
      <c r="C327" s="36"/>
      <c r="D327" s="35"/>
      <c r="E327" s="43"/>
      <c r="F327" s="35"/>
      <c r="G327" s="36"/>
      <c r="H327" s="35"/>
      <c r="I327" s="35"/>
      <c r="J327" s="35"/>
      <c r="K327" s="35"/>
      <c r="L327" s="35"/>
      <c r="M327" s="182"/>
      <c r="N327" s="183"/>
      <c r="O327" s="183"/>
      <c r="P327" s="413">
        <f t="shared" si="1502"/>
        <v>0</v>
      </c>
      <c r="Q327" s="183"/>
      <c r="R327" s="183"/>
      <c r="S327" s="183"/>
      <c r="T327" s="183"/>
      <c r="U327" s="184"/>
      <c r="V327" s="183"/>
      <c r="W327" s="46">
        <f>X327+Y327+Z327+AA327</f>
        <v>0</v>
      </c>
      <c r="X327" s="94"/>
      <c r="Y327" s="94"/>
      <c r="Z327" s="94"/>
      <c r="AA327" s="94"/>
      <c r="AB327" s="46">
        <f t="shared" ref="AB327" si="1685">AC327+AD327+AE327+AF327</f>
        <v>0</v>
      </c>
      <c r="AC327" s="94"/>
      <c r="AD327" s="94"/>
      <c r="AE327" s="94"/>
      <c r="AF327" s="94"/>
      <c r="AG327" s="46">
        <f t="shared" ref="AG327" si="1686">AH327+AI327+AJ327+AK327</f>
        <v>0</v>
      </c>
      <c r="AH327" s="94"/>
      <c r="AI327" s="94"/>
      <c r="AJ327" s="94"/>
      <c r="AK327" s="94"/>
      <c r="AL327" s="46">
        <f t="shared" ref="AL327" si="1687">AM327+AN327+AO327+AP327</f>
        <v>0</v>
      </c>
      <c r="AM327" s="94"/>
      <c r="AN327" s="94"/>
      <c r="AO327" s="94"/>
      <c r="AP327" s="94"/>
      <c r="AQ327" s="261"/>
      <c r="AR327" s="46">
        <f t="shared" ref="AR327" si="1688">AS327+AT327+AU327+AV327</f>
        <v>0</v>
      </c>
      <c r="AS327" s="94"/>
      <c r="AT327" s="94"/>
      <c r="AU327" s="94"/>
      <c r="AV327" s="94"/>
      <c r="AW327" s="46" t="e">
        <f t="shared" ref="AW327" si="1689">AX327+AY327+AZ327+BA327</f>
        <v>#REF!</v>
      </c>
      <c r="AX327" s="94"/>
      <c r="AY327" s="94" t="e">
        <f>#REF!-AT327</f>
        <v>#REF!</v>
      </c>
      <c r="AZ327" s="94"/>
      <c r="BA327" s="94"/>
      <c r="BB327" s="46">
        <f t="shared" ref="BB327" si="1690">BC327+BD327+BE327+BF327</f>
        <v>0</v>
      </c>
      <c r="BC327" s="94"/>
      <c r="BD327" s="94"/>
      <c r="BE327" s="94"/>
      <c r="BF327" s="94"/>
      <c r="BG327" s="46">
        <f t="shared" ref="BG327" si="1691">BH327+BI327+BJ327+BK327</f>
        <v>0</v>
      </c>
      <c r="BH327" s="94"/>
      <c r="BI327" s="94"/>
      <c r="BJ327" s="94"/>
      <c r="BK327" s="94"/>
      <c r="BL327" s="46">
        <f t="shared" ref="BL327" si="1692">BM327+BN327+BO327+BP327</f>
        <v>0</v>
      </c>
      <c r="BM327" s="94"/>
      <c r="BN327" s="94"/>
      <c r="BO327" s="94"/>
      <c r="BP327" s="94"/>
      <c r="BQ327" s="46">
        <f t="shared" ref="BQ327" si="1693">BR327+BS327+BT327+BU327</f>
        <v>0</v>
      </c>
      <c r="BR327" s="94"/>
      <c r="BS327" s="94"/>
      <c r="BT327" s="94"/>
      <c r="BU327" s="94"/>
      <c r="BV327" s="46">
        <f t="shared" ref="BV327" si="1694">BW327+BX327+BY327+BZ327</f>
        <v>0</v>
      </c>
      <c r="BW327" s="94"/>
      <c r="BX327" s="94"/>
      <c r="BY327" s="94"/>
      <c r="BZ327" s="94"/>
      <c r="CA327" s="94">
        <f t="shared" ref="CA327" si="1695">CB327</f>
        <v>0</v>
      </c>
      <c r="CB327" s="46">
        <f t="shared" ref="CB327" si="1696">CC327+CD327+CE327+CF327</f>
        <v>0</v>
      </c>
      <c r="CC327" s="94"/>
      <c r="CD327" s="94">
        <f t="shared" ref="CD327" si="1697">BS327+BX327</f>
        <v>0</v>
      </c>
      <c r="CE327" s="94"/>
      <c r="CF327" s="94"/>
      <c r="CG327" s="46">
        <f t="shared" ref="CG327" si="1698">CH327+CI327+CJ327+CK327</f>
        <v>0</v>
      </c>
      <c r="CH327" s="46">
        <f t="shared" ref="CH327" si="1699">BM327-BR327</f>
        <v>0</v>
      </c>
      <c r="CI327" s="46">
        <f>BN327-BS327</f>
        <v>0</v>
      </c>
      <c r="CJ327" s="46"/>
      <c r="CK327" s="46"/>
      <c r="CL327" s="76"/>
      <c r="CM327" s="45"/>
      <c r="CN327" s="45"/>
      <c r="CO327" s="46">
        <f t="shared" ref="CO327" si="1700">CP327+CQ327+CR327+CS327</f>
        <v>0</v>
      </c>
      <c r="CP327" s="94"/>
      <c r="CQ327" s="94"/>
      <c r="CR327" s="94"/>
      <c r="CS327" s="94"/>
      <c r="CT327" s="46">
        <f t="shared" ref="CT327" si="1701">CU327+CV327+CW327+CX327</f>
        <v>0</v>
      </c>
      <c r="CU327" s="94"/>
      <c r="CV327" s="94"/>
      <c r="CW327" s="94"/>
      <c r="CX327" s="94"/>
      <c r="CY327" s="46">
        <f>CZ327+DA327+DB327+DC327</f>
        <v>0</v>
      </c>
      <c r="CZ327" s="94"/>
      <c r="DA327" s="94"/>
      <c r="DB327" s="94"/>
      <c r="DC327" s="94"/>
      <c r="DD327" s="45"/>
      <c r="DE327" s="45"/>
      <c r="DF327" s="45"/>
      <c r="DG327" s="237"/>
      <c r="DH327" s="76"/>
      <c r="DI327" s="76"/>
      <c r="DJ327" s="238"/>
      <c r="DK327" s="45"/>
      <c r="DL327" s="45"/>
      <c r="DM327" s="45"/>
      <c r="DN327" s="45"/>
      <c r="DO327" s="45"/>
      <c r="DP327" s="45"/>
      <c r="DQ327" s="45"/>
      <c r="DR327" s="46">
        <f>DS327+DT327+DU327+DV327</f>
        <v>0</v>
      </c>
      <c r="DS327" s="94"/>
      <c r="DT327" s="94"/>
      <c r="DU327" s="94"/>
      <c r="DV327" s="94"/>
      <c r="DW327" s="46">
        <f>DX327+DY327+DZ327+EA327</f>
        <v>0</v>
      </c>
      <c r="DX327" s="94"/>
      <c r="DY327" s="240"/>
      <c r="DZ327" s="24"/>
      <c r="EA327" s="2"/>
      <c r="EB327" s="310"/>
      <c r="EC327" s="277"/>
      <c r="ED327" s="311"/>
      <c r="EE327" s="291"/>
      <c r="EF327" s="291"/>
      <c r="EG327" s="310"/>
      <c r="EH327" s="277"/>
      <c r="EI327" s="311"/>
      <c r="EJ327" s="291"/>
      <c r="EK327" s="291"/>
      <c r="EL327" s="291"/>
      <c r="EM327" s="291"/>
      <c r="EN327" s="291"/>
      <c r="EO327" s="24"/>
      <c r="EP327" s="348"/>
      <c r="EQ327" s="319"/>
      <c r="ER327" s="349"/>
      <c r="ES327" s="330"/>
      <c r="ET327" s="330"/>
      <c r="EU327" s="348"/>
      <c r="EV327" s="319"/>
      <c r="EW327" s="349"/>
      <c r="EX327" s="330"/>
      <c r="EY327" s="330"/>
      <c r="EZ327" s="330"/>
      <c r="FA327" s="330"/>
      <c r="FB327" s="330"/>
      <c r="FC327" s="310"/>
      <c r="FD327" s="277"/>
      <c r="FE327" s="311"/>
      <c r="FF327" s="291"/>
      <c r="FG327" s="291"/>
      <c r="FH327" s="310"/>
      <c r="FI327" s="277"/>
      <c r="FJ327" s="311"/>
      <c r="FK327" s="291"/>
      <c r="FL327" s="291"/>
      <c r="FM327" s="291"/>
      <c r="FN327" s="291"/>
      <c r="FO327" s="291"/>
    </row>
    <row r="328" spans="2:171" s="119" customFormat="1" ht="15.75" hidden="1" x14ac:dyDescent="0.25">
      <c r="B328" s="130"/>
      <c r="C328" s="131"/>
      <c r="D328" s="131"/>
      <c r="M328" s="619" t="s">
        <v>312</v>
      </c>
      <c r="N328" s="620"/>
      <c r="O328" s="440"/>
      <c r="P328" s="420">
        <f t="shared" ref="P328:P332" si="1702">BL328-BQ328</f>
        <v>0</v>
      </c>
      <c r="Q328" s="440"/>
      <c r="R328" s="440"/>
      <c r="S328" s="440"/>
      <c r="T328" s="440"/>
      <c r="U328" s="166">
        <f>U327</f>
        <v>0</v>
      </c>
      <c r="V328" s="166">
        <f>V327</f>
        <v>0</v>
      </c>
      <c r="W328" s="57">
        <f t="shared" ref="W328:AA328" si="1703">W327</f>
        <v>0</v>
      </c>
      <c r="X328" s="57">
        <f t="shared" si="1703"/>
        <v>0</v>
      </c>
      <c r="Y328" s="57">
        <f t="shared" si="1703"/>
        <v>0</v>
      </c>
      <c r="Z328" s="57">
        <f t="shared" si="1703"/>
        <v>0</v>
      </c>
      <c r="AA328" s="57">
        <f t="shared" si="1703"/>
        <v>0</v>
      </c>
      <c r="AB328" s="57">
        <f t="shared" ref="AB328:AF328" si="1704">AB327</f>
        <v>0</v>
      </c>
      <c r="AC328" s="57">
        <f t="shared" si="1704"/>
        <v>0</v>
      </c>
      <c r="AD328" s="57">
        <f t="shared" si="1704"/>
        <v>0</v>
      </c>
      <c r="AE328" s="57">
        <f t="shared" si="1704"/>
        <v>0</v>
      </c>
      <c r="AF328" s="57">
        <f t="shared" si="1704"/>
        <v>0</v>
      </c>
      <c r="AG328" s="57">
        <f t="shared" ref="AG328:AK328" si="1705">AG327</f>
        <v>0</v>
      </c>
      <c r="AH328" s="57">
        <f t="shared" si="1705"/>
        <v>0</v>
      </c>
      <c r="AI328" s="57">
        <f t="shared" si="1705"/>
        <v>0</v>
      </c>
      <c r="AJ328" s="57">
        <f t="shared" si="1705"/>
        <v>0</v>
      </c>
      <c r="AK328" s="57">
        <f t="shared" si="1705"/>
        <v>0</v>
      </c>
      <c r="AL328" s="57">
        <f t="shared" ref="AL328:CK328" si="1706">AL327</f>
        <v>0</v>
      </c>
      <c r="AM328" s="57">
        <f t="shared" si="1706"/>
        <v>0</v>
      </c>
      <c r="AN328" s="57">
        <f t="shared" si="1706"/>
        <v>0</v>
      </c>
      <c r="AO328" s="57">
        <f t="shared" si="1706"/>
        <v>0</v>
      </c>
      <c r="AP328" s="57">
        <f t="shared" si="1706"/>
        <v>0</v>
      </c>
      <c r="AQ328" s="118"/>
      <c r="AR328" s="57">
        <f t="shared" si="1706"/>
        <v>0</v>
      </c>
      <c r="AS328" s="57">
        <f t="shared" si="1706"/>
        <v>0</v>
      </c>
      <c r="AT328" s="57">
        <f t="shared" si="1706"/>
        <v>0</v>
      </c>
      <c r="AU328" s="57">
        <f t="shared" si="1706"/>
        <v>0</v>
      </c>
      <c r="AV328" s="57">
        <f t="shared" si="1706"/>
        <v>0</v>
      </c>
      <c r="AW328" s="57" t="e">
        <f t="shared" si="1706"/>
        <v>#REF!</v>
      </c>
      <c r="AX328" s="57">
        <f t="shared" si="1706"/>
        <v>0</v>
      </c>
      <c r="AY328" s="57" t="e">
        <f t="shared" si="1706"/>
        <v>#REF!</v>
      </c>
      <c r="AZ328" s="57">
        <f t="shared" si="1706"/>
        <v>0</v>
      </c>
      <c r="BA328" s="57">
        <f t="shared" si="1706"/>
        <v>0</v>
      </c>
      <c r="BB328" s="57">
        <f t="shared" si="1706"/>
        <v>0</v>
      </c>
      <c r="BC328" s="57">
        <f t="shared" si="1706"/>
        <v>0</v>
      </c>
      <c r="BD328" s="57">
        <f t="shared" si="1706"/>
        <v>0</v>
      </c>
      <c r="BE328" s="57">
        <f t="shared" si="1706"/>
        <v>0</v>
      </c>
      <c r="BF328" s="57">
        <f t="shared" si="1706"/>
        <v>0</v>
      </c>
      <c r="BG328" s="57">
        <f t="shared" si="1706"/>
        <v>0</v>
      </c>
      <c r="BH328" s="57">
        <f t="shared" si="1706"/>
        <v>0</v>
      </c>
      <c r="BI328" s="57">
        <f t="shared" si="1706"/>
        <v>0</v>
      </c>
      <c r="BJ328" s="57">
        <f t="shared" si="1706"/>
        <v>0</v>
      </c>
      <c r="BK328" s="57">
        <f t="shared" si="1706"/>
        <v>0</v>
      </c>
      <c r="BL328" s="57">
        <f t="shared" si="1706"/>
        <v>0</v>
      </c>
      <c r="BM328" s="57">
        <f t="shared" si="1706"/>
        <v>0</v>
      </c>
      <c r="BN328" s="57">
        <f t="shared" si="1706"/>
        <v>0</v>
      </c>
      <c r="BO328" s="57">
        <f t="shared" si="1706"/>
        <v>0</v>
      </c>
      <c r="BP328" s="57">
        <f t="shared" si="1706"/>
        <v>0</v>
      </c>
      <c r="BQ328" s="57">
        <f t="shared" si="1706"/>
        <v>0</v>
      </c>
      <c r="BR328" s="57">
        <f t="shared" si="1706"/>
        <v>0</v>
      </c>
      <c r="BS328" s="57">
        <f t="shared" si="1706"/>
        <v>0</v>
      </c>
      <c r="BT328" s="57">
        <f t="shared" si="1706"/>
        <v>0</v>
      </c>
      <c r="BU328" s="57">
        <f t="shared" si="1706"/>
        <v>0</v>
      </c>
      <c r="BV328" s="57">
        <f t="shared" si="1706"/>
        <v>0</v>
      </c>
      <c r="BW328" s="57">
        <f t="shared" si="1706"/>
        <v>0</v>
      </c>
      <c r="BX328" s="57">
        <f t="shared" si="1706"/>
        <v>0</v>
      </c>
      <c r="BY328" s="57">
        <f t="shared" si="1706"/>
        <v>0</v>
      </c>
      <c r="BZ328" s="57">
        <f t="shared" si="1706"/>
        <v>0</v>
      </c>
      <c r="CA328" s="241">
        <f t="shared" si="1706"/>
        <v>0</v>
      </c>
      <c r="CB328" s="57">
        <f t="shared" si="1706"/>
        <v>0</v>
      </c>
      <c r="CC328" s="57">
        <f t="shared" si="1706"/>
        <v>0</v>
      </c>
      <c r="CD328" s="57">
        <f t="shared" si="1706"/>
        <v>0</v>
      </c>
      <c r="CE328" s="57">
        <f t="shared" si="1706"/>
        <v>0</v>
      </c>
      <c r="CF328" s="57">
        <f t="shared" si="1706"/>
        <v>0</v>
      </c>
      <c r="CG328" s="57">
        <f t="shared" si="1706"/>
        <v>0</v>
      </c>
      <c r="CH328" s="57">
        <f t="shared" si="1706"/>
        <v>0</v>
      </c>
      <c r="CI328" s="57">
        <f t="shared" si="1706"/>
        <v>0</v>
      </c>
      <c r="CJ328" s="57">
        <f t="shared" si="1706"/>
        <v>0</v>
      </c>
      <c r="CK328" s="57">
        <f t="shared" si="1706"/>
        <v>0</v>
      </c>
      <c r="CL328" s="224"/>
      <c r="CM328" s="129"/>
      <c r="CN328" s="129"/>
      <c r="CO328" s="57"/>
      <c r="CP328" s="57"/>
      <c r="CQ328" s="57"/>
      <c r="CR328" s="57"/>
      <c r="CS328" s="57"/>
      <c r="CT328" s="57"/>
      <c r="CU328" s="57"/>
      <c r="CV328" s="57"/>
      <c r="CW328" s="57"/>
      <c r="CX328" s="57"/>
      <c r="CY328" s="57">
        <f>CY315+CY319</f>
        <v>0</v>
      </c>
      <c r="CZ328" s="57">
        <f>CZ315+CZ319</f>
        <v>0</v>
      </c>
      <c r="DA328" s="57">
        <f>DA315+DA319</f>
        <v>0</v>
      </c>
      <c r="DB328" s="57">
        <f>DB315+DB319</f>
        <v>0</v>
      </c>
      <c r="DC328" s="57">
        <f>DC315+DC319</f>
        <v>0</v>
      </c>
      <c r="DD328" s="129"/>
      <c r="DE328" s="129"/>
      <c r="DF328" s="129"/>
      <c r="DG328" s="235"/>
      <c r="DH328" s="224"/>
      <c r="DI328" s="224"/>
      <c r="DJ328" s="236"/>
      <c r="DK328" s="129"/>
      <c r="DL328" s="129"/>
      <c r="DM328" s="129"/>
      <c r="DN328" s="129"/>
      <c r="DO328" s="129"/>
      <c r="DP328" s="129"/>
      <c r="DQ328" s="129"/>
      <c r="DR328" s="57">
        <f t="shared" ref="DR328:DZ328" si="1707">DR327</f>
        <v>0</v>
      </c>
      <c r="DS328" s="57">
        <f t="shared" si="1707"/>
        <v>0</v>
      </c>
      <c r="DT328" s="57">
        <f t="shared" si="1707"/>
        <v>0</v>
      </c>
      <c r="DU328" s="57">
        <f t="shared" si="1707"/>
        <v>0</v>
      </c>
      <c r="DV328" s="57">
        <f t="shared" si="1707"/>
        <v>0</v>
      </c>
      <c r="DW328" s="57">
        <f t="shared" si="1707"/>
        <v>0</v>
      </c>
      <c r="DX328" s="57">
        <f t="shared" si="1707"/>
        <v>0</v>
      </c>
      <c r="DY328" s="77">
        <f t="shared" si="1707"/>
        <v>0</v>
      </c>
      <c r="DZ328" s="57">
        <f t="shared" si="1707"/>
        <v>0</v>
      </c>
      <c r="EA328" s="223">
        <f t="shared" ref="EA328" si="1708">EA327</f>
        <v>0</v>
      </c>
      <c r="EB328" s="278"/>
      <c r="EC328" s="278"/>
      <c r="ED328" s="299"/>
      <c r="EE328" s="278"/>
      <c r="EF328" s="278"/>
      <c r="EG328" s="278"/>
      <c r="EH328" s="278"/>
      <c r="EI328" s="299"/>
      <c r="EJ328" s="278"/>
      <c r="EK328" s="278"/>
      <c r="EL328" s="278"/>
      <c r="EM328" s="278"/>
      <c r="EN328" s="278"/>
      <c r="EO328" s="57">
        <f t="shared" ref="EO328" si="1709">EO327</f>
        <v>0</v>
      </c>
      <c r="EP328" s="322"/>
      <c r="EQ328" s="322"/>
      <c r="ER328" s="337"/>
      <c r="ES328" s="322"/>
      <c r="ET328" s="322"/>
      <c r="EU328" s="322"/>
      <c r="EV328" s="322"/>
      <c r="EW328" s="337"/>
      <c r="EX328" s="322"/>
      <c r="EY328" s="322"/>
      <c r="EZ328" s="322"/>
      <c r="FA328" s="322"/>
      <c r="FB328" s="322"/>
      <c r="FC328" s="278"/>
      <c r="FD328" s="278"/>
      <c r="FE328" s="299"/>
      <c r="FF328" s="278"/>
      <c r="FG328" s="278"/>
      <c r="FH328" s="278"/>
      <c r="FI328" s="278"/>
      <c r="FJ328" s="299"/>
      <c r="FK328" s="278"/>
      <c r="FL328" s="278"/>
      <c r="FM328" s="278"/>
      <c r="FN328" s="278"/>
      <c r="FO328" s="278"/>
    </row>
    <row r="329" spans="2:171" s="40" customFormat="1" ht="12.75" hidden="1" customHeight="1" thickBot="1" x14ac:dyDescent="0.25">
      <c r="B329" s="51"/>
      <c r="C329" s="51"/>
      <c r="D329" s="51"/>
      <c r="E329" s="67"/>
      <c r="F329" s="51"/>
      <c r="G329" s="51"/>
      <c r="H329" s="51"/>
      <c r="I329" s="51"/>
      <c r="J329" s="51"/>
      <c r="K329" s="51"/>
      <c r="L329" s="51"/>
      <c r="M329" s="81"/>
      <c r="N329" s="81"/>
      <c r="O329" s="81"/>
      <c r="P329" s="425">
        <f t="shared" si="1702"/>
        <v>0</v>
      </c>
      <c r="Q329" s="81"/>
      <c r="R329" s="81"/>
      <c r="S329" s="81"/>
      <c r="T329" s="81"/>
      <c r="U329" s="81"/>
      <c r="V329" s="81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19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  <c r="BI329" s="83"/>
      <c r="BJ329" s="83"/>
      <c r="BK329" s="83"/>
      <c r="BL329" s="83"/>
      <c r="BM329" s="83"/>
      <c r="BN329" s="83"/>
      <c r="BO329" s="83"/>
      <c r="BP329" s="83"/>
      <c r="BQ329" s="83"/>
      <c r="BR329" s="83"/>
      <c r="BS329" s="83"/>
      <c r="BT329" s="83"/>
      <c r="BU329" s="83"/>
      <c r="BV329" s="83"/>
      <c r="BW329" s="83"/>
      <c r="BX329" s="83"/>
      <c r="BY329" s="83"/>
      <c r="BZ329" s="83"/>
      <c r="CA329" s="78"/>
      <c r="CB329" s="83"/>
      <c r="CC329" s="83"/>
      <c r="CD329" s="83"/>
      <c r="CE329" s="83"/>
      <c r="CF329" s="83"/>
      <c r="CG329" s="83"/>
      <c r="CH329" s="83"/>
      <c r="CI329" s="83"/>
      <c r="CJ329" s="83"/>
      <c r="CK329" s="83"/>
      <c r="CL329" s="76"/>
      <c r="CM329" s="45"/>
      <c r="CN329" s="45"/>
      <c r="CO329" s="83"/>
      <c r="CP329" s="83"/>
      <c r="CQ329" s="83"/>
      <c r="CR329" s="83"/>
      <c r="CS329" s="83"/>
      <c r="CT329" s="83"/>
      <c r="CU329" s="83"/>
      <c r="CV329" s="83"/>
      <c r="CW329" s="83"/>
      <c r="CX329" s="83"/>
      <c r="CY329" s="83"/>
      <c r="CZ329" s="83"/>
      <c r="DA329" s="83"/>
      <c r="DB329" s="83"/>
      <c r="DC329" s="83"/>
      <c r="DD329" s="45"/>
      <c r="DE329" s="45"/>
      <c r="DF329" s="45"/>
      <c r="DG329" s="242" t="s">
        <v>307</v>
      </c>
      <c r="DH329" s="76"/>
      <c r="DI329" s="76"/>
      <c r="DJ329" s="238"/>
      <c r="DK329" s="45"/>
      <c r="DL329" s="45"/>
      <c r="DM329" s="45"/>
      <c r="DN329" s="45"/>
      <c r="DO329" s="45"/>
      <c r="DP329" s="45"/>
      <c r="DQ329" s="45"/>
      <c r="DR329" s="83"/>
      <c r="DS329" s="83"/>
      <c r="DT329" s="83"/>
      <c r="DU329" s="83"/>
      <c r="DV329" s="83"/>
      <c r="DW329" s="83"/>
      <c r="DX329" s="83"/>
      <c r="DY329" s="83"/>
      <c r="DZ329" s="24"/>
      <c r="EA329" s="2"/>
      <c r="EB329" s="312"/>
      <c r="EC329" s="312"/>
      <c r="ED329" s="312"/>
      <c r="EE329" s="291"/>
      <c r="EF329" s="291"/>
      <c r="EG329" s="312"/>
      <c r="EH329" s="312"/>
      <c r="EI329" s="312"/>
      <c r="EJ329" s="291"/>
      <c r="EK329" s="291"/>
      <c r="EL329" s="291"/>
      <c r="EM329" s="291"/>
      <c r="EN329" s="291"/>
      <c r="EO329" s="24"/>
      <c r="EP329" s="350"/>
      <c r="EQ329" s="350"/>
      <c r="ER329" s="350"/>
      <c r="ES329" s="330"/>
      <c r="ET329" s="330"/>
      <c r="EU329" s="350"/>
      <c r="EV329" s="350"/>
      <c r="EW329" s="350"/>
      <c r="EX329" s="330"/>
      <c r="EY329" s="330"/>
      <c r="EZ329" s="330"/>
      <c r="FA329" s="330"/>
      <c r="FB329" s="330"/>
      <c r="FC329" s="312"/>
      <c r="FD329" s="312"/>
      <c r="FE329" s="312"/>
      <c r="FF329" s="291"/>
      <c r="FG329" s="291"/>
      <c r="FH329" s="312"/>
      <c r="FI329" s="312"/>
      <c r="FJ329" s="312"/>
      <c r="FK329" s="291"/>
      <c r="FL329" s="291"/>
      <c r="FM329" s="291"/>
      <c r="FN329" s="291"/>
      <c r="FO329" s="291"/>
    </row>
    <row r="330" spans="2:171" s="119" customFormat="1" ht="16.5" hidden="1" thickBot="1" x14ac:dyDescent="0.3">
      <c r="B330" s="130"/>
      <c r="C330" s="131"/>
      <c r="D330" s="131"/>
      <c r="M330" s="619" t="s">
        <v>285</v>
      </c>
      <c r="N330" s="620"/>
      <c r="O330" s="440"/>
      <c r="P330" s="420">
        <f t="shared" si="1702"/>
        <v>62701.032010000199</v>
      </c>
      <c r="Q330" s="440"/>
      <c r="R330" s="440"/>
      <c r="S330" s="440"/>
      <c r="T330" s="440"/>
      <c r="U330" s="166">
        <f>U314+U264+U258</f>
        <v>186</v>
      </c>
      <c r="V330" s="166">
        <f>V314+V264+V258</f>
        <v>177</v>
      </c>
      <c r="W330" s="57">
        <f t="shared" ref="W330:AA330" si="1710">W316+W328</f>
        <v>1191202.0999999999</v>
      </c>
      <c r="X330" s="57">
        <f t="shared" si="1710"/>
        <v>251056.89799999999</v>
      </c>
      <c r="Y330" s="57">
        <f t="shared" si="1710"/>
        <v>234455.77399999998</v>
      </c>
      <c r="Z330" s="57">
        <f t="shared" si="1710"/>
        <v>705689.42799999996</v>
      </c>
      <c r="AA330" s="57">
        <f t="shared" si="1710"/>
        <v>0</v>
      </c>
      <c r="AB330" s="57">
        <f t="shared" ref="AB330:AF330" si="1711">AB316+AB328</f>
        <v>1063871.942</v>
      </c>
      <c r="AC330" s="57">
        <f t="shared" si="1711"/>
        <v>579145.89100000006</v>
      </c>
      <c r="AD330" s="57">
        <f t="shared" si="1711"/>
        <v>230000.00000000003</v>
      </c>
      <c r="AE330" s="57">
        <f t="shared" si="1711"/>
        <v>254726.05099999998</v>
      </c>
      <c r="AF330" s="57">
        <f t="shared" si="1711"/>
        <v>0</v>
      </c>
      <c r="AG330" s="57">
        <f t="shared" ref="AG330:AK330" si="1712">AG316+AG328</f>
        <v>1071836.1440000001</v>
      </c>
      <c r="AH330" s="57">
        <f t="shared" si="1712"/>
        <v>587110.09299999999</v>
      </c>
      <c r="AI330" s="57">
        <f t="shared" si="1712"/>
        <v>230000.00000000003</v>
      </c>
      <c r="AJ330" s="57">
        <f t="shared" si="1712"/>
        <v>254726.05100000001</v>
      </c>
      <c r="AK330" s="57">
        <f t="shared" si="1712"/>
        <v>0</v>
      </c>
      <c r="AL330" s="57">
        <f t="shared" ref="AL330:CK330" si="1713">AL316+AL328</f>
        <v>683000</v>
      </c>
      <c r="AM330" s="57">
        <f t="shared" si="1713"/>
        <v>421431.3</v>
      </c>
      <c r="AN330" s="57">
        <f t="shared" si="1713"/>
        <v>100000</v>
      </c>
      <c r="AO330" s="57">
        <f t="shared" si="1713"/>
        <v>161568.70000000001</v>
      </c>
      <c r="AP330" s="57">
        <f t="shared" si="1713"/>
        <v>0</v>
      </c>
      <c r="AQ330" s="118"/>
      <c r="AR330" s="57">
        <f t="shared" si="1713"/>
        <v>1174374.427468</v>
      </c>
      <c r="AS330" s="57">
        <f t="shared" si="1713"/>
        <v>251056.89799999999</v>
      </c>
      <c r="AT330" s="57">
        <f t="shared" si="1713"/>
        <v>226274.93105800005</v>
      </c>
      <c r="AU330" s="57">
        <f t="shared" si="1713"/>
        <v>697042.59840999986</v>
      </c>
      <c r="AV330" s="57">
        <f t="shared" si="1713"/>
        <v>0</v>
      </c>
      <c r="AW330" s="57" t="e">
        <f t="shared" si="1713"/>
        <v>#REF!</v>
      </c>
      <c r="AX330" s="57" t="e">
        <f t="shared" si="1713"/>
        <v>#REF!</v>
      </c>
      <c r="AY330" s="57" t="e">
        <f t="shared" si="1713"/>
        <v>#REF!</v>
      </c>
      <c r="AZ330" s="57" t="e">
        <f t="shared" si="1713"/>
        <v>#REF!</v>
      </c>
      <c r="BA330" s="57" t="e">
        <f t="shared" si="1713"/>
        <v>#REF!</v>
      </c>
      <c r="BB330" s="57">
        <f t="shared" si="1713"/>
        <v>803963.91177999997</v>
      </c>
      <c r="BC330" s="57">
        <f t="shared" si="1713"/>
        <v>325315.28378</v>
      </c>
      <c r="BD330" s="57">
        <f t="shared" si="1713"/>
        <v>223922.57699999999</v>
      </c>
      <c r="BE330" s="57">
        <f t="shared" si="1713"/>
        <v>254726.05100000004</v>
      </c>
      <c r="BF330" s="57">
        <f t="shared" si="1713"/>
        <v>0</v>
      </c>
      <c r="BG330" s="57">
        <f t="shared" si="1713"/>
        <v>0</v>
      </c>
      <c r="BH330" s="57">
        <f t="shared" si="1713"/>
        <v>0</v>
      </c>
      <c r="BI330" s="57">
        <f t="shared" si="1713"/>
        <v>0</v>
      </c>
      <c r="BJ330" s="57">
        <f t="shared" si="1713"/>
        <v>0</v>
      </c>
      <c r="BK330" s="57">
        <f t="shared" si="1713"/>
        <v>0</v>
      </c>
      <c r="BL330" s="57">
        <f t="shared" si="1713"/>
        <v>1165399.97627</v>
      </c>
      <c r="BM330" s="57">
        <f t="shared" si="1713"/>
        <v>249964.59700000001</v>
      </c>
      <c r="BN330" s="57">
        <f t="shared" si="1713"/>
        <v>223522.57506000003</v>
      </c>
      <c r="BO330" s="57">
        <f t="shared" si="1713"/>
        <v>691912.80420999986</v>
      </c>
      <c r="BP330" s="57">
        <f t="shared" si="1713"/>
        <v>0</v>
      </c>
      <c r="BQ330" s="57">
        <f t="shared" si="1713"/>
        <v>1102698.9442599998</v>
      </c>
      <c r="BR330" s="57">
        <f t="shared" si="1713"/>
        <v>187263.56499000001</v>
      </c>
      <c r="BS330" s="57">
        <f t="shared" si="1713"/>
        <v>223522.57506000003</v>
      </c>
      <c r="BT330" s="57">
        <f t="shared" si="1713"/>
        <v>691912.80420999986</v>
      </c>
      <c r="BU330" s="57">
        <f t="shared" si="1713"/>
        <v>0</v>
      </c>
      <c r="BV330" s="57">
        <f t="shared" si="1713"/>
        <v>177214.22271</v>
      </c>
      <c r="BW330" s="57">
        <f t="shared" si="1713"/>
        <v>7413.3918800000001</v>
      </c>
      <c r="BX330" s="57">
        <f t="shared" si="1713"/>
        <v>80103.362610000011</v>
      </c>
      <c r="BY330" s="57">
        <f t="shared" si="1713"/>
        <v>89697.468219999995</v>
      </c>
      <c r="BZ330" s="57">
        <f t="shared" si="1713"/>
        <v>0</v>
      </c>
      <c r="CA330" s="57">
        <f t="shared" si="1713"/>
        <v>1279913.1669699999</v>
      </c>
      <c r="CB330" s="57">
        <f t="shared" si="1713"/>
        <v>1279913.1669699999</v>
      </c>
      <c r="CC330" s="57">
        <f t="shared" si="1713"/>
        <v>194676.95687000002</v>
      </c>
      <c r="CD330" s="57">
        <f t="shared" si="1713"/>
        <v>303625.93767000001</v>
      </c>
      <c r="CE330" s="57">
        <f t="shared" si="1713"/>
        <v>781610.2724299999</v>
      </c>
      <c r="CF330" s="57">
        <f t="shared" si="1713"/>
        <v>0</v>
      </c>
      <c r="CG330" s="57">
        <f t="shared" si="1713"/>
        <v>62701.032009999995</v>
      </c>
      <c r="CH330" s="57">
        <f t="shared" si="1713"/>
        <v>62701.032009999995</v>
      </c>
      <c r="CI330" s="57">
        <f t="shared" si="1713"/>
        <v>0</v>
      </c>
      <c r="CJ330" s="57">
        <f t="shared" si="1713"/>
        <v>0</v>
      </c>
      <c r="CK330" s="57">
        <f t="shared" si="1713"/>
        <v>0</v>
      </c>
      <c r="CL330" s="224"/>
      <c r="CM330" s="129"/>
      <c r="CN330" s="129"/>
      <c r="CO330" s="57">
        <f>CO309</f>
        <v>0</v>
      </c>
      <c r="CP330" s="57">
        <f>CP309</f>
        <v>0</v>
      </c>
      <c r="CQ330" s="57">
        <f>CQ309</f>
        <v>0</v>
      </c>
      <c r="CR330" s="57">
        <f>CR309</f>
        <v>0</v>
      </c>
      <c r="CS330" s="57">
        <f>CS309</f>
        <v>0</v>
      </c>
      <c r="CT330" s="57">
        <f>CU330+CV330+CW330+CX330</f>
        <v>0</v>
      </c>
      <c r="CU330" s="57">
        <f>CU331+CU332</f>
        <v>0</v>
      </c>
      <c r="CV330" s="57">
        <f>CV331+CV332</f>
        <v>0</v>
      </c>
      <c r="CW330" s="57">
        <f>CW331+CW332</f>
        <v>0</v>
      </c>
      <c r="CX330" s="57">
        <f>CX331+CX332</f>
        <v>0</v>
      </c>
      <c r="CY330" s="57">
        <f t="shared" ref="CY330:DF330" si="1714">CY323+CY328</f>
        <v>0</v>
      </c>
      <c r="CZ330" s="57">
        <f t="shared" si="1714"/>
        <v>0</v>
      </c>
      <c r="DA330" s="57">
        <f t="shared" si="1714"/>
        <v>0</v>
      </c>
      <c r="DB330" s="57">
        <f t="shared" si="1714"/>
        <v>0</v>
      </c>
      <c r="DC330" s="57">
        <f t="shared" si="1714"/>
        <v>0</v>
      </c>
      <c r="DD330" s="57">
        <f t="shared" si="1714"/>
        <v>0</v>
      </c>
      <c r="DE330" s="57">
        <f t="shared" si="1714"/>
        <v>0</v>
      </c>
      <c r="DF330" s="77">
        <f t="shared" si="1714"/>
        <v>0</v>
      </c>
      <c r="DG330" s="98">
        <f>DI330-DJ330</f>
        <v>0</v>
      </c>
      <c r="DH330" s="243"/>
      <c r="DI330" s="97">
        <f>DI277+DI282</f>
        <v>0</v>
      </c>
      <c r="DJ330" s="98">
        <f>DJ277+DJ282</f>
        <v>0</v>
      </c>
      <c r="DK330" s="129"/>
      <c r="DL330" s="129"/>
      <c r="DM330" s="129"/>
      <c r="DN330" s="129"/>
      <c r="DO330" s="129"/>
      <c r="DP330" s="129"/>
      <c r="DQ330" s="129"/>
      <c r="DR330" s="57">
        <f t="shared" ref="DR330:DZ330" si="1715">DR316+DR328</f>
        <v>1102698.9442599998</v>
      </c>
      <c r="DS330" s="57">
        <f t="shared" si="1715"/>
        <v>187263.56499000001</v>
      </c>
      <c r="DT330" s="57">
        <f t="shared" si="1715"/>
        <v>223522.57506000003</v>
      </c>
      <c r="DU330" s="57">
        <f t="shared" si="1715"/>
        <v>691912.80420999986</v>
      </c>
      <c r="DV330" s="57">
        <f t="shared" si="1715"/>
        <v>0</v>
      </c>
      <c r="DW330" s="57">
        <f t="shared" si="1715"/>
        <v>177214.22271</v>
      </c>
      <c r="DX330" s="57">
        <f t="shared" si="1715"/>
        <v>7413.3918800000001</v>
      </c>
      <c r="DY330" s="77">
        <f t="shared" si="1715"/>
        <v>80103.362610000011</v>
      </c>
      <c r="DZ330" s="57">
        <f t="shared" si="1715"/>
        <v>89697.468219999995</v>
      </c>
      <c r="EA330" s="229">
        <f t="shared" ref="EA330" si="1716">EA316+EA328</f>
        <v>0</v>
      </c>
      <c r="EB330" s="57"/>
      <c r="EC330" s="57"/>
      <c r="ED330" s="77"/>
      <c r="EE330" s="57"/>
      <c r="EF330" s="57"/>
      <c r="EG330" s="57"/>
      <c r="EH330" s="57"/>
      <c r="EI330" s="77"/>
      <c r="EJ330" s="57"/>
      <c r="EK330" s="57"/>
      <c r="EL330" s="57"/>
      <c r="EM330" s="57"/>
      <c r="EN330" s="57"/>
      <c r="EO330" s="57">
        <f t="shared" ref="EO330" si="1717">EO316+EO328</f>
        <v>0</v>
      </c>
      <c r="EP330" s="57"/>
      <c r="EQ330" s="57"/>
      <c r="ER330" s="77"/>
      <c r="ES330" s="57"/>
      <c r="ET330" s="57"/>
      <c r="EU330" s="57"/>
      <c r="EV330" s="57"/>
      <c r="EW330" s="77"/>
      <c r="EX330" s="57"/>
      <c r="EY330" s="57"/>
      <c r="EZ330" s="57"/>
      <c r="FA330" s="57"/>
      <c r="FB330" s="57"/>
      <c r="FC330" s="57"/>
      <c r="FD330" s="57"/>
      <c r="FE330" s="77"/>
      <c r="FF330" s="57"/>
      <c r="FG330" s="57"/>
      <c r="FH330" s="57"/>
      <c r="FI330" s="57"/>
      <c r="FJ330" s="77"/>
      <c r="FK330" s="57"/>
      <c r="FL330" s="57"/>
      <c r="FM330" s="57"/>
      <c r="FN330" s="57"/>
      <c r="FO330" s="57"/>
    </row>
    <row r="331" spans="2:171" s="40" customFormat="1" ht="19.5" hidden="1" customHeight="1" x14ac:dyDescent="0.2">
      <c r="B331" s="35"/>
      <c r="C331" s="36"/>
      <c r="D331" s="35"/>
      <c r="E331" s="42"/>
      <c r="F331" s="35"/>
      <c r="G331" s="36"/>
      <c r="H331" s="35"/>
      <c r="I331" s="35"/>
      <c r="J331" s="35"/>
      <c r="K331" s="35"/>
      <c r="L331" s="35"/>
      <c r="M331" s="65"/>
      <c r="N331" s="66" t="s">
        <v>288</v>
      </c>
      <c r="O331" s="66"/>
      <c r="P331" s="414">
        <f t="shared" si="1702"/>
        <v>0</v>
      </c>
      <c r="Q331" s="66"/>
      <c r="R331" s="66"/>
      <c r="S331" s="66"/>
      <c r="T331" s="66"/>
      <c r="U331" s="66"/>
      <c r="V331" s="66"/>
      <c r="W331" s="2">
        <f t="shared" ref="W331:AA331" si="1718">W317</f>
        <v>0</v>
      </c>
      <c r="X331" s="24">
        <f t="shared" si="1718"/>
        <v>0</v>
      </c>
      <c r="Y331" s="24">
        <f t="shared" si="1718"/>
        <v>0</v>
      </c>
      <c r="Z331" s="24">
        <f t="shared" si="1718"/>
        <v>0</v>
      </c>
      <c r="AA331" s="24">
        <f t="shared" si="1718"/>
        <v>0</v>
      </c>
      <c r="AB331" s="2">
        <f t="shared" ref="AB331:AF331" si="1719">AB317</f>
        <v>33741.300000000003</v>
      </c>
      <c r="AC331" s="24">
        <f t="shared" si="1719"/>
        <v>33741.300000000003</v>
      </c>
      <c r="AD331" s="24">
        <f t="shared" si="1719"/>
        <v>0</v>
      </c>
      <c r="AE331" s="24">
        <f t="shared" si="1719"/>
        <v>0</v>
      </c>
      <c r="AF331" s="24">
        <f t="shared" si="1719"/>
        <v>0</v>
      </c>
      <c r="AG331" s="2">
        <f t="shared" ref="AG331:AK331" si="1720">AG317</f>
        <v>97565.494999999995</v>
      </c>
      <c r="AH331" s="24">
        <f t="shared" si="1720"/>
        <v>97565.494999999995</v>
      </c>
      <c r="AI331" s="24">
        <f t="shared" si="1720"/>
        <v>0</v>
      </c>
      <c r="AJ331" s="24">
        <f t="shared" si="1720"/>
        <v>0</v>
      </c>
      <c r="AK331" s="24">
        <f t="shared" si="1720"/>
        <v>0</v>
      </c>
      <c r="AL331" s="2">
        <f t="shared" ref="AL331:CK331" si="1721">AL317</f>
        <v>0</v>
      </c>
      <c r="AM331" s="24">
        <f t="shared" si="1721"/>
        <v>0</v>
      </c>
      <c r="AN331" s="24">
        <f t="shared" si="1721"/>
        <v>0</v>
      </c>
      <c r="AO331" s="24">
        <f t="shared" si="1721"/>
        <v>0</v>
      </c>
      <c r="AP331" s="24">
        <f t="shared" si="1721"/>
        <v>0</v>
      </c>
      <c r="AQ331" s="390"/>
      <c r="AR331" s="2">
        <f t="shared" si="1721"/>
        <v>0</v>
      </c>
      <c r="AS331" s="24">
        <f t="shared" si="1721"/>
        <v>0</v>
      </c>
      <c r="AT331" s="24">
        <f t="shared" si="1721"/>
        <v>0</v>
      </c>
      <c r="AU331" s="24">
        <f t="shared" si="1721"/>
        <v>0</v>
      </c>
      <c r="AV331" s="24">
        <f t="shared" si="1721"/>
        <v>0</v>
      </c>
      <c r="AW331" s="24" t="e">
        <f t="shared" si="1721"/>
        <v>#REF!</v>
      </c>
      <c r="AX331" s="24" t="e">
        <f t="shared" si="1721"/>
        <v>#REF!</v>
      </c>
      <c r="AY331" s="24" t="e">
        <f t="shared" si="1721"/>
        <v>#REF!</v>
      </c>
      <c r="AZ331" s="24" t="e">
        <f t="shared" si="1721"/>
        <v>#REF!</v>
      </c>
      <c r="BA331" s="24" t="e">
        <f t="shared" si="1721"/>
        <v>#REF!</v>
      </c>
      <c r="BB331" s="2">
        <f t="shared" si="1721"/>
        <v>22388.043260000002</v>
      </c>
      <c r="BC331" s="24">
        <f t="shared" si="1721"/>
        <v>22388.043260000002</v>
      </c>
      <c r="BD331" s="24">
        <f t="shared" si="1721"/>
        <v>0</v>
      </c>
      <c r="BE331" s="24">
        <f t="shared" si="1721"/>
        <v>0</v>
      </c>
      <c r="BF331" s="24">
        <f t="shared" si="1721"/>
        <v>0</v>
      </c>
      <c r="BG331" s="24">
        <f t="shared" si="1721"/>
        <v>0</v>
      </c>
      <c r="BH331" s="24">
        <f t="shared" si="1721"/>
        <v>0</v>
      </c>
      <c r="BI331" s="24">
        <f t="shared" si="1721"/>
        <v>0</v>
      </c>
      <c r="BJ331" s="24">
        <f t="shared" si="1721"/>
        <v>0</v>
      </c>
      <c r="BK331" s="24">
        <f t="shared" si="1721"/>
        <v>0</v>
      </c>
      <c r="BL331" s="2">
        <f t="shared" si="1721"/>
        <v>0</v>
      </c>
      <c r="BM331" s="24">
        <f t="shared" si="1721"/>
        <v>0</v>
      </c>
      <c r="BN331" s="24">
        <f t="shared" si="1721"/>
        <v>0</v>
      </c>
      <c r="BO331" s="24">
        <f t="shared" si="1721"/>
        <v>0</v>
      </c>
      <c r="BP331" s="24">
        <f t="shared" si="1721"/>
        <v>0</v>
      </c>
      <c r="BQ331" s="2">
        <f t="shared" si="1721"/>
        <v>0</v>
      </c>
      <c r="BR331" s="24">
        <f t="shared" si="1721"/>
        <v>0</v>
      </c>
      <c r="BS331" s="24">
        <f t="shared" si="1721"/>
        <v>0</v>
      </c>
      <c r="BT331" s="24">
        <f t="shared" si="1721"/>
        <v>0</v>
      </c>
      <c r="BU331" s="24">
        <f t="shared" si="1721"/>
        <v>0</v>
      </c>
      <c r="BV331" s="2">
        <f t="shared" si="1721"/>
        <v>0</v>
      </c>
      <c r="BW331" s="24">
        <f t="shared" si="1721"/>
        <v>0</v>
      </c>
      <c r="BX331" s="24">
        <f t="shared" si="1721"/>
        <v>0</v>
      </c>
      <c r="BY331" s="24">
        <f t="shared" si="1721"/>
        <v>0</v>
      </c>
      <c r="BZ331" s="24">
        <f t="shared" si="1721"/>
        <v>0</v>
      </c>
      <c r="CA331" s="24">
        <f t="shared" si="1721"/>
        <v>0</v>
      </c>
      <c r="CB331" s="2">
        <f t="shared" si="1721"/>
        <v>0</v>
      </c>
      <c r="CC331" s="24">
        <f t="shared" si="1721"/>
        <v>0</v>
      </c>
      <c r="CD331" s="24">
        <f t="shared" si="1721"/>
        <v>0</v>
      </c>
      <c r="CE331" s="24">
        <f t="shared" si="1721"/>
        <v>0</v>
      </c>
      <c r="CF331" s="24">
        <f t="shared" si="1721"/>
        <v>0</v>
      </c>
      <c r="CG331" s="2">
        <f t="shared" si="1721"/>
        <v>0</v>
      </c>
      <c r="CH331" s="24">
        <f t="shared" si="1721"/>
        <v>0</v>
      </c>
      <c r="CI331" s="24">
        <f t="shared" si="1721"/>
        <v>0</v>
      </c>
      <c r="CJ331" s="24">
        <f t="shared" si="1721"/>
        <v>0</v>
      </c>
      <c r="CK331" s="24">
        <f t="shared" si="1721"/>
        <v>0</v>
      </c>
      <c r="CL331" s="76"/>
      <c r="CM331" s="45"/>
      <c r="CN331" s="45"/>
      <c r="CO331" s="2">
        <f>CP331+CQ331+CR331+CS331</f>
        <v>0</v>
      </c>
      <c r="CP331" s="24">
        <f>CP318+CP322</f>
        <v>0</v>
      </c>
      <c r="CQ331" s="24">
        <f>CQ318+CQ322</f>
        <v>0</v>
      </c>
      <c r="CR331" s="24">
        <f>CR318+CR322</f>
        <v>0</v>
      </c>
      <c r="CS331" s="24">
        <f>CS318+CS322</f>
        <v>0</v>
      </c>
      <c r="CT331" s="2">
        <f>CU331+CV331+CW331+CX331</f>
        <v>0</v>
      </c>
      <c r="CU331" s="24">
        <f t="shared" ref="CU331:CX332" si="1722">CU318+CU322</f>
        <v>0</v>
      </c>
      <c r="CV331" s="24">
        <f t="shared" si="1722"/>
        <v>0</v>
      </c>
      <c r="CW331" s="24">
        <f t="shared" si="1722"/>
        <v>0</v>
      </c>
      <c r="CX331" s="24">
        <f t="shared" si="1722"/>
        <v>0</v>
      </c>
      <c r="CY331" s="2">
        <f>CZ331+DA331+DB331+DC331</f>
        <v>0</v>
      </c>
      <c r="CZ331" s="24">
        <f>CZ318+CZ322</f>
        <v>0</v>
      </c>
      <c r="DA331" s="24">
        <f>DA318+DA322</f>
        <v>0</v>
      </c>
      <c r="DB331" s="24">
        <f>DB318+DB322</f>
        <v>0</v>
      </c>
      <c r="DC331" s="24">
        <f>DC318+DC322</f>
        <v>0</v>
      </c>
      <c r="DD331" s="45"/>
      <c r="DE331" s="45"/>
      <c r="DF331" s="45"/>
      <c r="DG331" s="45"/>
      <c r="DH331" s="45"/>
      <c r="DI331" s="45"/>
      <c r="DJ331" s="45"/>
      <c r="DK331" s="45"/>
      <c r="DL331" s="24">
        <f>DL318+DL322</f>
        <v>0</v>
      </c>
      <c r="DM331" s="24">
        <f>DM318+DM322</f>
        <v>0</v>
      </c>
      <c r="DN331" s="45"/>
      <c r="DO331" s="24">
        <f>DO318+DO322</f>
        <v>0</v>
      </c>
      <c r="DP331" s="45"/>
      <c r="DQ331" s="45"/>
      <c r="DR331" s="2">
        <f t="shared" ref="DR331:DZ331" si="1723">DR317</f>
        <v>0</v>
      </c>
      <c r="DS331" s="2">
        <f t="shared" si="1723"/>
        <v>0</v>
      </c>
      <c r="DT331" s="2">
        <f t="shared" si="1723"/>
        <v>0</v>
      </c>
      <c r="DU331" s="2">
        <f t="shared" si="1723"/>
        <v>0</v>
      </c>
      <c r="DV331" s="2">
        <f t="shared" si="1723"/>
        <v>0</v>
      </c>
      <c r="DW331" s="2">
        <f t="shared" si="1723"/>
        <v>169800.83082999999</v>
      </c>
      <c r="DX331" s="2">
        <f t="shared" si="1723"/>
        <v>0</v>
      </c>
      <c r="DY331" s="244">
        <f t="shared" si="1723"/>
        <v>80103.362610000011</v>
      </c>
      <c r="DZ331" s="24">
        <f t="shared" si="1723"/>
        <v>89697.468219999995</v>
      </c>
      <c r="EA331" s="14">
        <f t="shared" ref="EA331" si="1724">EA317</f>
        <v>0</v>
      </c>
      <c r="EB331" s="279"/>
      <c r="EC331" s="279"/>
      <c r="ED331" s="313"/>
      <c r="EE331" s="291"/>
      <c r="EF331" s="291"/>
      <c r="EG331" s="279"/>
      <c r="EH331" s="279"/>
      <c r="EI331" s="313"/>
      <c r="EJ331" s="291"/>
      <c r="EK331" s="291"/>
      <c r="EL331" s="291"/>
      <c r="EM331" s="291"/>
      <c r="EN331" s="291"/>
      <c r="EO331" s="24">
        <f t="shared" ref="EO331" si="1725">EO317</f>
        <v>0</v>
      </c>
      <c r="EP331" s="323"/>
      <c r="EQ331" s="323"/>
      <c r="ER331" s="351"/>
      <c r="ES331" s="330"/>
      <c r="ET331" s="330"/>
      <c r="EU331" s="323"/>
      <c r="EV331" s="323"/>
      <c r="EW331" s="351"/>
      <c r="EX331" s="330"/>
      <c r="EY331" s="330"/>
      <c r="EZ331" s="330"/>
      <c r="FA331" s="330"/>
      <c r="FB331" s="330"/>
      <c r="FC331" s="279"/>
      <c r="FD331" s="279"/>
      <c r="FE331" s="313"/>
      <c r="FF331" s="291"/>
      <c r="FG331" s="291"/>
      <c r="FH331" s="279"/>
      <c r="FI331" s="279"/>
      <c r="FJ331" s="313"/>
      <c r="FK331" s="291"/>
      <c r="FL331" s="291"/>
      <c r="FM331" s="291"/>
      <c r="FN331" s="291"/>
      <c r="FO331" s="291"/>
    </row>
    <row r="332" spans="2:171" s="40" customFormat="1" ht="19.5" hidden="1" customHeight="1" x14ac:dyDescent="0.2">
      <c r="B332" s="35"/>
      <c r="C332" s="36"/>
      <c r="D332" s="35"/>
      <c r="E332" s="42"/>
      <c r="F332" s="35"/>
      <c r="G332" s="36"/>
      <c r="H332" s="35"/>
      <c r="I332" s="35"/>
      <c r="J332" s="35"/>
      <c r="K332" s="35"/>
      <c r="L332" s="35"/>
      <c r="M332" s="65"/>
      <c r="N332" s="66" t="s">
        <v>289</v>
      </c>
      <c r="O332" s="66"/>
      <c r="P332" s="414">
        <f t="shared" si="1702"/>
        <v>62701.032010000199</v>
      </c>
      <c r="Q332" s="66"/>
      <c r="R332" s="66"/>
      <c r="S332" s="66"/>
      <c r="T332" s="66"/>
      <c r="U332" s="66"/>
      <c r="V332" s="66"/>
      <c r="W332" s="2">
        <f t="shared" ref="W332:AA332" si="1726">W318+W328</f>
        <v>1191202.0999999999</v>
      </c>
      <c r="X332" s="24">
        <f t="shared" si="1726"/>
        <v>251056.89799999999</v>
      </c>
      <c r="Y332" s="24">
        <f t="shared" si="1726"/>
        <v>234455.77399999998</v>
      </c>
      <c r="Z332" s="24">
        <f t="shared" si="1726"/>
        <v>705689.42799999996</v>
      </c>
      <c r="AA332" s="24">
        <f t="shared" si="1726"/>
        <v>0</v>
      </c>
      <c r="AB332" s="2">
        <f t="shared" ref="AB332:AF332" si="1727">AB318+AB328</f>
        <v>1030130.642</v>
      </c>
      <c r="AC332" s="24">
        <f t="shared" si="1727"/>
        <v>545404.59100000001</v>
      </c>
      <c r="AD332" s="24">
        <f t="shared" si="1727"/>
        <v>230000.00000000003</v>
      </c>
      <c r="AE332" s="24">
        <f t="shared" si="1727"/>
        <v>254726.05099999998</v>
      </c>
      <c r="AF332" s="24">
        <f t="shared" si="1727"/>
        <v>0</v>
      </c>
      <c r="AG332" s="2">
        <f t="shared" ref="AG332:AK332" si="1728">AG318+AG328</f>
        <v>974270.64899999998</v>
      </c>
      <c r="AH332" s="24">
        <f t="shared" si="1728"/>
        <v>489544.598</v>
      </c>
      <c r="AI332" s="24">
        <f t="shared" si="1728"/>
        <v>230000.00000000003</v>
      </c>
      <c r="AJ332" s="24">
        <f t="shared" si="1728"/>
        <v>254726.05100000001</v>
      </c>
      <c r="AK332" s="24">
        <f t="shared" si="1728"/>
        <v>0</v>
      </c>
      <c r="AL332" s="2">
        <f t="shared" ref="AL332:CK332" si="1729">AL318+AL328</f>
        <v>683000</v>
      </c>
      <c r="AM332" s="24">
        <f t="shared" si="1729"/>
        <v>421431.3</v>
      </c>
      <c r="AN332" s="24">
        <f t="shared" si="1729"/>
        <v>100000</v>
      </c>
      <c r="AO332" s="24">
        <f t="shared" si="1729"/>
        <v>161568.70000000001</v>
      </c>
      <c r="AP332" s="24">
        <f t="shared" si="1729"/>
        <v>0</v>
      </c>
      <c r="AQ332" s="390"/>
      <c r="AR332" s="2">
        <f t="shared" si="1729"/>
        <v>1174374.427468</v>
      </c>
      <c r="AS332" s="24">
        <f t="shared" si="1729"/>
        <v>251056.89799999999</v>
      </c>
      <c r="AT332" s="24">
        <f t="shared" si="1729"/>
        <v>226274.93105800005</v>
      </c>
      <c r="AU332" s="24">
        <f t="shared" si="1729"/>
        <v>697042.59840999986</v>
      </c>
      <c r="AV332" s="24">
        <f t="shared" si="1729"/>
        <v>0</v>
      </c>
      <c r="AW332" s="24" t="e">
        <f t="shared" si="1729"/>
        <v>#REF!</v>
      </c>
      <c r="AX332" s="24" t="e">
        <f t="shared" si="1729"/>
        <v>#REF!</v>
      </c>
      <c r="AY332" s="24" t="e">
        <f t="shared" si="1729"/>
        <v>#REF!</v>
      </c>
      <c r="AZ332" s="24" t="e">
        <f t="shared" si="1729"/>
        <v>#REF!</v>
      </c>
      <c r="BA332" s="24" t="e">
        <f t="shared" si="1729"/>
        <v>#REF!</v>
      </c>
      <c r="BB332" s="2">
        <f t="shared" si="1729"/>
        <v>781575.86852000002</v>
      </c>
      <c r="BC332" s="24">
        <f t="shared" si="1729"/>
        <v>302927.24051999999</v>
      </c>
      <c r="BD332" s="24">
        <f t="shared" si="1729"/>
        <v>223922.57699999999</v>
      </c>
      <c r="BE332" s="24">
        <f t="shared" si="1729"/>
        <v>254726.05100000004</v>
      </c>
      <c r="BF332" s="24">
        <f t="shared" si="1729"/>
        <v>0</v>
      </c>
      <c r="BG332" s="24">
        <f t="shared" si="1729"/>
        <v>0</v>
      </c>
      <c r="BH332" s="24">
        <f t="shared" si="1729"/>
        <v>0</v>
      </c>
      <c r="BI332" s="24">
        <f t="shared" si="1729"/>
        <v>0</v>
      </c>
      <c r="BJ332" s="24">
        <f t="shared" si="1729"/>
        <v>0</v>
      </c>
      <c r="BK332" s="24">
        <f t="shared" si="1729"/>
        <v>0</v>
      </c>
      <c r="BL332" s="2">
        <f t="shared" si="1729"/>
        <v>1165399.97627</v>
      </c>
      <c r="BM332" s="24">
        <f t="shared" si="1729"/>
        <v>249964.59700000001</v>
      </c>
      <c r="BN332" s="24">
        <f t="shared" si="1729"/>
        <v>223522.57506000003</v>
      </c>
      <c r="BO332" s="24">
        <f t="shared" si="1729"/>
        <v>691912.80420999986</v>
      </c>
      <c r="BP332" s="24">
        <f t="shared" si="1729"/>
        <v>0</v>
      </c>
      <c r="BQ332" s="2">
        <f t="shared" si="1729"/>
        <v>1102698.9442599998</v>
      </c>
      <c r="BR332" s="24">
        <f t="shared" si="1729"/>
        <v>187263.56499000001</v>
      </c>
      <c r="BS332" s="24">
        <f t="shared" si="1729"/>
        <v>223522.57506000003</v>
      </c>
      <c r="BT332" s="24">
        <f t="shared" si="1729"/>
        <v>691912.80420999986</v>
      </c>
      <c r="BU332" s="24">
        <f t="shared" si="1729"/>
        <v>0</v>
      </c>
      <c r="BV332" s="2">
        <f t="shared" si="1729"/>
        <v>177214.22271</v>
      </c>
      <c r="BW332" s="24">
        <f t="shared" si="1729"/>
        <v>7413.3918800000001</v>
      </c>
      <c r="BX332" s="24">
        <f t="shared" si="1729"/>
        <v>80103.362610000011</v>
      </c>
      <c r="BY332" s="24">
        <f t="shared" si="1729"/>
        <v>89697.468219999995</v>
      </c>
      <c r="BZ332" s="24">
        <f t="shared" si="1729"/>
        <v>0</v>
      </c>
      <c r="CA332" s="24">
        <f t="shared" si="1729"/>
        <v>1279913.1669699999</v>
      </c>
      <c r="CB332" s="2">
        <f t="shared" si="1729"/>
        <v>1279913.1669699999</v>
      </c>
      <c r="CC332" s="24">
        <f t="shared" si="1729"/>
        <v>194676.95687000002</v>
      </c>
      <c r="CD332" s="24">
        <f t="shared" si="1729"/>
        <v>303625.93767000001</v>
      </c>
      <c r="CE332" s="24">
        <f t="shared" si="1729"/>
        <v>781610.2724299999</v>
      </c>
      <c r="CF332" s="24">
        <f t="shared" si="1729"/>
        <v>0</v>
      </c>
      <c r="CG332" s="2">
        <f t="shared" si="1729"/>
        <v>62701.032009999995</v>
      </c>
      <c r="CH332" s="24">
        <f t="shared" si="1729"/>
        <v>62701.032009999995</v>
      </c>
      <c r="CI332" s="24">
        <f t="shared" si="1729"/>
        <v>0</v>
      </c>
      <c r="CJ332" s="24">
        <f t="shared" si="1729"/>
        <v>0</v>
      </c>
      <c r="CK332" s="24">
        <f t="shared" si="1729"/>
        <v>0</v>
      </c>
      <c r="CL332" s="76"/>
      <c r="CM332" s="45"/>
      <c r="CN332" s="45"/>
      <c r="CO332" s="2">
        <f>CP332+CQ332+CR332+CS332</f>
        <v>0</v>
      </c>
      <c r="CP332" s="24">
        <f>CP319+CP323</f>
        <v>0</v>
      </c>
      <c r="CQ332" s="24">
        <f>CQ319+CQ323</f>
        <v>0</v>
      </c>
      <c r="CR332" s="24"/>
      <c r="CS332" s="24"/>
      <c r="CT332" s="2">
        <f>CU332+CV332+CW332+CX332</f>
        <v>0</v>
      </c>
      <c r="CU332" s="24">
        <f t="shared" si="1722"/>
        <v>0</v>
      </c>
      <c r="CV332" s="24">
        <f t="shared" si="1722"/>
        <v>0</v>
      </c>
      <c r="CW332" s="24">
        <f t="shared" si="1722"/>
        <v>0</v>
      </c>
      <c r="CX332" s="24">
        <f t="shared" si="1722"/>
        <v>0</v>
      </c>
      <c r="CY332" s="2">
        <f>CZ332+DA332+DB332+DC332</f>
        <v>0</v>
      </c>
      <c r="CZ332" s="24">
        <f>CZ319+CZ323</f>
        <v>0</v>
      </c>
      <c r="DA332" s="24">
        <f>DA319+DA323</f>
        <v>0</v>
      </c>
      <c r="DB332" s="24"/>
      <c r="DC332" s="24"/>
      <c r="DD332" s="45"/>
      <c r="DE332" s="45"/>
      <c r="DF332" s="45"/>
      <c r="DG332" s="45"/>
      <c r="DH332" s="45"/>
      <c r="DI332" s="45"/>
      <c r="DJ332" s="45"/>
      <c r="DK332" s="45"/>
      <c r="DL332" s="24">
        <f>DL319+DL323</f>
        <v>0</v>
      </c>
      <c r="DM332" s="24">
        <f>DM319+DM323</f>
        <v>0</v>
      </c>
      <c r="DN332" s="45"/>
      <c r="DO332" s="24">
        <f>DO319+DO323</f>
        <v>0</v>
      </c>
      <c r="DP332" s="45"/>
      <c r="DQ332" s="45"/>
      <c r="DR332" s="2">
        <f t="shared" ref="DR332:DZ332" si="1730">DR318+DR328</f>
        <v>1102698.9442599998</v>
      </c>
      <c r="DS332" s="24">
        <f t="shared" si="1730"/>
        <v>187263.56499000001</v>
      </c>
      <c r="DT332" s="24">
        <f t="shared" si="1730"/>
        <v>223522.57506000003</v>
      </c>
      <c r="DU332" s="24">
        <f t="shared" si="1730"/>
        <v>691912.80420999986</v>
      </c>
      <c r="DV332" s="24">
        <f t="shared" si="1730"/>
        <v>0</v>
      </c>
      <c r="DW332" s="2">
        <f t="shared" si="1730"/>
        <v>7413.3918800000001</v>
      </c>
      <c r="DX332" s="24">
        <f t="shared" si="1730"/>
        <v>7413.3918800000001</v>
      </c>
      <c r="DY332" s="200">
        <f t="shared" si="1730"/>
        <v>0</v>
      </c>
      <c r="DZ332" s="24">
        <f t="shared" si="1730"/>
        <v>0</v>
      </c>
      <c r="EA332" s="14">
        <f t="shared" ref="EA332" si="1731">EA318+EA328</f>
        <v>0</v>
      </c>
      <c r="EB332" s="279"/>
      <c r="EC332" s="291"/>
      <c r="ED332" s="308"/>
      <c r="EE332" s="291"/>
      <c r="EF332" s="291"/>
      <c r="EG332" s="279"/>
      <c r="EH332" s="291"/>
      <c r="EI332" s="308"/>
      <c r="EJ332" s="291"/>
      <c r="EK332" s="291"/>
      <c r="EL332" s="291"/>
      <c r="EM332" s="291"/>
      <c r="EN332" s="291"/>
      <c r="EO332" s="24">
        <f t="shared" ref="EO332" si="1732">EO318+EO328</f>
        <v>0</v>
      </c>
      <c r="EP332" s="323"/>
      <c r="EQ332" s="330"/>
      <c r="ER332" s="346"/>
      <c r="ES332" s="330"/>
      <c r="ET332" s="330"/>
      <c r="EU332" s="323"/>
      <c r="EV332" s="330"/>
      <c r="EW332" s="346"/>
      <c r="EX332" s="330"/>
      <c r="EY332" s="330"/>
      <c r="EZ332" s="330"/>
      <c r="FA332" s="330"/>
      <c r="FB332" s="330"/>
      <c r="FC332" s="279"/>
      <c r="FD332" s="291"/>
      <c r="FE332" s="308"/>
      <c r="FF332" s="291"/>
      <c r="FG332" s="291"/>
      <c r="FH332" s="279"/>
      <c r="FI332" s="291"/>
      <c r="FJ332" s="308"/>
      <c r="FK332" s="291"/>
      <c r="FL332" s="291"/>
      <c r="FM332" s="291"/>
      <c r="FN332" s="291"/>
      <c r="FO332" s="291"/>
    </row>
    <row r="333" spans="2:171" hidden="1" x14ac:dyDescent="0.3">
      <c r="BL333" s="45"/>
      <c r="BM333" s="45"/>
      <c r="BN333" s="45"/>
      <c r="BO333" s="45"/>
      <c r="BP333" s="45"/>
      <c r="DY333" s="374"/>
      <c r="DZ333" s="76"/>
      <c r="EE333" s="375"/>
      <c r="EF333" s="375"/>
      <c r="EJ333" s="375"/>
      <c r="EK333" s="375"/>
      <c r="EL333" s="375"/>
      <c r="EM333" s="375"/>
      <c r="EN333" s="375"/>
      <c r="EO333" s="76"/>
      <c r="EP333" s="376"/>
      <c r="EQ333" s="376"/>
      <c r="ER333" s="376"/>
      <c r="ES333" s="376"/>
      <c r="ET333" s="376"/>
      <c r="EX333" s="376"/>
      <c r="EY333" s="376"/>
      <c r="EZ333" s="376"/>
      <c r="FA333" s="376"/>
      <c r="FB333" s="376"/>
      <c r="FC333" s="375"/>
      <c r="FD333" s="375"/>
      <c r="FE333" s="375"/>
      <c r="FF333" s="375"/>
      <c r="FG333" s="375"/>
      <c r="FH333" s="375"/>
      <c r="FI333" s="375"/>
      <c r="FJ333" s="375"/>
      <c r="FK333" s="375"/>
      <c r="FL333" s="375"/>
      <c r="FM333" s="375"/>
      <c r="FN333" s="375"/>
      <c r="FO333" s="375"/>
    </row>
    <row r="334" spans="2:171" x14ac:dyDescent="0.3">
      <c r="BL334" s="45"/>
      <c r="BM334" s="45"/>
      <c r="BN334" s="45"/>
      <c r="BO334" s="45"/>
      <c r="BP334" s="45"/>
    </row>
    <row r="335" spans="2:171" hidden="1" x14ac:dyDescent="0.3">
      <c r="BL335" s="429">
        <f>(BL258*100%)/AR258</f>
        <v>0.99257856445688908</v>
      </c>
      <c r="BM335" s="429">
        <f>(BM258*100%)/AS258</f>
        <v>1</v>
      </c>
      <c r="BN335" s="429">
        <f>(BN258*100%)/AT258</f>
        <v>0.98759189226708521</v>
      </c>
      <c r="BO335" s="429">
        <f>(BO258*100%)/AU258</f>
        <v>0.99264063026893712</v>
      </c>
      <c r="BP335" s="45"/>
    </row>
    <row r="336" spans="2:171" hidden="1" x14ac:dyDescent="0.3">
      <c r="W336" s="406">
        <f>BL258/W258</f>
        <v>0.97709734739722853</v>
      </c>
      <c r="X336" s="406">
        <f>BM258/X258</f>
        <v>1</v>
      </c>
      <c r="Y336" s="406">
        <f>BN258/Y258</f>
        <v>0.95246435243478289</v>
      </c>
      <c r="Z336" s="406">
        <f>BO258/Z258</f>
        <v>0.98047778067322822</v>
      </c>
      <c r="BL336" s="45"/>
      <c r="BM336" s="45"/>
      <c r="BN336" s="209"/>
      <c r="BO336" s="45"/>
      <c r="BP336" s="209">
        <v>176</v>
      </c>
    </row>
    <row r="337" spans="64:68" hidden="1" x14ac:dyDescent="0.3">
      <c r="BL337" s="45"/>
      <c r="BM337" s="45"/>
      <c r="BN337" s="45"/>
      <c r="BO337" s="45"/>
      <c r="BP337" s="209"/>
    </row>
    <row r="338" spans="64:68" x14ac:dyDescent="0.3">
      <c r="BL338" s="45"/>
      <c r="BM338" s="45"/>
      <c r="BN338" s="209"/>
      <c r="BO338" s="45"/>
      <c r="BP338" s="209">
        <v>2</v>
      </c>
    </row>
    <row r="339" spans="64:68" x14ac:dyDescent="0.3">
      <c r="BL339" s="45"/>
      <c r="BM339" s="45"/>
      <c r="BN339" s="45"/>
      <c r="BO339" s="45"/>
      <c r="BP339" s="209"/>
    </row>
    <row r="340" spans="64:68" x14ac:dyDescent="0.3">
      <c r="BL340" s="45"/>
      <c r="BM340" s="45"/>
      <c r="BN340" s="209"/>
      <c r="BO340" s="45"/>
      <c r="BP340" s="209">
        <v>3</v>
      </c>
    </row>
    <row r="341" spans="64:68" x14ac:dyDescent="0.3">
      <c r="BL341" s="45"/>
      <c r="BM341" s="45"/>
      <c r="BN341" s="45"/>
      <c r="BO341" s="45"/>
      <c r="BP341" s="209"/>
    </row>
    <row r="342" spans="64:68" x14ac:dyDescent="0.3">
      <c r="BL342" s="45"/>
      <c r="BM342" s="45"/>
      <c r="BN342" s="209"/>
      <c r="BO342" s="45"/>
      <c r="BP342" s="209">
        <v>2</v>
      </c>
    </row>
    <row r="343" spans="64:68" x14ac:dyDescent="0.3">
      <c r="BL343" s="45"/>
      <c r="BM343" s="45"/>
      <c r="BN343" s="45"/>
      <c r="BO343" s="45"/>
      <c r="BP343" s="45"/>
    </row>
    <row r="344" spans="64:68" x14ac:dyDescent="0.3">
      <c r="BL344" s="45"/>
      <c r="BM344" s="45"/>
      <c r="BN344" s="45"/>
      <c r="BO344" s="45"/>
      <c r="BP344" s="209">
        <v>2</v>
      </c>
    </row>
    <row r="345" spans="64:68" x14ac:dyDescent="0.3">
      <c r="BL345" s="45"/>
      <c r="BM345" s="45"/>
      <c r="BN345" s="45"/>
      <c r="BO345" s="45"/>
      <c r="BP345" s="45"/>
    </row>
    <row r="346" spans="64:68" x14ac:dyDescent="0.3">
      <c r="BL346" s="45"/>
      <c r="BM346" s="45"/>
      <c r="BN346" s="45"/>
      <c r="BO346" s="45"/>
      <c r="BP346" s="45"/>
    </row>
    <row r="347" spans="64:68" x14ac:dyDescent="0.3">
      <c r="BL347" s="45"/>
      <c r="BM347" s="45"/>
      <c r="BN347" s="209"/>
      <c r="BO347" s="45"/>
      <c r="BP347" s="209">
        <f>BP336+BP338+BP340+BP342+BP344</f>
        <v>185</v>
      </c>
    </row>
    <row r="348" spans="64:68" x14ac:dyDescent="0.3">
      <c r="BL348" s="45"/>
      <c r="BM348" s="45"/>
      <c r="BN348" s="45"/>
      <c r="BO348" s="45"/>
      <c r="BP348" s="45"/>
    </row>
    <row r="349" spans="64:68" x14ac:dyDescent="0.3">
      <c r="BL349" s="45"/>
      <c r="BM349" s="45"/>
      <c r="BN349" s="45"/>
      <c r="BO349" s="45"/>
      <c r="BP349" s="45"/>
    </row>
    <row r="350" spans="64:68" x14ac:dyDescent="0.3">
      <c r="BL350" s="45"/>
      <c r="BM350" s="45"/>
      <c r="BN350" s="45"/>
      <c r="BO350" s="45"/>
      <c r="BP350" s="45"/>
    </row>
    <row r="351" spans="64:68" x14ac:dyDescent="0.3">
      <c r="BL351" s="45"/>
      <c r="BM351" s="45"/>
      <c r="BN351" s="45"/>
      <c r="BO351" s="45"/>
      <c r="BP351" s="45"/>
    </row>
    <row r="352" spans="64:68" x14ac:dyDescent="0.3">
      <c r="BL352" s="45"/>
      <c r="BM352" s="45"/>
      <c r="BN352" s="45"/>
      <c r="BO352" s="45"/>
      <c r="BP352" s="45"/>
    </row>
    <row r="353" spans="64:68" x14ac:dyDescent="0.3">
      <c r="BL353" s="45"/>
      <c r="BM353" s="45"/>
      <c r="BN353" s="45"/>
      <c r="BO353" s="45"/>
      <c r="BP353" s="45"/>
    </row>
    <row r="354" spans="64:68" x14ac:dyDescent="0.3">
      <c r="BL354" s="45"/>
      <c r="BM354" s="45"/>
      <c r="BN354" s="45"/>
      <c r="BO354" s="45"/>
      <c r="BP354" s="45"/>
    </row>
    <row r="355" spans="64:68" x14ac:dyDescent="0.3">
      <c r="BL355" s="45"/>
      <c r="BM355" s="45"/>
      <c r="BN355" s="45"/>
      <c r="BO355" s="45"/>
      <c r="BP355" s="45"/>
    </row>
    <row r="356" spans="64:68" x14ac:dyDescent="0.3">
      <c r="BL356" s="45"/>
      <c r="BM356" s="45"/>
      <c r="BN356" s="45"/>
      <c r="BO356" s="45"/>
      <c r="BP356" s="45"/>
    </row>
    <row r="357" spans="64:68" x14ac:dyDescent="0.3">
      <c r="BL357" s="45"/>
      <c r="BM357" s="45"/>
      <c r="BN357" s="45"/>
      <c r="BO357" s="45"/>
      <c r="BP357" s="45"/>
    </row>
    <row r="358" spans="64:68" x14ac:dyDescent="0.3">
      <c r="BL358" s="45"/>
      <c r="BM358" s="45"/>
      <c r="BN358" s="45"/>
      <c r="BO358" s="45"/>
      <c r="BP358" s="45"/>
    </row>
    <row r="359" spans="64:68" x14ac:dyDescent="0.3">
      <c r="BL359" s="45"/>
      <c r="BM359" s="45"/>
      <c r="BN359" s="45"/>
      <c r="BO359" s="45"/>
      <c r="BP359" s="45"/>
    </row>
    <row r="360" spans="64:68" x14ac:dyDescent="0.3">
      <c r="BL360" s="45"/>
      <c r="BM360" s="45"/>
      <c r="BN360" s="45"/>
      <c r="BO360" s="45"/>
      <c r="BP360" s="45"/>
    </row>
    <row r="361" spans="64:68" x14ac:dyDescent="0.3">
      <c r="BL361" s="45"/>
      <c r="BM361" s="45"/>
      <c r="BN361" s="45"/>
      <c r="BO361" s="45"/>
      <c r="BP361" s="45"/>
    </row>
    <row r="362" spans="64:68" x14ac:dyDescent="0.3">
      <c r="BL362" s="45"/>
      <c r="BM362" s="45"/>
      <c r="BN362" s="45"/>
      <c r="BO362" s="45"/>
      <c r="BP362" s="45"/>
    </row>
    <row r="363" spans="64:68" x14ac:dyDescent="0.3">
      <c r="BL363" s="45"/>
      <c r="BM363" s="45"/>
      <c r="BN363" s="45"/>
      <c r="BO363" s="45"/>
      <c r="BP363" s="45"/>
    </row>
    <row r="364" spans="64:68" x14ac:dyDescent="0.3">
      <c r="BL364" s="45"/>
      <c r="BM364" s="45"/>
      <c r="BN364" s="45"/>
      <c r="BO364" s="45"/>
      <c r="BP364" s="45"/>
    </row>
    <row r="365" spans="64:68" x14ac:dyDescent="0.3">
      <c r="BL365" s="45"/>
      <c r="BM365" s="45"/>
      <c r="BN365" s="45"/>
      <c r="BO365" s="45"/>
      <c r="BP365" s="45"/>
    </row>
    <row r="366" spans="64:68" x14ac:dyDescent="0.3">
      <c r="BL366" s="45"/>
      <c r="BM366" s="45"/>
      <c r="BN366" s="45"/>
      <c r="BO366" s="45"/>
      <c r="BP366" s="45"/>
    </row>
    <row r="367" spans="64:68" x14ac:dyDescent="0.3">
      <c r="BL367" s="45"/>
      <c r="BM367" s="45"/>
      <c r="BN367" s="45"/>
      <c r="BO367" s="45"/>
      <c r="BP367" s="45"/>
    </row>
    <row r="368" spans="64:68" x14ac:dyDescent="0.3">
      <c r="BL368" s="45"/>
      <c r="BM368" s="45"/>
      <c r="BN368" s="45"/>
      <c r="BO368" s="45"/>
      <c r="BP368" s="45"/>
    </row>
    <row r="369" spans="64:68" x14ac:dyDescent="0.3">
      <c r="BL369" s="45"/>
      <c r="BM369" s="45"/>
      <c r="BN369" s="45"/>
      <c r="BO369" s="45"/>
      <c r="BP369" s="45"/>
    </row>
    <row r="370" spans="64:68" x14ac:dyDescent="0.3">
      <c r="BL370" s="45"/>
      <c r="BM370" s="45"/>
      <c r="BN370" s="45"/>
      <c r="BO370" s="45"/>
      <c r="BP370" s="45"/>
    </row>
    <row r="371" spans="64:68" x14ac:dyDescent="0.3">
      <c r="BL371" s="45"/>
      <c r="BM371" s="45"/>
      <c r="BN371" s="45"/>
      <c r="BO371" s="45"/>
      <c r="BP371" s="45"/>
    </row>
    <row r="372" spans="64:68" x14ac:dyDescent="0.3">
      <c r="BL372" s="45"/>
      <c r="BM372" s="45"/>
      <c r="BN372" s="45"/>
      <c r="BO372" s="45"/>
      <c r="BP372" s="45"/>
    </row>
    <row r="373" spans="64:68" x14ac:dyDescent="0.3">
      <c r="BL373" s="45"/>
      <c r="BM373" s="45"/>
      <c r="BN373" s="45"/>
      <c r="BO373" s="45"/>
      <c r="BP373" s="45"/>
    </row>
    <row r="374" spans="64:68" x14ac:dyDescent="0.3">
      <c r="BL374" s="45"/>
      <c r="BM374" s="45"/>
      <c r="BN374" s="45"/>
      <c r="BO374" s="45"/>
      <c r="BP374" s="45"/>
    </row>
    <row r="375" spans="64:68" x14ac:dyDescent="0.3">
      <c r="BL375" s="45"/>
      <c r="BM375" s="45"/>
      <c r="BN375" s="45"/>
      <c r="BO375" s="45"/>
      <c r="BP375" s="45"/>
    </row>
    <row r="376" spans="64:68" x14ac:dyDescent="0.3">
      <c r="BL376" s="45"/>
      <c r="BM376" s="45"/>
      <c r="BN376" s="45"/>
      <c r="BO376" s="45"/>
      <c r="BP376" s="45"/>
    </row>
    <row r="377" spans="64:68" x14ac:dyDescent="0.3">
      <c r="BL377" s="45"/>
      <c r="BM377" s="45"/>
      <c r="BN377" s="45"/>
      <c r="BO377" s="45"/>
      <c r="BP377" s="45"/>
    </row>
    <row r="378" spans="64:68" x14ac:dyDescent="0.3">
      <c r="BL378" s="45"/>
      <c r="BM378" s="45"/>
      <c r="BN378" s="45"/>
      <c r="BO378" s="45"/>
      <c r="BP378" s="45"/>
    </row>
    <row r="379" spans="64:68" x14ac:dyDescent="0.3">
      <c r="BL379" s="45"/>
      <c r="BM379" s="45"/>
      <c r="BN379" s="45"/>
      <c r="BO379" s="45"/>
      <c r="BP379" s="45"/>
    </row>
    <row r="380" spans="64:68" x14ac:dyDescent="0.3">
      <c r="BL380" s="45"/>
      <c r="BM380" s="45"/>
      <c r="BN380" s="45"/>
      <c r="BO380" s="45"/>
      <c r="BP380" s="45"/>
    </row>
    <row r="381" spans="64:68" x14ac:dyDescent="0.3">
      <c r="BL381" s="45"/>
      <c r="BM381" s="45"/>
      <c r="BN381" s="45"/>
      <c r="BO381" s="45"/>
      <c r="BP381" s="45"/>
    </row>
    <row r="382" spans="64:68" x14ac:dyDescent="0.3">
      <c r="BL382" s="45"/>
      <c r="BM382" s="45"/>
      <c r="BN382" s="45"/>
      <c r="BO382" s="45"/>
      <c r="BP382" s="45"/>
    </row>
    <row r="383" spans="64:68" x14ac:dyDescent="0.3">
      <c r="BL383" s="45"/>
      <c r="BM383" s="45"/>
      <c r="BN383" s="45"/>
      <c r="BO383" s="45"/>
      <c r="BP383" s="45"/>
    </row>
    <row r="384" spans="64:68" x14ac:dyDescent="0.3">
      <c r="BL384" s="45"/>
      <c r="BM384" s="45"/>
      <c r="BN384" s="45"/>
      <c r="BO384" s="45"/>
      <c r="BP384" s="45"/>
    </row>
    <row r="385" spans="64:68" x14ac:dyDescent="0.3">
      <c r="BL385" s="45"/>
      <c r="BM385" s="45"/>
      <c r="BN385" s="45"/>
      <c r="BO385" s="45"/>
      <c r="BP385" s="45"/>
    </row>
    <row r="386" spans="64:68" x14ac:dyDescent="0.3">
      <c r="BL386" s="45"/>
      <c r="BM386" s="45"/>
      <c r="BN386" s="45"/>
      <c r="BO386" s="45"/>
      <c r="BP386" s="45"/>
    </row>
    <row r="387" spans="64:68" x14ac:dyDescent="0.3">
      <c r="BL387" s="45"/>
      <c r="BM387" s="45"/>
      <c r="BN387" s="45"/>
      <c r="BO387" s="45"/>
      <c r="BP387" s="45"/>
    </row>
    <row r="388" spans="64:68" x14ac:dyDescent="0.3">
      <c r="BL388" s="45"/>
      <c r="BM388" s="45"/>
      <c r="BN388" s="45"/>
      <c r="BO388" s="45"/>
      <c r="BP388" s="45"/>
    </row>
    <row r="389" spans="64:68" x14ac:dyDescent="0.3">
      <c r="BL389" s="45"/>
      <c r="BM389" s="45"/>
      <c r="BN389" s="45"/>
      <c r="BO389" s="45"/>
      <c r="BP389" s="45"/>
    </row>
    <row r="390" spans="64:68" x14ac:dyDescent="0.3">
      <c r="BL390" s="45"/>
      <c r="BM390" s="45"/>
      <c r="BN390" s="45"/>
      <c r="BO390" s="45"/>
      <c r="BP390" s="45"/>
    </row>
    <row r="391" spans="64:68" x14ac:dyDescent="0.3">
      <c r="BL391" s="45"/>
      <c r="BM391" s="45"/>
      <c r="BN391" s="45"/>
      <c r="BO391" s="45"/>
      <c r="BP391" s="45"/>
    </row>
    <row r="392" spans="64:68" x14ac:dyDescent="0.3">
      <c r="BL392" s="45"/>
      <c r="BM392" s="45"/>
      <c r="BN392" s="45"/>
      <c r="BO392" s="45"/>
      <c r="BP392" s="45"/>
    </row>
    <row r="393" spans="64:68" x14ac:dyDescent="0.3">
      <c r="BL393" s="45"/>
      <c r="BM393" s="45"/>
      <c r="BN393" s="45"/>
      <c r="BO393" s="45"/>
      <c r="BP393" s="45"/>
    </row>
    <row r="394" spans="64:68" x14ac:dyDescent="0.3">
      <c r="BL394" s="45"/>
      <c r="BM394" s="45"/>
      <c r="BN394" s="45"/>
      <c r="BO394" s="45"/>
      <c r="BP394" s="45"/>
    </row>
    <row r="395" spans="64:68" x14ac:dyDescent="0.3">
      <c r="BL395" s="45"/>
      <c r="BM395" s="45"/>
      <c r="BN395" s="45"/>
      <c r="BO395" s="45"/>
      <c r="BP395" s="45"/>
    </row>
    <row r="396" spans="64:68" x14ac:dyDescent="0.3">
      <c r="BL396" s="45"/>
      <c r="BM396" s="45"/>
      <c r="BN396" s="45"/>
      <c r="BO396" s="45"/>
      <c r="BP396" s="45"/>
    </row>
    <row r="397" spans="64:68" x14ac:dyDescent="0.3">
      <c r="BL397" s="45"/>
      <c r="BM397" s="45"/>
      <c r="BN397" s="45"/>
      <c r="BO397" s="45"/>
      <c r="BP397" s="45"/>
    </row>
    <row r="398" spans="64:68" x14ac:dyDescent="0.3">
      <c r="BL398" s="45"/>
      <c r="BM398" s="45"/>
      <c r="BN398" s="45"/>
      <c r="BO398" s="45"/>
      <c r="BP398" s="45"/>
    </row>
    <row r="399" spans="64:68" x14ac:dyDescent="0.3">
      <c r="BL399" s="45"/>
      <c r="BM399" s="45"/>
      <c r="BN399" s="45"/>
      <c r="BO399" s="45"/>
      <c r="BP399" s="45"/>
    </row>
    <row r="400" spans="64:68" x14ac:dyDescent="0.3">
      <c r="BL400" s="45"/>
      <c r="BM400" s="45"/>
      <c r="BN400" s="45"/>
      <c r="BO400" s="45"/>
      <c r="BP400" s="45"/>
    </row>
    <row r="401" spans="64:68" x14ac:dyDescent="0.3">
      <c r="BL401" s="45"/>
      <c r="BM401" s="45"/>
      <c r="BN401" s="45"/>
      <c r="BO401" s="45"/>
      <c r="BP401" s="45"/>
    </row>
    <row r="402" spans="64:68" x14ac:dyDescent="0.3">
      <c r="BL402" s="45"/>
      <c r="BM402" s="45"/>
      <c r="BN402" s="45"/>
      <c r="BO402" s="45"/>
      <c r="BP402" s="45"/>
    </row>
    <row r="403" spans="64:68" x14ac:dyDescent="0.3">
      <c r="BL403" s="45"/>
      <c r="BM403" s="45"/>
      <c r="BN403" s="45"/>
      <c r="BO403" s="45"/>
      <c r="BP403" s="45"/>
    </row>
    <row r="404" spans="64:68" x14ac:dyDescent="0.3">
      <c r="BL404" s="45"/>
      <c r="BM404" s="45"/>
      <c r="BN404" s="45"/>
      <c r="BO404" s="45"/>
      <c r="BP404" s="45"/>
    </row>
    <row r="405" spans="64:68" x14ac:dyDescent="0.3">
      <c r="BL405" s="45"/>
      <c r="BM405" s="45"/>
      <c r="BN405" s="45"/>
      <c r="BO405" s="45"/>
      <c r="BP405" s="45"/>
    </row>
    <row r="406" spans="64:68" x14ac:dyDescent="0.3">
      <c r="BL406" s="45"/>
      <c r="BM406" s="45"/>
      <c r="BN406" s="45"/>
      <c r="BO406" s="45"/>
      <c r="BP406" s="45"/>
    </row>
    <row r="407" spans="64:68" x14ac:dyDescent="0.3">
      <c r="BL407" s="45"/>
      <c r="BM407" s="45"/>
      <c r="BN407" s="45"/>
      <c r="BO407" s="45"/>
      <c r="BP407" s="45"/>
    </row>
    <row r="408" spans="64:68" x14ac:dyDescent="0.3">
      <c r="BL408" s="45"/>
      <c r="BM408" s="45"/>
      <c r="BN408" s="45"/>
      <c r="BO408" s="45"/>
      <c r="BP408" s="45"/>
    </row>
    <row r="409" spans="64:68" x14ac:dyDescent="0.3">
      <c r="BL409" s="45"/>
      <c r="BM409" s="45"/>
      <c r="BN409" s="45"/>
      <c r="BO409" s="45"/>
      <c r="BP409" s="45"/>
    </row>
    <row r="410" spans="64:68" x14ac:dyDescent="0.3">
      <c r="BL410" s="45"/>
      <c r="BM410" s="45"/>
      <c r="BN410" s="45"/>
      <c r="BO410" s="45"/>
      <c r="BP410" s="45"/>
    </row>
    <row r="411" spans="64:68" x14ac:dyDescent="0.3">
      <c r="BL411" s="45"/>
      <c r="BM411" s="45"/>
      <c r="BN411" s="45"/>
      <c r="BO411" s="45"/>
      <c r="BP411" s="45"/>
    </row>
    <row r="412" spans="64:68" x14ac:dyDescent="0.3">
      <c r="BL412" s="45"/>
      <c r="BM412" s="45"/>
      <c r="BN412" s="45"/>
      <c r="BO412" s="45"/>
      <c r="BP412" s="45"/>
    </row>
    <row r="413" spans="64:68" x14ac:dyDescent="0.3">
      <c r="BL413" s="45"/>
      <c r="BM413" s="45"/>
      <c r="BN413" s="45"/>
      <c r="BO413" s="45"/>
      <c r="BP413" s="45"/>
    </row>
    <row r="414" spans="64:68" x14ac:dyDescent="0.3">
      <c r="BL414" s="45"/>
      <c r="BM414" s="45"/>
      <c r="BN414" s="45"/>
      <c r="BO414" s="45"/>
      <c r="BP414" s="45"/>
    </row>
    <row r="415" spans="64:68" x14ac:dyDescent="0.3">
      <c r="BL415" s="45"/>
      <c r="BM415" s="45"/>
      <c r="BN415" s="45"/>
      <c r="BO415" s="45"/>
      <c r="BP415" s="45"/>
    </row>
    <row r="416" spans="64:68" x14ac:dyDescent="0.3">
      <c r="BL416" s="45"/>
      <c r="BM416" s="45"/>
      <c r="BN416" s="45"/>
      <c r="BO416" s="45"/>
      <c r="BP416" s="45"/>
    </row>
    <row r="417" spans="64:68" x14ac:dyDescent="0.3">
      <c r="BL417" s="45"/>
      <c r="BM417" s="45"/>
      <c r="BN417" s="45"/>
      <c r="BO417" s="45"/>
      <c r="BP417" s="45"/>
    </row>
    <row r="418" spans="64:68" x14ac:dyDescent="0.3">
      <c r="BL418" s="45"/>
      <c r="BM418" s="45"/>
      <c r="BN418" s="45"/>
      <c r="BO418" s="45"/>
      <c r="BP418" s="45"/>
    </row>
    <row r="419" spans="64:68" x14ac:dyDescent="0.3">
      <c r="BL419" s="45"/>
      <c r="BM419" s="45"/>
      <c r="BN419" s="45"/>
      <c r="BO419" s="45"/>
      <c r="BP419" s="45"/>
    </row>
    <row r="420" spans="64:68" x14ac:dyDescent="0.3">
      <c r="BL420" s="45"/>
      <c r="BM420" s="45"/>
      <c r="BN420" s="45"/>
      <c r="BO420" s="45"/>
      <c r="BP420" s="45"/>
    </row>
    <row r="421" spans="64:68" x14ac:dyDescent="0.3">
      <c r="BL421" s="45"/>
      <c r="BM421" s="45"/>
      <c r="BN421" s="45"/>
      <c r="BO421" s="45"/>
      <c r="BP421" s="45"/>
    </row>
    <row r="422" spans="64:68" x14ac:dyDescent="0.3">
      <c r="BL422" s="45"/>
      <c r="BM422" s="45"/>
      <c r="BN422" s="45"/>
      <c r="BO422" s="45"/>
      <c r="BP422" s="45"/>
    </row>
    <row r="423" spans="64:68" x14ac:dyDescent="0.3">
      <c r="BL423" s="45"/>
      <c r="BM423" s="45"/>
      <c r="BN423" s="45"/>
      <c r="BO423" s="45"/>
      <c r="BP423" s="45"/>
    </row>
    <row r="424" spans="64:68" x14ac:dyDescent="0.3">
      <c r="BL424" s="45"/>
      <c r="BM424" s="45"/>
      <c r="BN424" s="45"/>
      <c r="BO424" s="45"/>
      <c r="BP424" s="45"/>
    </row>
    <row r="425" spans="64:68" x14ac:dyDescent="0.3">
      <c r="BL425" s="45"/>
      <c r="BM425" s="45"/>
      <c r="BN425" s="45"/>
      <c r="BO425" s="45"/>
      <c r="BP425" s="45"/>
    </row>
    <row r="426" spans="64:68" x14ac:dyDescent="0.3">
      <c r="BL426" s="45"/>
      <c r="BM426" s="45"/>
      <c r="BN426" s="45"/>
      <c r="BO426" s="45"/>
      <c r="BP426" s="45"/>
    </row>
    <row r="427" spans="64:68" x14ac:dyDescent="0.3">
      <c r="BL427" s="45"/>
      <c r="BM427" s="45"/>
      <c r="BN427" s="45"/>
      <c r="BO427" s="45"/>
      <c r="BP427" s="45"/>
    </row>
    <row r="428" spans="64:68" x14ac:dyDescent="0.3">
      <c r="BL428" s="45"/>
      <c r="BM428" s="45"/>
      <c r="BN428" s="45"/>
      <c r="BO428" s="45"/>
      <c r="BP428" s="45"/>
    </row>
    <row r="429" spans="64:68" x14ac:dyDescent="0.3">
      <c r="BL429" s="45"/>
      <c r="BM429" s="45"/>
      <c r="BN429" s="45"/>
      <c r="BO429" s="45"/>
      <c r="BP429" s="45"/>
    </row>
    <row r="430" spans="64:68" x14ac:dyDescent="0.3">
      <c r="BL430" s="45"/>
      <c r="BM430" s="45"/>
      <c r="BN430" s="45"/>
      <c r="BO430" s="45"/>
      <c r="BP430" s="45"/>
    </row>
    <row r="431" spans="64:68" x14ac:dyDescent="0.3">
      <c r="BL431" s="45"/>
      <c r="BM431" s="45"/>
      <c r="BN431" s="45"/>
      <c r="BO431" s="45"/>
      <c r="BP431" s="45"/>
    </row>
    <row r="432" spans="64:68" x14ac:dyDescent="0.3">
      <c r="BL432" s="45"/>
      <c r="BM432" s="45"/>
      <c r="BN432" s="45"/>
      <c r="BO432" s="45"/>
      <c r="BP432" s="45"/>
    </row>
    <row r="433" spans="64:68" x14ac:dyDescent="0.3">
      <c r="BL433" s="45"/>
      <c r="BM433" s="45"/>
      <c r="BN433" s="45"/>
      <c r="BO433" s="45"/>
      <c r="BP433" s="45"/>
    </row>
    <row r="434" spans="64:68" x14ac:dyDescent="0.3">
      <c r="BL434" s="45"/>
      <c r="BM434" s="45"/>
      <c r="BN434" s="45"/>
      <c r="BO434" s="45"/>
      <c r="BP434" s="45"/>
    </row>
    <row r="435" spans="64:68" x14ac:dyDescent="0.3">
      <c r="BL435" s="45"/>
      <c r="BM435" s="45"/>
      <c r="BN435" s="45"/>
      <c r="BO435" s="45"/>
      <c r="BP435" s="45"/>
    </row>
    <row r="436" spans="64:68" x14ac:dyDescent="0.3">
      <c r="BL436" s="45"/>
      <c r="BM436" s="45"/>
      <c r="BN436" s="45"/>
      <c r="BO436" s="45"/>
      <c r="BP436" s="45"/>
    </row>
    <row r="437" spans="64:68" x14ac:dyDescent="0.3">
      <c r="BL437" s="45"/>
      <c r="BM437" s="45"/>
      <c r="BN437" s="45"/>
      <c r="BO437" s="45"/>
      <c r="BP437" s="45"/>
    </row>
    <row r="438" spans="64:68" x14ac:dyDescent="0.3">
      <c r="BL438" s="45"/>
      <c r="BM438" s="45"/>
      <c r="BN438" s="45"/>
      <c r="BO438" s="45"/>
      <c r="BP438" s="45"/>
    </row>
    <row r="439" spans="64:68" x14ac:dyDescent="0.3">
      <c r="BL439" s="45"/>
      <c r="BM439" s="45"/>
      <c r="BN439" s="45"/>
      <c r="BO439" s="45"/>
      <c r="BP439" s="45"/>
    </row>
    <row r="440" spans="64:68" x14ac:dyDescent="0.3">
      <c r="BL440" s="45"/>
      <c r="BM440" s="45"/>
      <c r="BN440" s="45"/>
      <c r="BO440" s="45"/>
      <c r="BP440" s="45"/>
    </row>
    <row r="441" spans="64:68" x14ac:dyDescent="0.3">
      <c r="BL441" s="45"/>
      <c r="BM441" s="45"/>
      <c r="BN441" s="45"/>
      <c r="BO441" s="45"/>
      <c r="BP441" s="45"/>
    </row>
    <row r="442" spans="64:68" x14ac:dyDescent="0.3">
      <c r="BL442" s="45"/>
      <c r="BM442" s="45"/>
      <c r="BN442" s="45"/>
      <c r="BO442" s="45"/>
      <c r="BP442" s="45"/>
    </row>
    <row r="443" spans="64:68" x14ac:dyDescent="0.3">
      <c r="BL443" s="45"/>
      <c r="BM443" s="45"/>
      <c r="BN443" s="45"/>
      <c r="BO443" s="45"/>
      <c r="BP443" s="45"/>
    </row>
    <row r="444" spans="64:68" x14ac:dyDescent="0.3">
      <c r="BL444" s="45"/>
      <c r="BM444" s="45"/>
      <c r="BN444" s="45"/>
      <c r="BO444" s="45"/>
      <c r="BP444" s="45"/>
    </row>
    <row r="445" spans="64:68" x14ac:dyDescent="0.3">
      <c r="BL445" s="45"/>
      <c r="BM445" s="45"/>
      <c r="BN445" s="45"/>
      <c r="BO445" s="45"/>
      <c r="BP445" s="45"/>
    </row>
    <row r="446" spans="64:68" x14ac:dyDescent="0.3">
      <c r="BL446" s="45"/>
      <c r="BM446" s="45"/>
      <c r="BN446" s="45"/>
      <c r="BO446" s="45"/>
      <c r="BP446" s="45"/>
    </row>
    <row r="447" spans="64:68" x14ac:dyDescent="0.3">
      <c r="BL447" s="45"/>
      <c r="BM447" s="45"/>
      <c r="BN447" s="45"/>
      <c r="BO447" s="45"/>
      <c r="BP447" s="45"/>
    </row>
    <row r="448" spans="64:68" x14ac:dyDescent="0.3">
      <c r="BL448" s="45"/>
      <c r="BM448" s="45"/>
      <c r="BN448" s="45"/>
      <c r="BO448" s="45"/>
      <c r="BP448" s="45"/>
    </row>
    <row r="449" spans="64:68" x14ac:dyDescent="0.3">
      <c r="BL449" s="45"/>
      <c r="BM449" s="45"/>
      <c r="BN449" s="45"/>
      <c r="BO449" s="45"/>
      <c r="BP449" s="45"/>
    </row>
    <row r="450" spans="64:68" x14ac:dyDescent="0.3">
      <c r="BL450" s="45"/>
      <c r="BM450" s="45"/>
      <c r="BN450" s="45"/>
      <c r="BO450" s="45"/>
      <c r="BP450" s="45"/>
    </row>
    <row r="451" spans="64:68" x14ac:dyDescent="0.3">
      <c r="BL451" s="45"/>
      <c r="BM451" s="45"/>
      <c r="BN451" s="45"/>
      <c r="BO451" s="45"/>
      <c r="BP451" s="45"/>
    </row>
    <row r="452" spans="64:68" x14ac:dyDescent="0.3">
      <c r="BL452" s="45"/>
      <c r="BM452" s="45"/>
      <c r="BN452" s="45"/>
      <c r="BO452" s="45"/>
      <c r="BP452" s="45"/>
    </row>
    <row r="453" spans="64:68" x14ac:dyDescent="0.3">
      <c r="BL453" s="45"/>
      <c r="BM453" s="45"/>
      <c r="BN453" s="45"/>
      <c r="BO453" s="45"/>
      <c r="BP453" s="45"/>
    </row>
    <row r="454" spans="64:68" x14ac:dyDescent="0.3">
      <c r="BL454" s="45"/>
      <c r="BM454" s="45"/>
      <c r="BN454" s="45"/>
      <c r="BO454" s="45"/>
      <c r="BP454" s="45"/>
    </row>
    <row r="455" spans="64:68" x14ac:dyDescent="0.3">
      <c r="BL455" s="45"/>
      <c r="BM455" s="45"/>
      <c r="BN455" s="45"/>
      <c r="BO455" s="45"/>
      <c r="BP455" s="45"/>
    </row>
    <row r="456" spans="64:68" x14ac:dyDescent="0.3">
      <c r="BL456" s="45"/>
      <c r="BM456" s="45"/>
      <c r="BN456" s="45"/>
      <c r="BO456" s="45"/>
      <c r="BP456" s="45"/>
    </row>
    <row r="457" spans="64:68" x14ac:dyDescent="0.3">
      <c r="BL457" s="45"/>
      <c r="BM457" s="45"/>
      <c r="BN457" s="45"/>
      <c r="BO457" s="45"/>
      <c r="BP457" s="45"/>
    </row>
    <row r="458" spans="64:68" x14ac:dyDescent="0.3">
      <c r="BL458" s="45"/>
      <c r="BM458" s="45"/>
      <c r="BN458" s="45"/>
      <c r="BO458" s="45"/>
      <c r="BP458" s="45"/>
    </row>
    <row r="459" spans="64:68" x14ac:dyDescent="0.3">
      <c r="BL459" s="45"/>
      <c r="BM459" s="45"/>
      <c r="BN459" s="45"/>
      <c r="BO459" s="45"/>
      <c r="BP459" s="45"/>
    </row>
    <row r="460" spans="64:68" x14ac:dyDescent="0.3">
      <c r="BL460" s="45"/>
      <c r="BM460" s="45"/>
      <c r="BN460" s="45"/>
      <c r="BO460" s="45"/>
      <c r="BP460" s="45"/>
    </row>
    <row r="461" spans="64:68" x14ac:dyDescent="0.3">
      <c r="BL461" s="45"/>
      <c r="BM461" s="45"/>
      <c r="BN461" s="45"/>
      <c r="BO461" s="45"/>
      <c r="BP461" s="45"/>
    </row>
    <row r="462" spans="64:68" x14ac:dyDescent="0.3">
      <c r="BL462" s="45"/>
      <c r="BM462" s="45"/>
      <c r="BN462" s="45"/>
      <c r="BO462" s="45"/>
      <c r="BP462" s="45"/>
    </row>
    <row r="463" spans="64:68" x14ac:dyDescent="0.3">
      <c r="BL463" s="45"/>
      <c r="BM463" s="45"/>
      <c r="BN463" s="45"/>
      <c r="BO463" s="45"/>
      <c r="BP463" s="45"/>
    </row>
    <row r="464" spans="64:68" x14ac:dyDescent="0.3">
      <c r="BL464" s="45"/>
      <c r="BM464" s="45"/>
      <c r="BN464" s="45"/>
      <c r="BO464" s="45"/>
      <c r="BP464" s="45"/>
    </row>
    <row r="465" spans="64:68" x14ac:dyDescent="0.3">
      <c r="BL465" s="45"/>
      <c r="BM465" s="45"/>
      <c r="BN465" s="45"/>
      <c r="BO465" s="45"/>
      <c r="BP465" s="45"/>
    </row>
    <row r="466" spans="64:68" x14ac:dyDescent="0.3">
      <c r="BL466" s="45"/>
      <c r="BM466" s="45"/>
      <c r="BN466" s="45"/>
      <c r="BO466" s="45"/>
      <c r="BP466" s="45"/>
    </row>
    <row r="467" spans="64:68" x14ac:dyDescent="0.3">
      <c r="BL467" s="45"/>
      <c r="BM467" s="45"/>
      <c r="BN467" s="45"/>
      <c r="BO467" s="45"/>
      <c r="BP467" s="45"/>
    </row>
    <row r="468" spans="64:68" x14ac:dyDescent="0.3">
      <c r="BL468" s="45"/>
      <c r="BM468" s="45"/>
      <c r="BN468" s="45"/>
      <c r="BO468" s="45"/>
      <c r="BP468" s="45"/>
    </row>
    <row r="469" spans="64:68" x14ac:dyDescent="0.3">
      <c r="BL469" s="45"/>
      <c r="BM469" s="45"/>
      <c r="BN469" s="45"/>
      <c r="BO469" s="45"/>
      <c r="BP469" s="45"/>
    </row>
    <row r="470" spans="64:68" x14ac:dyDescent="0.3">
      <c r="BL470" s="45"/>
      <c r="BM470" s="45"/>
      <c r="BN470" s="45"/>
      <c r="BO470" s="45"/>
      <c r="BP470" s="45"/>
    </row>
    <row r="471" spans="64:68" x14ac:dyDescent="0.3">
      <c r="BL471" s="45"/>
      <c r="BM471" s="45"/>
      <c r="BN471" s="45"/>
      <c r="BO471" s="45"/>
      <c r="BP471" s="45"/>
    </row>
    <row r="472" spans="64:68" x14ac:dyDescent="0.3">
      <c r="BL472" s="45"/>
      <c r="BM472" s="45"/>
      <c r="BN472" s="45"/>
      <c r="BO472" s="45"/>
      <c r="BP472" s="45"/>
    </row>
    <row r="473" spans="64:68" x14ac:dyDescent="0.3">
      <c r="BL473" s="45"/>
      <c r="BM473" s="45"/>
      <c r="BN473" s="45"/>
      <c r="BO473" s="45"/>
      <c r="BP473" s="45"/>
    </row>
    <row r="474" spans="64:68" x14ac:dyDescent="0.3">
      <c r="BL474" s="45"/>
      <c r="BM474" s="45"/>
      <c r="BN474" s="45"/>
      <c r="BO474" s="45"/>
      <c r="BP474" s="45"/>
    </row>
    <row r="475" spans="64:68" x14ac:dyDescent="0.3">
      <c r="BL475" s="45"/>
      <c r="BM475" s="45"/>
      <c r="BN475" s="45"/>
      <c r="BO475" s="45"/>
      <c r="BP475" s="45"/>
    </row>
    <row r="476" spans="64:68" x14ac:dyDescent="0.3">
      <c r="BL476" s="45"/>
      <c r="BM476" s="45"/>
      <c r="BN476" s="45"/>
      <c r="BO476" s="45"/>
      <c r="BP476" s="45"/>
    </row>
    <row r="477" spans="64:68" x14ac:dyDescent="0.3">
      <c r="BL477" s="45"/>
      <c r="BM477" s="45"/>
      <c r="BN477" s="45"/>
      <c r="BO477" s="45"/>
      <c r="BP477" s="45"/>
    </row>
    <row r="478" spans="64:68" x14ac:dyDescent="0.3">
      <c r="BL478" s="45"/>
      <c r="BM478" s="45"/>
      <c r="BN478" s="45"/>
      <c r="BO478" s="45"/>
      <c r="BP478" s="45"/>
    </row>
    <row r="479" spans="64:68" x14ac:dyDescent="0.3">
      <c r="BL479" s="45"/>
      <c r="BM479" s="45"/>
      <c r="BN479" s="45"/>
      <c r="BO479" s="45"/>
      <c r="BP479" s="45"/>
    </row>
    <row r="480" spans="64:68" x14ac:dyDescent="0.3">
      <c r="BL480" s="45"/>
      <c r="BM480" s="45"/>
      <c r="BN480" s="45"/>
      <c r="BO480" s="45"/>
      <c r="BP480" s="45"/>
    </row>
    <row r="481" spans="64:68" x14ac:dyDescent="0.3">
      <c r="BL481" s="45"/>
      <c r="BM481" s="45"/>
      <c r="BN481" s="45"/>
      <c r="BO481" s="45"/>
      <c r="BP481" s="45"/>
    </row>
    <row r="482" spans="64:68" x14ac:dyDescent="0.3">
      <c r="BL482" s="45"/>
      <c r="BM482" s="45"/>
      <c r="BN482" s="45"/>
      <c r="BO482" s="45"/>
      <c r="BP482" s="45"/>
    </row>
    <row r="483" spans="64:68" x14ac:dyDescent="0.3">
      <c r="BL483" s="45"/>
      <c r="BM483" s="45"/>
      <c r="BN483" s="45"/>
      <c r="BO483" s="45"/>
      <c r="BP483" s="45"/>
    </row>
    <row r="484" spans="64:68" x14ac:dyDescent="0.3">
      <c r="BL484" s="45"/>
      <c r="BM484" s="45"/>
      <c r="BN484" s="45"/>
      <c r="BO484" s="45"/>
      <c r="BP484" s="45"/>
    </row>
    <row r="485" spans="64:68" x14ac:dyDescent="0.3">
      <c r="BL485" s="45"/>
      <c r="BM485" s="45"/>
      <c r="BN485" s="45"/>
      <c r="BO485" s="45"/>
      <c r="BP485" s="45"/>
    </row>
    <row r="486" spans="64:68" x14ac:dyDescent="0.3">
      <c r="BL486" s="45"/>
      <c r="BM486" s="45"/>
      <c r="BN486" s="45"/>
      <c r="BO486" s="45"/>
      <c r="BP486" s="45"/>
    </row>
    <row r="487" spans="64:68" x14ac:dyDescent="0.3">
      <c r="BL487" s="45"/>
      <c r="BM487" s="45"/>
      <c r="BN487" s="45"/>
      <c r="BO487" s="45"/>
      <c r="BP487" s="45"/>
    </row>
    <row r="488" spans="64:68" x14ac:dyDescent="0.3">
      <c r="BL488" s="45"/>
      <c r="BM488" s="45"/>
      <c r="BN488" s="45"/>
      <c r="BO488" s="45"/>
      <c r="BP488" s="45"/>
    </row>
    <row r="489" spans="64:68" x14ac:dyDescent="0.3">
      <c r="BL489" s="45"/>
      <c r="BM489" s="45"/>
      <c r="BN489" s="45"/>
      <c r="BO489" s="45"/>
      <c r="BP489" s="45"/>
    </row>
    <row r="490" spans="64:68" x14ac:dyDescent="0.3">
      <c r="BL490" s="45"/>
      <c r="BM490" s="45"/>
      <c r="BN490" s="45"/>
      <c r="BO490" s="45"/>
      <c r="BP490" s="45"/>
    </row>
    <row r="491" spans="64:68" x14ac:dyDescent="0.3">
      <c r="BL491" s="45"/>
      <c r="BM491" s="45"/>
      <c r="BN491" s="45"/>
      <c r="BO491" s="45"/>
      <c r="BP491" s="45"/>
    </row>
    <row r="492" spans="64:68" x14ac:dyDescent="0.3">
      <c r="BL492" s="45"/>
      <c r="BM492" s="45"/>
      <c r="BN492" s="45"/>
      <c r="BO492" s="45"/>
      <c r="BP492" s="45"/>
    </row>
    <row r="493" spans="64:68" x14ac:dyDescent="0.3">
      <c r="BL493" s="45"/>
      <c r="BM493" s="45"/>
      <c r="BN493" s="45"/>
      <c r="BO493" s="45"/>
      <c r="BP493" s="45"/>
    </row>
    <row r="494" spans="64:68" x14ac:dyDescent="0.3">
      <c r="BL494" s="45"/>
      <c r="BM494" s="45"/>
      <c r="BN494" s="45"/>
      <c r="BO494" s="45"/>
      <c r="BP494" s="45"/>
    </row>
    <row r="495" spans="64:68" x14ac:dyDescent="0.3">
      <c r="BL495" s="45"/>
      <c r="BM495" s="45"/>
      <c r="BN495" s="45"/>
      <c r="BO495" s="45"/>
      <c r="BP495" s="45"/>
    </row>
    <row r="496" spans="64:68" x14ac:dyDescent="0.3">
      <c r="BL496" s="45"/>
      <c r="BM496" s="45"/>
      <c r="BN496" s="45"/>
      <c r="BO496" s="45"/>
      <c r="BP496" s="45"/>
    </row>
    <row r="497" spans="64:68" x14ac:dyDescent="0.3">
      <c r="BL497" s="45"/>
      <c r="BM497" s="45"/>
      <c r="BN497" s="45"/>
      <c r="BO497" s="45"/>
      <c r="BP497" s="45"/>
    </row>
    <row r="498" spans="64:68" x14ac:dyDescent="0.3">
      <c r="BL498" s="45"/>
      <c r="BM498" s="45"/>
      <c r="BN498" s="45"/>
      <c r="BO498" s="45"/>
      <c r="BP498" s="45"/>
    </row>
    <row r="499" spans="64:68" x14ac:dyDescent="0.3">
      <c r="BL499" s="45"/>
      <c r="BM499" s="45"/>
      <c r="BN499" s="45"/>
      <c r="BO499" s="45"/>
      <c r="BP499" s="45"/>
    </row>
    <row r="500" spans="64:68" x14ac:dyDescent="0.3">
      <c r="BL500" s="45"/>
      <c r="BM500" s="45"/>
      <c r="BN500" s="45"/>
      <c r="BO500" s="45"/>
      <c r="BP500" s="45"/>
    </row>
    <row r="501" spans="64:68" x14ac:dyDescent="0.3">
      <c r="BL501" s="45"/>
      <c r="BM501" s="45"/>
      <c r="BN501" s="45"/>
      <c r="BO501" s="45"/>
      <c r="BP501" s="45"/>
    </row>
    <row r="502" spans="64:68" x14ac:dyDescent="0.3">
      <c r="BL502" s="45"/>
      <c r="BM502" s="45"/>
      <c r="BN502" s="45"/>
      <c r="BO502" s="45"/>
      <c r="BP502" s="45"/>
    </row>
    <row r="503" spans="64:68" x14ac:dyDescent="0.3">
      <c r="BL503" s="45"/>
      <c r="BM503" s="45"/>
      <c r="BN503" s="45"/>
      <c r="BO503" s="45"/>
      <c r="BP503" s="45"/>
    </row>
    <row r="504" spans="64:68" x14ac:dyDescent="0.3">
      <c r="BL504" s="45"/>
      <c r="BM504" s="45"/>
      <c r="BN504" s="45"/>
      <c r="BO504" s="45"/>
      <c r="BP504" s="45"/>
    </row>
    <row r="505" spans="64:68" x14ac:dyDescent="0.3">
      <c r="BL505" s="45"/>
      <c r="BM505" s="45"/>
      <c r="BN505" s="45"/>
      <c r="BO505" s="45"/>
      <c r="BP505" s="45"/>
    </row>
    <row r="506" spans="64:68" x14ac:dyDescent="0.3">
      <c r="BL506" s="45"/>
      <c r="BM506" s="45"/>
      <c r="BN506" s="45"/>
      <c r="BO506" s="45"/>
      <c r="BP506" s="45"/>
    </row>
    <row r="507" spans="64:68" x14ac:dyDescent="0.3">
      <c r="BL507" s="45"/>
      <c r="BM507" s="45"/>
      <c r="BN507" s="45"/>
      <c r="BO507" s="45"/>
      <c r="BP507" s="45"/>
    </row>
    <row r="508" spans="64:68" x14ac:dyDescent="0.3">
      <c r="BL508" s="45"/>
      <c r="BM508" s="45"/>
      <c r="BN508" s="45"/>
      <c r="BO508" s="45"/>
      <c r="BP508" s="45"/>
    </row>
    <row r="509" spans="64:68" x14ac:dyDescent="0.3">
      <c r="BL509" s="45"/>
      <c r="BM509" s="45"/>
      <c r="BN509" s="45"/>
      <c r="BO509" s="45"/>
      <c r="BP509" s="45"/>
    </row>
    <row r="510" spans="64:68" x14ac:dyDescent="0.3">
      <c r="BL510" s="45"/>
      <c r="BM510" s="45"/>
      <c r="BN510" s="45"/>
      <c r="BO510" s="45"/>
      <c r="BP510" s="45"/>
    </row>
    <row r="511" spans="64:68" x14ac:dyDescent="0.3">
      <c r="BL511" s="45"/>
      <c r="BM511" s="45"/>
      <c r="BN511" s="45"/>
      <c r="BO511" s="45"/>
      <c r="BP511" s="45"/>
    </row>
    <row r="512" spans="64:68" x14ac:dyDescent="0.3">
      <c r="BL512" s="45"/>
      <c r="BM512" s="45"/>
      <c r="BN512" s="45"/>
      <c r="BO512" s="45"/>
      <c r="BP512" s="45"/>
    </row>
    <row r="513" spans="64:68" x14ac:dyDescent="0.3">
      <c r="BL513" s="45"/>
      <c r="BM513" s="45"/>
      <c r="BN513" s="45"/>
      <c r="BO513" s="45"/>
      <c r="BP513" s="45"/>
    </row>
    <row r="514" spans="64:68" x14ac:dyDescent="0.3">
      <c r="BL514" s="45"/>
      <c r="BM514" s="45"/>
      <c r="BN514" s="45"/>
      <c r="BO514" s="45"/>
      <c r="BP514" s="45"/>
    </row>
    <row r="515" spans="64:68" x14ac:dyDescent="0.3">
      <c r="BL515" s="45"/>
      <c r="BM515" s="45"/>
      <c r="BN515" s="45"/>
      <c r="BO515" s="45"/>
      <c r="BP515" s="45"/>
    </row>
    <row r="516" spans="64:68" x14ac:dyDescent="0.3">
      <c r="BL516" s="45"/>
      <c r="BM516" s="45"/>
      <c r="BN516" s="45"/>
      <c r="BO516" s="45"/>
      <c r="BP516" s="45"/>
    </row>
    <row r="517" spans="64:68" x14ac:dyDescent="0.3">
      <c r="BL517" s="45"/>
      <c r="BM517" s="45"/>
      <c r="BN517" s="45"/>
      <c r="BO517" s="45"/>
      <c r="BP517" s="45"/>
    </row>
    <row r="518" spans="64:68" x14ac:dyDescent="0.3">
      <c r="BL518" s="45"/>
      <c r="BM518" s="45"/>
      <c r="BN518" s="45"/>
      <c r="BO518" s="45"/>
      <c r="BP518" s="45"/>
    </row>
    <row r="519" spans="64:68" x14ac:dyDescent="0.3">
      <c r="BL519" s="45"/>
      <c r="BM519" s="45"/>
      <c r="BN519" s="45"/>
      <c r="BO519" s="45"/>
      <c r="BP519" s="45"/>
    </row>
    <row r="520" spans="64:68" x14ac:dyDescent="0.3">
      <c r="BL520" s="45"/>
      <c r="BM520" s="45"/>
      <c r="BN520" s="45"/>
      <c r="BO520" s="45"/>
      <c r="BP520" s="45"/>
    </row>
    <row r="521" spans="64:68" x14ac:dyDescent="0.3">
      <c r="BL521" s="45"/>
      <c r="BM521" s="45"/>
      <c r="BN521" s="45"/>
      <c r="BO521" s="45"/>
      <c r="BP521" s="45"/>
    </row>
    <row r="522" spans="64:68" x14ac:dyDescent="0.3">
      <c r="BL522" s="45"/>
      <c r="BM522" s="45"/>
      <c r="BN522" s="45"/>
      <c r="BO522" s="45"/>
      <c r="BP522" s="45"/>
    </row>
    <row r="523" spans="64:68" x14ac:dyDescent="0.3">
      <c r="BL523" s="45"/>
      <c r="BM523" s="45"/>
      <c r="BN523" s="45"/>
      <c r="BO523" s="45"/>
      <c r="BP523" s="45"/>
    </row>
    <row r="524" spans="64:68" x14ac:dyDescent="0.3">
      <c r="BL524" s="45"/>
      <c r="BM524" s="45"/>
      <c r="BN524" s="45"/>
      <c r="BO524" s="45"/>
      <c r="BP524" s="45"/>
    </row>
    <row r="525" spans="64:68" x14ac:dyDescent="0.3">
      <c r="BL525" s="45"/>
      <c r="BM525" s="45"/>
      <c r="BN525" s="45"/>
      <c r="BO525" s="45"/>
      <c r="BP525" s="45"/>
    </row>
    <row r="526" spans="64:68" x14ac:dyDescent="0.3">
      <c r="BL526" s="45"/>
      <c r="BM526" s="45"/>
      <c r="BN526" s="45"/>
      <c r="BO526" s="45"/>
      <c r="BP526" s="45"/>
    </row>
    <row r="527" spans="64:68" x14ac:dyDescent="0.3">
      <c r="BL527" s="45"/>
      <c r="BM527" s="45"/>
      <c r="BN527" s="45"/>
      <c r="BO527" s="45"/>
      <c r="BP527" s="45"/>
    </row>
    <row r="528" spans="64:68" x14ac:dyDescent="0.3">
      <c r="BL528" s="45"/>
      <c r="BM528" s="45"/>
      <c r="BN528" s="45"/>
      <c r="BO528" s="45"/>
      <c r="BP528" s="45"/>
    </row>
    <row r="529" spans="64:68" x14ac:dyDescent="0.3">
      <c r="BL529" s="45"/>
      <c r="BM529" s="45"/>
      <c r="BN529" s="45"/>
      <c r="BO529" s="45"/>
      <c r="BP529" s="45"/>
    </row>
    <row r="530" spans="64:68" x14ac:dyDescent="0.3">
      <c r="BL530" s="45"/>
      <c r="BM530" s="45"/>
      <c r="BN530" s="45"/>
      <c r="BO530" s="45"/>
      <c r="BP530" s="45"/>
    </row>
    <row r="531" spans="64:68" x14ac:dyDescent="0.3">
      <c r="BL531" s="45"/>
      <c r="BM531" s="45"/>
      <c r="BN531" s="45"/>
      <c r="BO531" s="45"/>
      <c r="BP531" s="45"/>
    </row>
    <row r="532" spans="64:68" x14ac:dyDescent="0.3">
      <c r="BL532" s="45"/>
      <c r="BM532" s="45"/>
      <c r="BN532" s="45"/>
      <c r="BO532" s="45"/>
      <c r="BP532" s="45"/>
    </row>
    <row r="533" spans="64:68" x14ac:dyDescent="0.3">
      <c r="BL533" s="45"/>
      <c r="BM533" s="45"/>
      <c r="BN533" s="45"/>
      <c r="BO533" s="45"/>
      <c r="BP533" s="45"/>
    </row>
    <row r="534" spans="64:68" x14ac:dyDescent="0.3">
      <c r="BL534" s="45"/>
      <c r="BM534" s="45"/>
      <c r="BN534" s="45"/>
      <c r="BO534" s="45"/>
      <c r="BP534" s="45"/>
    </row>
    <row r="535" spans="64:68" x14ac:dyDescent="0.3">
      <c r="BL535" s="45"/>
      <c r="BM535" s="45"/>
      <c r="BN535" s="45"/>
      <c r="BO535" s="45"/>
      <c r="BP535" s="45"/>
    </row>
    <row r="536" spans="64:68" x14ac:dyDescent="0.3">
      <c r="BL536" s="45"/>
      <c r="BM536" s="45"/>
      <c r="BN536" s="45"/>
      <c r="BO536" s="45"/>
      <c r="BP536" s="45"/>
    </row>
    <row r="537" spans="64:68" x14ac:dyDescent="0.3">
      <c r="BL537" s="45"/>
      <c r="BM537" s="45"/>
      <c r="BN537" s="45"/>
      <c r="BO537" s="45"/>
      <c r="BP537" s="45"/>
    </row>
    <row r="538" spans="64:68" x14ac:dyDescent="0.3">
      <c r="BL538" s="45"/>
      <c r="BM538" s="45"/>
      <c r="BN538" s="45"/>
      <c r="BO538" s="45"/>
      <c r="BP538" s="45"/>
    </row>
    <row r="539" spans="64:68" x14ac:dyDescent="0.3">
      <c r="BL539" s="45"/>
      <c r="BM539" s="45"/>
      <c r="BN539" s="45"/>
      <c r="BO539" s="45"/>
      <c r="BP539" s="45"/>
    </row>
    <row r="540" spans="64:68" x14ac:dyDescent="0.3">
      <c r="BL540" s="45"/>
      <c r="BM540" s="45"/>
      <c r="BN540" s="45"/>
      <c r="BO540" s="45"/>
      <c r="BP540" s="45"/>
    </row>
    <row r="541" spans="64:68" x14ac:dyDescent="0.3">
      <c r="BL541" s="45"/>
      <c r="BM541" s="45"/>
      <c r="BN541" s="45"/>
      <c r="BO541" s="45"/>
      <c r="BP541" s="45"/>
    </row>
    <row r="542" spans="64:68" x14ac:dyDescent="0.3">
      <c r="BL542" s="45"/>
      <c r="BM542" s="45"/>
      <c r="BN542" s="45"/>
      <c r="BO542" s="45"/>
      <c r="BP542" s="45"/>
    </row>
    <row r="543" spans="64:68" x14ac:dyDescent="0.3">
      <c r="BL543" s="45"/>
      <c r="BM543" s="45"/>
      <c r="BN543" s="45"/>
      <c r="BO543" s="45"/>
      <c r="BP543" s="45"/>
    </row>
    <row r="544" spans="64:68" x14ac:dyDescent="0.3">
      <c r="BL544" s="45"/>
      <c r="BM544" s="45"/>
      <c r="BN544" s="45"/>
      <c r="BO544" s="45"/>
      <c r="BP544" s="45"/>
    </row>
    <row r="545" spans="64:68" x14ac:dyDescent="0.3">
      <c r="BL545" s="45"/>
      <c r="BM545" s="45"/>
      <c r="BN545" s="45"/>
      <c r="BO545" s="45"/>
      <c r="BP545" s="45"/>
    </row>
    <row r="546" spans="64:68" x14ac:dyDescent="0.3">
      <c r="BL546" s="45"/>
      <c r="BM546" s="45"/>
      <c r="BN546" s="45"/>
      <c r="BO546" s="45"/>
      <c r="BP546" s="45"/>
    </row>
    <row r="547" spans="64:68" x14ac:dyDescent="0.3">
      <c r="BL547" s="45"/>
      <c r="BM547" s="45"/>
      <c r="BN547" s="45"/>
      <c r="BO547" s="45"/>
      <c r="BP547" s="45"/>
    </row>
    <row r="548" spans="64:68" x14ac:dyDescent="0.3">
      <c r="BL548" s="45"/>
      <c r="BM548" s="45"/>
      <c r="BN548" s="45"/>
      <c r="BO548" s="45"/>
      <c r="BP548" s="45"/>
    </row>
    <row r="549" spans="64:68" x14ac:dyDescent="0.3">
      <c r="BL549" s="45"/>
      <c r="BM549" s="45"/>
      <c r="BN549" s="45"/>
      <c r="BO549" s="45"/>
      <c r="BP549" s="45"/>
    </row>
    <row r="550" spans="64:68" x14ac:dyDescent="0.3">
      <c r="BL550" s="45"/>
      <c r="BM550" s="45"/>
      <c r="BN550" s="45"/>
      <c r="BO550" s="45"/>
      <c r="BP550" s="45"/>
    </row>
    <row r="551" spans="64:68" x14ac:dyDescent="0.3">
      <c r="BL551" s="45"/>
      <c r="BM551" s="45"/>
      <c r="BN551" s="45"/>
      <c r="BO551" s="45"/>
      <c r="BP551" s="45"/>
    </row>
    <row r="552" spans="64:68" x14ac:dyDescent="0.3">
      <c r="BL552" s="45"/>
      <c r="BM552" s="45"/>
      <c r="BN552" s="45"/>
      <c r="BO552" s="45"/>
      <c r="BP552" s="45"/>
    </row>
    <row r="553" spans="64:68" x14ac:dyDescent="0.3">
      <c r="BL553" s="45"/>
      <c r="BM553" s="45"/>
      <c r="BN553" s="45"/>
      <c r="BO553" s="45"/>
      <c r="BP553" s="45"/>
    </row>
    <row r="554" spans="64:68" x14ac:dyDescent="0.3">
      <c r="BL554" s="45"/>
      <c r="BM554" s="45"/>
      <c r="BN554" s="45"/>
      <c r="BO554" s="45"/>
      <c r="BP554" s="45"/>
    </row>
    <row r="555" spans="64:68" x14ac:dyDescent="0.3">
      <c r="BL555" s="45"/>
      <c r="BM555" s="45"/>
      <c r="BN555" s="45"/>
      <c r="BO555" s="45"/>
      <c r="BP555" s="45"/>
    </row>
    <row r="556" spans="64:68" x14ac:dyDescent="0.3">
      <c r="BL556" s="45"/>
      <c r="BM556" s="45"/>
      <c r="BN556" s="45"/>
      <c r="BO556" s="45"/>
      <c r="BP556" s="45"/>
    </row>
    <row r="557" spans="64:68" x14ac:dyDescent="0.3">
      <c r="BL557" s="45"/>
      <c r="BM557" s="45"/>
      <c r="BN557" s="45"/>
      <c r="BO557" s="45"/>
      <c r="BP557" s="45"/>
    </row>
    <row r="558" spans="64:68" x14ac:dyDescent="0.3">
      <c r="BL558" s="45"/>
      <c r="BM558" s="45"/>
      <c r="BN558" s="45"/>
      <c r="BO558" s="45"/>
      <c r="BP558" s="45"/>
    </row>
    <row r="559" spans="64:68" x14ac:dyDescent="0.3">
      <c r="BL559" s="45"/>
      <c r="BM559" s="45"/>
      <c r="BN559" s="45"/>
      <c r="BO559" s="45"/>
      <c r="BP559" s="45"/>
    </row>
    <row r="560" spans="64:68" x14ac:dyDescent="0.3">
      <c r="BL560" s="45"/>
      <c r="BM560" s="45"/>
      <c r="BN560" s="45"/>
      <c r="BO560" s="45"/>
      <c r="BP560" s="45"/>
    </row>
    <row r="561" spans="64:68" x14ac:dyDescent="0.3">
      <c r="BL561" s="45"/>
      <c r="BM561" s="45"/>
      <c r="BN561" s="45"/>
      <c r="BO561" s="45"/>
      <c r="BP561" s="45"/>
    </row>
    <row r="562" spans="64:68" x14ac:dyDescent="0.3">
      <c r="BL562" s="45"/>
      <c r="BM562" s="45"/>
      <c r="BN562" s="45"/>
      <c r="BO562" s="45"/>
      <c r="BP562" s="45"/>
    </row>
    <row r="563" spans="64:68" x14ac:dyDescent="0.3">
      <c r="BL563" s="45"/>
      <c r="BM563" s="45"/>
      <c r="BN563" s="45"/>
      <c r="BO563" s="45"/>
      <c r="BP563" s="45"/>
    </row>
    <row r="564" spans="64:68" x14ac:dyDescent="0.3">
      <c r="BL564" s="45"/>
      <c r="BM564" s="45"/>
      <c r="BN564" s="45"/>
      <c r="BO564" s="45"/>
      <c r="BP564" s="45"/>
    </row>
    <row r="565" spans="64:68" x14ac:dyDescent="0.3">
      <c r="BL565" s="45"/>
      <c r="BM565" s="45"/>
      <c r="BN565" s="45"/>
      <c r="BO565" s="45"/>
      <c r="BP565" s="45"/>
    </row>
    <row r="566" spans="64:68" x14ac:dyDescent="0.3">
      <c r="BL566" s="45"/>
      <c r="BM566" s="45"/>
      <c r="BN566" s="45"/>
      <c r="BO566" s="45"/>
      <c r="BP566" s="45"/>
    </row>
    <row r="567" spans="64:68" x14ac:dyDescent="0.3">
      <c r="BL567" s="45"/>
      <c r="BM567" s="45"/>
      <c r="BN567" s="45"/>
      <c r="BO567" s="45"/>
      <c r="BP567" s="45"/>
    </row>
    <row r="568" spans="64:68" x14ac:dyDescent="0.3">
      <c r="BL568" s="45"/>
      <c r="BM568" s="45"/>
      <c r="BN568" s="45"/>
      <c r="BO568" s="45"/>
      <c r="BP568" s="45"/>
    </row>
    <row r="569" spans="64:68" x14ac:dyDescent="0.3">
      <c r="BL569" s="45"/>
      <c r="BM569" s="45"/>
      <c r="BN569" s="45"/>
      <c r="BO569" s="45"/>
      <c r="BP569" s="45"/>
    </row>
    <row r="570" spans="64:68" x14ac:dyDescent="0.3">
      <c r="BL570" s="45"/>
      <c r="BM570" s="45"/>
      <c r="BN570" s="45"/>
      <c r="BO570" s="45"/>
      <c r="BP570" s="45"/>
    </row>
    <row r="571" spans="64:68" x14ac:dyDescent="0.3">
      <c r="BL571" s="45"/>
      <c r="BM571" s="45"/>
      <c r="BN571" s="45"/>
      <c r="BO571" s="45"/>
      <c r="BP571" s="45"/>
    </row>
    <row r="572" spans="64:68" x14ac:dyDescent="0.3">
      <c r="BL572" s="45"/>
      <c r="BM572" s="45"/>
      <c r="BN572" s="45"/>
      <c r="BO572" s="45"/>
      <c r="BP572" s="45"/>
    </row>
    <row r="573" spans="64:68" x14ac:dyDescent="0.3">
      <c r="BL573" s="45"/>
      <c r="BM573" s="45"/>
      <c r="BN573" s="45"/>
      <c r="BO573" s="45"/>
      <c r="BP573" s="45"/>
    </row>
    <row r="574" spans="64:68" x14ac:dyDescent="0.3">
      <c r="BL574" s="45"/>
      <c r="BM574" s="45"/>
      <c r="BN574" s="45"/>
      <c r="BO574" s="45"/>
      <c r="BP574" s="45"/>
    </row>
    <row r="575" spans="64:68" x14ac:dyDescent="0.3">
      <c r="BL575" s="45"/>
      <c r="BM575" s="45"/>
      <c r="BN575" s="45"/>
      <c r="BO575" s="45"/>
      <c r="BP575" s="45"/>
    </row>
    <row r="576" spans="64:68" x14ac:dyDescent="0.3">
      <c r="BL576" s="45"/>
      <c r="BM576" s="45"/>
      <c r="BN576" s="45"/>
      <c r="BO576" s="45"/>
      <c r="BP576" s="45"/>
    </row>
    <row r="577" spans="64:68" x14ac:dyDescent="0.3">
      <c r="BL577" s="45"/>
      <c r="BM577" s="45"/>
      <c r="BN577" s="45"/>
      <c r="BO577" s="45"/>
      <c r="BP577" s="45"/>
    </row>
    <row r="578" spans="64:68" x14ac:dyDescent="0.3">
      <c r="BL578" s="45"/>
      <c r="BM578" s="45"/>
      <c r="BN578" s="45"/>
      <c r="BO578" s="45"/>
      <c r="BP578" s="45"/>
    </row>
    <row r="579" spans="64:68" x14ac:dyDescent="0.3">
      <c r="BL579" s="45"/>
      <c r="BM579" s="45"/>
      <c r="BN579" s="45"/>
      <c r="BO579" s="45"/>
      <c r="BP579" s="45"/>
    </row>
    <row r="580" spans="64:68" x14ac:dyDescent="0.3">
      <c r="BL580" s="45"/>
      <c r="BM580" s="45"/>
      <c r="BN580" s="45"/>
      <c r="BO580" s="45"/>
      <c r="BP580" s="45"/>
    </row>
    <row r="581" spans="64:68" x14ac:dyDescent="0.3">
      <c r="BL581" s="45"/>
      <c r="BM581" s="45"/>
      <c r="BN581" s="45"/>
      <c r="BO581" s="45"/>
      <c r="BP581" s="45"/>
    </row>
    <row r="582" spans="64:68" x14ac:dyDescent="0.3">
      <c r="BL582" s="45"/>
      <c r="BM582" s="45"/>
      <c r="BN582" s="45"/>
      <c r="BO582" s="45"/>
      <c r="BP582" s="45"/>
    </row>
    <row r="583" spans="64:68" x14ac:dyDescent="0.3">
      <c r="BL583" s="45"/>
      <c r="BM583" s="45"/>
      <c r="BN583" s="45"/>
      <c r="BO583" s="45"/>
      <c r="BP583" s="45"/>
    </row>
    <row r="584" spans="64:68" x14ac:dyDescent="0.3">
      <c r="BL584" s="45"/>
      <c r="BM584" s="45"/>
      <c r="BN584" s="45"/>
      <c r="BO584" s="45"/>
      <c r="BP584" s="45"/>
    </row>
    <row r="585" spans="64:68" x14ac:dyDescent="0.3">
      <c r="BL585" s="45"/>
      <c r="BM585" s="45"/>
      <c r="BN585" s="45"/>
      <c r="BO585" s="45"/>
      <c r="BP585" s="45"/>
    </row>
    <row r="586" spans="64:68" x14ac:dyDescent="0.3">
      <c r="BL586" s="45"/>
      <c r="BM586" s="45"/>
      <c r="BN586" s="45"/>
      <c r="BO586" s="45"/>
      <c r="BP586" s="45"/>
    </row>
    <row r="587" spans="64:68" x14ac:dyDescent="0.3">
      <c r="BL587" s="45"/>
      <c r="BM587" s="45"/>
      <c r="BN587" s="45"/>
      <c r="BO587" s="45"/>
      <c r="BP587" s="45"/>
    </row>
    <row r="588" spans="64:68" x14ac:dyDescent="0.3">
      <c r="BL588" s="45"/>
      <c r="BM588" s="45"/>
      <c r="BN588" s="45"/>
      <c r="BO588" s="45"/>
      <c r="BP588" s="45"/>
    </row>
    <row r="589" spans="64:68" x14ac:dyDescent="0.3">
      <c r="BL589" s="45"/>
      <c r="BM589" s="45"/>
      <c r="BN589" s="45"/>
      <c r="BO589" s="45"/>
      <c r="BP589" s="45"/>
    </row>
    <row r="590" spans="64:68" x14ac:dyDescent="0.3">
      <c r="BL590" s="45"/>
      <c r="BM590" s="45"/>
      <c r="BN590" s="45"/>
      <c r="BO590" s="45"/>
      <c r="BP590" s="45"/>
    </row>
    <row r="591" spans="64:68" x14ac:dyDescent="0.3">
      <c r="BL591" s="45"/>
      <c r="BM591" s="45"/>
      <c r="BN591" s="45"/>
      <c r="BO591" s="45"/>
      <c r="BP591" s="45"/>
    </row>
    <row r="592" spans="64:68" x14ac:dyDescent="0.3">
      <c r="BL592" s="45"/>
      <c r="BM592" s="45"/>
      <c r="BN592" s="45"/>
      <c r="BO592" s="45"/>
      <c r="BP592" s="45"/>
    </row>
    <row r="593" spans="64:68" x14ac:dyDescent="0.3">
      <c r="BL593" s="45"/>
      <c r="BM593" s="45"/>
      <c r="BN593" s="45"/>
      <c r="BO593" s="45"/>
      <c r="BP593" s="45"/>
    </row>
    <row r="594" spans="64:68" x14ac:dyDescent="0.3">
      <c r="BL594" s="45"/>
      <c r="BM594" s="45"/>
      <c r="BN594" s="45"/>
      <c r="BO594" s="45"/>
      <c r="BP594" s="45"/>
    </row>
    <row r="595" spans="64:68" x14ac:dyDescent="0.3">
      <c r="BL595" s="45"/>
      <c r="BM595" s="45"/>
      <c r="BN595" s="45"/>
      <c r="BO595" s="45"/>
      <c r="BP595" s="45"/>
    </row>
    <row r="596" spans="64:68" x14ac:dyDescent="0.3">
      <c r="BL596" s="45"/>
      <c r="BM596" s="45"/>
      <c r="BN596" s="45"/>
      <c r="BO596" s="45"/>
      <c r="BP596" s="45"/>
    </row>
    <row r="597" spans="64:68" x14ac:dyDescent="0.3">
      <c r="BL597" s="45"/>
      <c r="BM597" s="45"/>
      <c r="BN597" s="45"/>
      <c r="BO597" s="45"/>
      <c r="BP597" s="45"/>
    </row>
    <row r="598" spans="64:68" x14ac:dyDescent="0.3">
      <c r="BL598" s="45"/>
      <c r="BM598" s="45"/>
      <c r="BN598" s="45"/>
      <c r="BO598" s="45"/>
      <c r="BP598" s="45"/>
    </row>
    <row r="599" spans="64:68" x14ac:dyDescent="0.3">
      <c r="BL599" s="45"/>
      <c r="BM599" s="45"/>
      <c r="BN599" s="45"/>
      <c r="BO599" s="45"/>
      <c r="BP599" s="45"/>
    </row>
    <row r="600" spans="64:68" x14ac:dyDescent="0.3">
      <c r="BL600" s="45"/>
      <c r="BM600" s="45"/>
      <c r="BN600" s="45"/>
      <c r="BO600" s="45"/>
      <c r="BP600" s="45"/>
    </row>
    <row r="601" spans="64:68" x14ac:dyDescent="0.3">
      <c r="BL601" s="45"/>
      <c r="BM601" s="45"/>
      <c r="BN601" s="45"/>
      <c r="BO601" s="45"/>
      <c r="BP601" s="45"/>
    </row>
    <row r="602" spans="64:68" x14ac:dyDescent="0.3">
      <c r="BL602" s="45"/>
      <c r="BM602" s="45"/>
      <c r="BN602" s="45"/>
      <c r="BO602" s="45"/>
      <c r="BP602" s="45"/>
    </row>
    <row r="603" spans="64:68" x14ac:dyDescent="0.3">
      <c r="BL603" s="45"/>
      <c r="BM603" s="45"/>
      <c r="BN603" s="45"/>
      <c r="BO603" s="45"/>
      <c r="BP603" s="45"/>
    </row>
    <row r="604" spans="64:68" x14ac:dyDescent="0.3">
      <c r="BL604" s="45"/>
      <c r="BM604" s="45"/>
      <c r="BN604" s="45"/>
      <c r="BO604" s="45"/>
      <c r="BP604" s="45"/>
    </row>
    <row r="605" spans="64:68" x14ac:dyDescent="0.3">
      <c r="BL605" s="45"/>
      <c r="BM605" s="45"/>
      <c r="BN605" s="45"/>
      <c r="BO605" s="45"/>
      <c r="BP605" s="45"/>
    </row>
    <row r="606" spans="64:68" x14ac:dyDescent="0.3">
      <c r="BL606" s="45"/>
      <c r="BM606" s="45"/>
      <c r="BN606" s="45"/>
      <c r="BO606" s="45"/>
      <c r="BP606" s="45"/>
    </row>
    <row r="607" spans="64:68" x14ac:dyDescent="0.3">
      <c r="BL607" s="45"/>
      <c r="BM607" s="45"/>
      <c r="BN607" s="45"/>
      <c r="BO607" s="45"/>
      <c r="BP607" s="45"/>
    </row>
    <row r="608" spans="64:68" x14ac:dyDescent="0.3">
      <c r="BL608" s="45"/>
      <c r="BM608" s="45"/>
      <c r="BN608" s="45"/>
      <c r="BO608" s="45"/>
      <c r="BP608" s="45"/>
    </row>
    <row r="609" spans="64:68" x14ac:dyDescent="0.3">
      <c r="BL609" s="45"/>
      <c r="BM609" s="45"/>
      <c r="BN609" s="45"/>
      <c r="BO609" s="45"/>
      <c r="BP609" s="45"/>
    </row>
    <row r="610" spans="64:68" x14ac:dyDescent="0.3">
      <c r="BL610" s="45"/>
      <c r="BM610" s="45"/>
      <c r="BN610" s="45"/>
      <c r="BO610" s="45"/>
      <c r="BP610" s="45"/>
    </row>
    <row r="611" spans="64:68" x14ac:dyDescent="0.3">
      <c r="BL611" s="45"/>
      <c r="BM611" s="45"/>
      <c r="BN611" s="45"/>
      <c r="BO611" s="45"/>
      <c r="BP611" s="45"/>
    </row>
    <row r="612" spans="64:68" x14ac:dyDescent="0.3">
      <c r="BL612" s="45"/>
      <c r="BM612" s="45"/>
      <c r="BN612" s="45"/>
      <c r="BO612" s="45"/>
      <c r="BP612" s="45"/>
    </row>
    <row r="613" spans="64:68" x14ac:dyDescent="0.3">
      <c r="BL613" s="45"/>
      <c r="BM613" s="45"/>
      <c r="BN613" s="45"/>
      <c r="BO613" s="45"/>
      <c r="BP613" s="45"/>
    </row>
    <row r="614" spans="64:68" x14ac:dyDescent="0.3">
      <c r="BL614" s="45"/>
      <c r="BM614" s="45"/>
      <c r="BN614" s="45"/>
      <c r="BO614" s="45"/>
      <c r="BP614" s="45"/>
    </row>
    <row r="615" spans="64:68" x14ac:dyDescent="0.3">
      <c r="BL615" s="45"/>
      <c r="BM615" s="45"/>
      <c r="BN615" s="45"/>
      <c r="BO615" s="45"/>
      <c r="BP615" s="45"/>
    </row>
    <row r="616" spans="64:68" x14ac:dyDescent="0.3">
      <c r="BL616" s="45"/>
      <c r="BM616" s="45"/>
      <c r="BN616" s="45"/>
      <c r="BO616" s="45"/>
      <c r="BP616" s="45"/>
    </row>
    <row r="617" spans="64:68" x14ac:dyDescent="0.3">
      <c r="BL617" s="45"/>
      <c r="BM617" s="45"/>
      <c r="BN617" s="45"/>
      <c r="BO617" s="45"/>
      <c r="BP617" s="45"/>
    </row>
    <row r="618" spans="64:68" x14ac:dyDescent="0.3">
      <c r="BL618" s="45"/>
      <c r="BM618" s="45"/>
      <c r="BN618" s="45"/>
      <c r="BO618" s="45"/>
      <c r="BP618" s="45"/>
    </row>
    <row r="619" spans="64:68" x14ac:dyDescent="0.3">
      <c r="BL619" s="45"/>
      <c r="BM619" s="45"/>
      <c r="BN619" s="45"/>
      <c r="BO619" s="45"/>
      <c r="BP619" s="45"/>
    </row>
    <row r="620" spans="64:68" x14ac:dyDescent="0.3">
      <c r="BL620" s="45"/>
      <c r="BM620" s="45"/>
      <c r="BN620" s="45"/>
      <c r="BO620" s="45"/>
      <c r="BP620" s="45"/>
    </row>
    <row r="621" spans="64:68" x14ac:dyDescent="0.3">
      <c r="BL621" s="45"/>
      <c r="BM621" s="45"/>
      <c r="BN621" s="45"/>
      <c r="BO621" s="45"/>
      <c r="BP621" s="45"/>
    </row>
    <row r="622" spans="64:68" x14ac:dyDescent="0.3">
      <c r="BL622" s="45"/>
      <c r="BM622" s="45"/>
      <c r="BN622" s="45"/>
      <c r="BO622" s="45"/>
      <c r="BP622" s="45"/>
    </row>
    <row r="623" spans="64:68" x14ac:dyDescent="0.3">
      <c r="BL623" s="45"/>
      <c r="BM623" s="45"/>
      <c r="BN623" s="45"/>
      <c r="BO623" s="45"/>
      <c r="BP623" s="45"/>
    </row>
    <row r="624" spans="64:68" x14ac:dyDescent="0.3">
      <c r="BL624" s="45"/>
      <c r="BM624" s="45"/>
      <c r="BN624" s="45"/>
      <c r="BO624" s="45"/>
      <c r="BP624" s="45"/>
    </row>
    <row r="625" spans="64:68" x14ac:dyDescent="0.3">
      <c r="BL625" s="45"/>
      <c r="BM625" s="45"/>
      <c r="BN625" s="45"/>
      <c r="BO625" s="45"/>
      <c r="BP625" s="45"/>
    </row>
    <row r="626" spans="64:68" x14ac:dyDescent="0.3">
      <c r="BL626" s="45"/>
      <c r="BM626" s="45"/>
      <c r="BN626" s="45"/>
      <c r="BO626" s="45"/>
      <c r="BP626" s="45"/>
    </row>
    <row r="627" spans="64:68" x14ac:dyDescent="0.3">
      <c r="BL627" s="45"/>
      <c r="BM627" s="45"/>
      <c r="BN627" s="45"/>
      <c r="BO627" s="45"/>
      <c r="BP627" s="45"/>
    </row>
  </sheetData>
  <mergeCells count="119">
    <mergeCell ref="EP3:ER3"/>
    <mergeCell ref="FC3:FE3"/>
    <mergeCell ref="EB1:FO1"/>
    <mergeCell ref="ES3:ET3"/>
    <mergeCell ref="EU3:EW3"/>
    <mergeCell ref="EX3:EY3"/>
    <mergeCell ref="FA3:FA4"/>
    <mergeCell ref="FF3:FG3"/>
    <mergeCell ref="FH3:FJ3"/>
    <mergeCell ref="FK3:FL3"/>
    <mergeCell ref="FN3:FN4"/>
    <mergeCell ref="EB3:ED3"/>
    <mergeCell ref="EE3:EF3"/>
    <mergeCell ref="EG3:EI3"/>
    <mergeCell ref="EJ3:EK3"/>
    <mergeCell ref="EN3:EO3"/>
    <mergeCell ref="EM3:EM4"/>
    <mergeCell ref="EL3:EL4"/>
    <mergeCell ref="I117:K117"/>
    <mergeCell ref="I118:I119"/>
    <mergeCell ref="J118:J119"/>
    <mergeCell ref="I120:K120"/>
    <mergeCell ref="I121:L121"/>
    <mergeCell ref="I184:K184"/>
    <mergeCell ref="I130:K130"/>
    <mergeCell ref="I176:L176"/>
    <mergeCell ref="I178:K178"/>
    <mergeCell ref="I179:L179"/>
    <mergeCell ref="I181:K181"/>
    <mergeCell ref="I182:L182"/>
    <mergeCell ref="I128:L128"/>
    <mergeCell ref="I131:K131"/>
    <mergeCell ref="I132:L132"/>
    <mergeCell ref="I133:K133"/>
    <mergeCell ref="I134:K134"/>
    <mergeCell ref="I123:K123"/>
    <mergeCell ref="I124:L124"/>
    <mergeCell ref="I125:I126"/>
    <mergeCell ref="J125:J126"/>
    <mergeCell ref="I127:K127"/>
    <mergeCell ref="I115:I116"/>
    <mergeCell ref="J115:J116"/>
    <mergeCell ref="I47:K47"/>
    <mergeCell ref="I75:L75"/>
    <mergeCell ref="I76:I77"/>
    <mergeCell ref="J76:J77"/>
    <mergeCell ref="I78:K78"/>
    <mergeCell ref="I80:K80"/>
    <mergeCell ref="I81:L81"/>
    <mergeCell ref="I83:K83"/>
    <mergeCell ref="I84:L84"/>
    <mergeCell ref="I86:K86"/>
    <mergeCell ref="I114:L114"/>
    <mergeCell ref="DR3:DV3"/>
    <mergeCell ref="I45:L45"/>
    <mergeCell ref="I20:K20"/>
    <mergeCell ref="I21:L21"/>
    <mergeCell ref="I22:I23"/>
    <mergeCell ref="J22:J23"/>
    <mergeCell ref="I24:K24"/>
    <mergeCell ref="I25:L25"/>
    <mergeCell ref="I27:K27"/>
    <mergeCell ref="I39:L39"/>
    <mergeCell ref="I41:K41"/>
    <mergeCell ref="I42:L42"/>
    <mergeCell ref="I44:K44"/>
    <mergeCell ref="CT3:CX3"/>
    <mergeCell ref="CY3:DC3"/>
    <mergeCell ref="DD3:DF3"/>
    <mergeCell ref="DG3:DG4"/>
    <mergeCell ref="DI3:DI4"/>
    <mergeCell ref="DJ3:DJ4"/>
    <mergeCell ref="DL3:DL4"/>
    <mergeCell ref="DM3:DM4"/>
    <mergeCell ref="DO3:DO4"/>
    <mergeCell ref="M260:N260"/>
    <mergeCell ref="M313:N313"/>
    <mergeCell ref="M326:N326"/>
    <mergeCell ref="M328:N328"/>
    <mergeCell ref="M330:N330"/>
    <mergeCell ref="U3:U4"/>
    <mergeCell ref="V3:V4"/>
    <mergeCell ref="M264:N264"/>
    <mergeCell ref="M265:N265"/>
    <mergeCell ref="M292:N292"/>
    <mergeCell ref="M296:N296"/>
    <mergeCell ref="M314:N314"/>
    <mergeCell ref="M316:N316"/>
    <mergeCell ref="M263:N263"/>
    <mergeCell ref="M299:N299"/>
    <mergeCell ref="M302:N302"/>
    <mergeCell ref="M306:N306"/>
    <mergeCell ref="M309:N309"/>
    <mergeCell ref="S3:S4"/>
    <mergeCell ref="Q3:Q4"/>
    <mergeCell ref="M1:DZ1"/>
    <mergeCell ref="CB3:CF3"/>
    <mergeCell ref="B3:E3"/>
    <mergeCell ref="F3:H3"/>
    <mergeCell ref="M3:M4"/>
    <mergeCell ref="N3:N4"/>
    <mergeCell ref="AL3:AP3"/>
    <mergeCell ref="AQ3:AQ4"/>
    <mergeCell ref="CN3:CN4"/>
    <mergeCell ref="AR3:AV3"/>
    <mergeCell ref="AW3:BA3"/>
    <mergeCell ref="BB3:BF3"/>
    <mergeCell ref="BG3:BK3"/>
    <mergeCell ref="CG3:CK3"/>
    <mergeCell ref="CM3:CM4"/>
    <mergeCell ref="AG3:AK3"/>
    <mergeCell ref="BL3:BP3"/>
    <mergeCell ref="BQ3:BU3"/>
    <mergeCell ref="BV3:BZ3"/>
    <mergeCell ref="CA3:CA4"/>
    <mergeCell ref="AB3:AF3"/>
    <mergeCell ref="W3:AA3"/>
    <mergeCell ref="DW3:EA3"/>
    <mergeCell ref="CO3:CS3"/>
  </mergeCells>
  <pageMargins left="0" right="0" top="0" bottom="0" header="0" footer="0"/>
  <pageSetup paperSize="9" scale="5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Субсидии МО ЛО за 2019 гДФ ЛО</vt:lpstr>
      <vt:lpstr>'Субсидии МО ЛО за 2019 гДФ ЛО'!Заголовки_для_печати</vt:lpstr>
      <vt:lpstr>'Субсидии МО ЛО за 2019 гДФ ЛО'!Область_печати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Васютина Ольга Валерьевна</cp:lastModifiedBy>
  <cp:lastPrinted>2020-03-10T12:11:18Z</cp:lastPrinted>
  <dcterms:created xsi:type="dcterms:W3CDTF">2012-06-05T13:34:09Z</dcterms:created>
  <dcterms:modified xsi:type="dcterms:W3CDTF">2020-03-10T12:11:24Z</dcterms:modified>
</cp:coreProperties>
</file>