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125" yWindow="-90" windowWidth="14805" windowHeight="10170" tabRatio="494"/>
  </bookViews>
  <sheets>
    <sheet name="2020-2022" sheetId="2" r:id="rId1"/>
  </sheets>
  <definedNames>
    <definedName name="_xlnm.Print_Area" localSheetId="0">'2020-2022'!$A$1:$U$30</definedName>
  </definedNames>
  <calcPr calcId="145621"/>
</workbook>
</file>

<file path=xl/calcChain.xml><?xml version="1.0" encoding="utf-8"?>
<calcChain xmlns="http://schemas.openxmlformats.org/spreadsheetml/2006/main">
  <c r="A3" i="2" l="1"/>
  <c r="B30" i="2"/>
  <c r="I29" i="2"/>
  <c r="C29" i="2"/>
  <c r="F29" i="2" s="1"/>
  <c r="I28" i="2"/>
  <c r="C28" i="2"/>
  <c r="F28" i="2" s="1"/>
  <c r="I27" i="2"/>
  <c r="C27" i="2"/>
  <c r="F27" i="2" s="1"/>
  <c r="I26" i="2"/>
  <c r="F26" i="2"/>
  <c r="C26" i="2"/>
  <c r="I25" i="2"/>
  <c r="C25" i="2"/>
  <c r="F25" i="2" s="1"/>
  <c r="I24" i="2"/>
  <c r="C24" i="2"/>
  <c r="F24" i="2" s="1"/>
  <c r="I23" i="2"/>
  <c r="C23" i="2"/>
  <c r="F23" i="2" s="1"/>
  <c r="I22" i="2"/>
  <c r="F22" i="2"/>
  <c r="C22" i="2"/>
  <c r="I21" i="2"/>
  <c r="C21" i="2"/>
  <c r="F21" i="2" s="1"/>
  <c r="I20" i="2"/>
  <c r="C20" i="2"/>
  <c r="F20" i="2" s="1"/>
  <c r="I19" i="2"/>
  <c r="C19" i="2"/>
  <c r="F19" i="2" s="1"/>
  <c r="I18" i="2"/>
  <c r="F18" i="2"/>
  <c r="C18" i="2"/>
  <c r="I17" i="2"/>
  <c r="C17" i="2"/>
  <c r="F17" i="2" s="1"/>
  <c r="I16" i="2"/>
  <c r="C16" i="2"/>
  <c r="F16" i="2" s="1"/>
  <c r="I15" i="2"/>
  <c r="C15" i="2"/>
  <c r="F15" i="2" s="1"/>
  <c r="M15" i="2" s="1"/>
  <c r="I14" i="2"/>
  <c r="C14" i="2"/>
  <c r="F14" i="2" s="1"/>
  <c r="M14" i="2" s="1"/>
  <c r="I13" i="2"/>
  <c r="C13" i="2"/>
  <c r="F13" i="2" s="1"/>
  <c r="I12" i="2"/>
  <c r="C12" i="2"/>
  <c r="F12" i="2" s="1"/>
  <c r="M12" i="2" s="1"/>
  <c r="M11" i="2"/>
  <c r="J11" i="2"/>
  <c r="J14" i="2" s="1"/>
  <c r="E11" i="2"/>
  <c r="E14" i="2" s="1"/>
  <c r="H14" i="2" s="1"/>
  <c r="D11" i="2"/>
  <c r="D14" i="2" s="1"/>
  <c r="G14" i="2" s="1"/>
  <c r="S10" i="2"/>
  <c r="P10" i="2"/>
  <c r="M10" i="2"/>
  <c r="F10" i="2"/>
  <c r="D10" i="2"/>
  <c r="Q10" i="2" s="1"/>
  <c r="J9" i="2"/>
  <c r="B8" i="2"/>
  <c r="J12" i="2" l="1"/>
  <c r="K12" i="2" s="1"/>
  <c r="M23" i="2"/>
  <c r="D12" i="2"/>
  <c r="G12" i="2" s="1"/>
  <c r="M13" i="2"/>
  <c r="N10" i="2"/>
  <c r="T10" i="2"/>
  <c r="D29" i="2"/>
  <c r="G29" i="2" s="1"/>
  <c r="D27" i="2"/>
  <c r="G27" i="2" s="1"/>
  <c r="D25" i="2"/>
  <c r="G25" i="2" s="1"/>
  <c r="D23" i="2"/>
  <c r="G23" i="2" s="1"/>
  <c r="D28" i="2"/>
  <c r="G28" i="2" s="1"/>
  <c r="D26" i="2"/>
  <c r="G26" i="2" s="1"/>
  <c r="D22" i="2"/>
  <c r="G22" i="2" s="1"/>
  <c r="D20" i="2"/>
  <c r="G20" i="2" s="1"/>
  <c r="D24" i="2"/>
  <c r="G24" i="2" s="1"/>
  <c r="D21" i="2"/>
  <c r="G21" i="2" s="1"/>
  <c r="D19" i="2"/>
  <c r="G19" i="2" s="1"/>
  <c r="D17" i="2"/>
  <c r="G17" i="2" s="1"/>
  <c r="J29" i="2"/>
  <c r="J27" i="2"/>
  <c r="J25" i="2"/>
  <c r="J23" i="2"/>
  <c r="J28" i="2"/>
  <c r="J26" i="2"/>
  <c r="J22" i="2"/>
  <c r="J20" i="2"/>
  <c r="J24" i="2"/>
  <c r="J21" i="2"/>
  <c r="J19" i="2"/>
  <c r="J17" i="2"/>
  <c r="J15" i="2"/>
  <c r="N11" i="2"/>
  <c r="O11" i="2" s="1"/>
  <c r="O14" i="2" s="1"/>
  <c r="E12" i="2"/>
  <c r="H12" i="2" s="1"/>
  <c r="D13" i="2"/>
  <c r="G13" i="2" s="1"/>
  <c r="N13" i="2" s="1"/>
  <c r="J13" i="2"/>
  <c r="K14" i="2"/>
  <c r="L14" i="2" s="1"/>
  <c r="D15" i="2"/>
  <c r="G15" i="2" s="1"/>
  <c r="N15" i="2" s="1"/>
  <c r="M16" i="2"/>
  <c r="D18" i="2"/>
  <c r="G18" i="2" s="1"/>
  <c r="N18" i="2" s="1"/>
  <c r="J18" i="2"/>
  <c r="M19" i="2"/>
  <c r="E10" i="2"/>
  <c r="G10" i="2"/>
  <c r="E28" i="2"/>
  <c r="H28" i="2" s="1"/>
  <c r="O28" i="2" s="1"/>
  <c r="E26" i="2"/>
  <c r="H26" i="2" s="1"/>
  <c r="O26" i="2" s="1"/>
  <c r="E24" i="2"/>
  <c r="H24" i="2" s="1"/>
  <c r="O24" i="2" s="1"/>
  <c r="E22" i="2"/>
  <c r="H22" i="2" s="1"/>
  <c r="O22" i="2" s="1"/>
  <c r="E29" i="2"/>
  <c r="H29" i="2" s="1"/>
  <c r="O29" i="2" s="1"/>
  <c r="E27" i="2"/>
  <c r="H27" i="2" s="1"/>
  <c r="O27" i="2" s="1"/>
  <c r="E23" i="2"/>
  <c r="H23" i="2" s="1"/>
  <c r="O23" i="2" s="1"/>
  <c r="E21" i="2"/>
  <c r="H21" i="2" s="1"/>
  <c r="O21" i="2" s="1"/>
  <c r="E19" i="2"/>
  <c r="H19" i="2" s="1"/>
  <c r="O19" i="2" s="1"/>
  <c r="E25" i="2"/>
  <c r="H25" i="2" s="1"/>
  <c r="O25" i="2" s="1"/>
  <c r="E20" i="2"/>
  <c r="H20" i="2" s="1"/>
  <c r="O20" i="2" s="1"/>
  <c r="E18" i="2"/>
  <c r="H18" i="2" s="1"/>
  <c r="O18" i="2" s="1"/>
  <c r="E16" i="2"/>
  <c r="H16" i="2" s="1"/>
  <c r="O16" i="2" s="1"/>
  <c r="F30" i="2"/>
  <c r="J30" i="2"/>
  <c r="L12" i="2"/>
  <c r="E13" i="2"/>
  <c r="H13" i="2" s="1"/>
  <c r="O13" i="2" s="1"/>
  <c r="E15" i="2"/>
  <c r="H15" i="2" s="1"/>
  <c r="O15" i="2" s="1"/>
  <c r="D16" i="2"/>
  <c r="G16" i="2" s="1"/>
  <c r="N16" i="2" s="1"/>
  <c r="J16" i="2"/>
  <c r="E17" i="2"/>
  <c r="H17" i="2" s="1"/>
  <c r="O17" i="2" s="1"/>
  <c r="M17" i="2"/>
  <c r="M18" i="2"/>
  <c r="M20" i="2"/>
  <c r="M21" i="2"/>
  <c r="M25" i="2"/>
  <c r="M22" i="2"/>
  <c r="M26" i="2"/>
  <c r="M27" i="2"/>
  <c r="M24" i="2"/>
  <c r="M28" i="2"/>
  <c r="M29" i="2"/>
  <c r="M30" i="2" l="1"/>
  <c r="R14" i="2"/>
  <c r="U14" i="2" s="1"/>
  <c r="P14" i="2"/>
  <c r="U10" i="2"/>
  <c r="O10" i="2"/>
  <c r="R10" i="2"/>
  <c r="H10" i="2"/>
  <c r="K18" i="2"/>
  <c r="L18" i="2" s="1"/>
  <c r="L17" i="2"/>
  <c r="K17" i="2"/>
  <c r="K21" i="2"/>
  <c r="L21" i="2" s="1"/>
  <c r="K20" i="2"/>
  <c r="L20" i="2" s="1"/>
  <c r="K26" i="2"/>
  <c r="L26" i="2" s="1"/>
  <c r="L23" i="2"/>
  <c r="K23" i="2"/>
  <c r="K27" i="2"/>
  <c r="L27" i="2" s="1"/>
  <c r="N17" i="2"/>
  <c r="N21" i="2"/>
  <c r="N20" i="2"/>
  <c r="N26" i="2"/>
  <c r="N23" i="2"/>
  <c r="N27" i="2"/>
  <c r="G30" i="2"/>
  <c r="K16" i="2"/>
  <c r="L16" i="2"/>
  <c r="P12" i="2"/>
  <c r="K13" i="2"/>
  <c r="L13" i="2"/>
  <c r="H30" i="2"/>
  <c r="O12" i="2"/>
  <c r="O30" i="2" s="1"/>
  <c r="K15" i="2"/>
  <c r="L15" i="2" s="1"/>
  <c r="K19" i="2"/>
  <c r="L19" i="2" s="1"/>
  <c r="K24" i="2"/>
  <c r="L24" i="2" s="1"/>
  <c r="K22" i="2"/>
  <c r="L22" i="2" s="1"/>
  <c r="K28" i="2"/>
  <c r="L28" i="2" s="1"/>
  <c r="K25" i="2"/>
  <c r="L25" i="2" s="1"/>
  <c r="K29" i="2"/>
  <c r="L29" i="2" s="1"/>
  <c r="N19" i="2"/>
  <c r="N24" i="2"/>
  <c r="N22" i="2"/>
  <c r="N28" i="2"/>
  <c r="N25" i="2"/>
  <c r="N29" i="2"/>
  <c r="N12" i="2"/>
  <c r="Q12" i="2" s="1"/>
  <c r="N14" i="2"/>
  <c r="Q14" i="2" s="1"/>
  <c r="T14" i="2" s="1"/>
  <c r="R29" i="2" l="1"/>
  <c r="U29" i="2" s="1"/>
  <c r="P29" i="2"/>
  <c r="Q29" i="2"/>
  <c r="T29" i="2" s="1"/>
  <c r="R15" i="2"/>
  <c r="U15" i="2" s="1"/>
  <c r="P15" i="2"/>
  <c r="Q15" i="2"/>
  <c r="T15" i="2" s="1"/>
  <c r="Q26" i="2"/>
  <c r="T26" i="2" s="1"/>
  <c r="R26" i="2"/>
  <c r="U26" i="2" s="1"/>
  <c r="P26" i="2"/>
  <c r="R25" i="2"/>
  <c r="U25" i="2" s="1"/>
  <c r="P25" i="2"/>
  <c r="Q25" i="2"/>
  <c r="T25" i="2" s="1"/>
  <c r="Q21" i="2"/>
  <c r="T21" i="2" s="1"/>
  <c r="R21" i="2"/>
  <c r="U21" i="2" s="1"/>
  <c r="P21" i="2"/>
  <c r="R18" i="2"/>
  <c r="U18" i="2" s="1"/>
  <c r="Q18" i="2"/>
  <c r="T18" i="2" s="1"/>
  <c r="P18" i="2"/>
  <c r="Q28" i="2"/>
  <c r="T28" i="2" s="1"/>
  <c r="R28" i="2"/>
  <c r="U28" i="2" s="1"/>
  <c r="P28" i="2"/>
  <c r="Q22" i="2"/>
  <c r="T22" i="2" s="1"/>
  <c r="R22" i="2"/>
  <c r="U22" i="2" s="1"/>
  <c r="P22" i="2"/>
  <c r="Q24" i="2"/>
  <c r="T24" i="2" s="1"/>
  <c r="P24" i="2"/>
  <c r="R24" i="2"/>
  <c r="U24" i="2" s="1"/>
  <c r="Q19" i="2"/>
  <c r="T19" i="2" s="1"/>
  <c r="R19" i="2"/>
  <c r="U19" i="2" s="1"/>
  <c r="P19" i="2"/>
  <c r="Q13" i="2"/>
  <c r="T13" i="2" s="1"/>
  <c r="R13" i="2"/>
  <c r="U13" i="2" s="1"/>
  <c r="P13" i="2"/>
  <c r="T12" i="2"/>
  <c r="R12" i="2"/>
  <c r="Q16" i="2"/>
  <c r="T16" i="2" s="1"/>
  <c r="R16" i="2"/>
  <c r="U16" i="2" s="1"/>
  <c r="P16" i="2"/>
  <c r="R27" i="2"/>
  <c r="U27" i="2" s="1"/>
  <c r="P27" i="2"/>
  <c r="Q27" i="2"/>
  <c r="T27" i="2" s="1"/>
  <c r="R23" i="2"/>
  <c r="U23" i="2" s="1"/>
  <c r="P23" i="2"/>
  <c r="Q23" i="2"/>
  <c r="T23" i="2" s="1"/>
  <c r="R20" i="2"/>
  <c r="U20" i="2" s="1"/>
  <c r="P20" i="2"/>
  <c r="Q20" i="2"/>
  <c r="T20" i="2" s="1"/>
  <c r="R17" i="2"/>
  <c r="U17" i="2" s="1"/>
  <c r="P17" i="2"/>
  <c r="Q17" i="2"/>
  <c r="T17" i="2" s="1"/>
  <c r="S14" i="2"/>
  <c r="N30" i="2"/>
  <c r="P30" i="2"/>
  <c r="S12" i="2"/>
  <c r="L30" i="2"/>
  <c r="S20" i="2" l="1"/>
  <c r="S17" i="2"/>
  <c r="S23" i="2"/>
  <c r="R30" i="2"/>
  <c r="U12" i="2"/>
  <c r="U30" i="2" s="1"/>
  <c r="Q30" i="2"/>
  <c r="S19" i="2"/>
  <c r="S24" i="2"/>
  <c r="S22" i="2"/>
  <c r="S18" i="2"/>
  <c r="S29" i="2"/>
  <c r="S27" i="2"/>
  <c r="S16" i="2"/>
  <c r="T30" i="2"/>
  <c r="S13" i="2"/>
  <c r="S28" i="2"/>
  <c r="S21" i="2"/>
  <c r="S25" i="2"/>
  <c r="S26" i="2"/>
  <c r="S15" i="2"/>
  <c r="S30" i="2" l="1"/>
</calcChain>
</file>

<file path=xl/sharedStrings.xml><?xml version="1.0" encoding="utf-8"?>
<sst xmlns="http://schemas.openxmlformats.org/spreadsheetml/2006/main" count="55" uniqueCount="55">
  <si>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</si>
  <si>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</si>
  <si>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</si>
  <si>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</si>
  <si>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</si>
  <si>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</si>
  <si>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</si>
  <si>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</si>
  <si>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</si>
  <si>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</si>
  <si>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</si>
  <si>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</si>
  <si>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</si>
  <si>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</si>
  <si>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</si>
  <si>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</si>
  <si>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ИТОГО:</t>
  </si>
  <si>
    <t>Выборгский район</t>
  </si>
  <si>
    <t>Тосненский район</t>
  </si>
  <si>
    <t>Количество собак, 
подлежащих отлову</t>
  </si>
  <si>
    <t>Наименование 
муниципального образования</t>
  </si>
  <si>
    <t>Текущие расходы</t>
  </si>
  <si>
    <t>Расходы на организацию</t>
  </si>
  <si>
    <t>Сумма в бюджет
(тыс. руб.)</t>
  </si>
  <si>
    <t>Расчетная сумма в бюджет
(руб.)</t>
  </si>
  <si>
    <t>Количество безнадзорных животных</t>
  </si>
  <si>
    <t>Текущие расходы составляют 10 % от Фонда оплаты труда</t>
  </si>
  <si>
    <t>Расчетная сумма субвенций муниципальным образованиям на осуществление отдельных государственных полномочий Ленинградской области в сфере обращения с безнадзорными животными</t>
  </si>
  <si>
    <t>ст.10*10%</t>
  </si>
  <si>
    <t>ст.10+ст.11</t>
  </si>
  <si>
    <t>ст.2*ст.3</t>
  </si>
  <si>
    <t>ст.2*ст.4</t>
  </si>
  <si>
    <t>ст.2*ст.5</t>
  </si>
  <si>
    <t>ст.12+ст.13</t>
  </si>
  <si>
    <t>ст.12+ст.14</t>
  </si>
  <si>
    <t>ст.12+ст.15</t>
  </si>
  <si>
    <t>ст.16/1000</t>
  </si>
  <si>
    <t>ст.17/1000</t>
  </si>
  <si>
    <t>ст.18/1000</t>
  </si>
  <si>
    <t>Расчет в рублях</t>
  </si>
  <si>
    <t>Сумма в бюджет в тысячах рублей</t>
  </si>
  <si>
    <t>Расчетная стоимость 
ветеринарных мероприятий (руб.)</t>
  </si>
  <si>
    <t>Численность работников необходимая для существления ОГП 
(В соотв. с 38-оз 
от 10.06.2014)</t>
  </si>
  <si>
    <t>Всего расходов на организацию исполнения ОГП (ФОТ + Текущие расходы)</t>
  </si>
  <si>
    <t xml:space="preserve">Реально возможный процент отлова безнадзорных животных </t>
  </si>
  <si>
    <t>Расчетная стоимость мероприятий по отлову, транспортировке, содержанию , учету, стерилизации в соответствии с приказом Комитета 
по ЖКХ от 14.08.2014 № 51 (8 824 рублей)</t>
  </si>
  <si>
    <t>ст.6*8 824</t>
  </si>
  <si>
    <t>ст.7*8 824</t>
  </si>
  <si>
    <t>ст.8*8 824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</si>
  <si>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
в сфере обращения с безнадзорными животными на территории Ленинградской области </t>
  </si>
  <si>
    <t>(Оклад специалиста 1 кат. 11 588,22 руб. в год 
(12-оз от 25.02.2005) 
* 104% * на 55,7 (годовой коэффициент выплат) + 30,2% (отчисления с ФОТ)</t>
  </si>
  <si>
    <t>Количество ставок МО</t>
  </si>
  <si>
    <t>Приложение 32 к пояснительной записке 2020 года</t>
  </si>
  <si>
    <t>874 009,65 рублей
(11 588,22 - оклад)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</si>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</sst>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0&quot;р.&quot;"/>
    <numFmt numFmtId="166" formatCode="0.00000"/>
    <numFmt numFmtId="167" formatCode="#,##0.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11" xfId="0" applyFont="1" applyBorder="1" applyAlignment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7" fillId="0" borderId="11" xfId="0" applyFont="1" applyBorder="1" applyAlignment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/>
    <xf numFmtId="0" fontId="7" fillId="0" borderId="4" xfId="0" applyFont="1" applyBorder="1" applyAlignment="1"/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2" fontId="7" fillId="0" borderId="3" xfId="0" applyNumberFormat="1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/>
    <xf numFmtId="165" fontId="6" fillId="3" borderId="1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165" fontId="6" fillId="3" borderId="17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165" fontId="6" fillId="3" borderId="18" xfId="0" applyNumberFormat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166" fontId="6" fillId="3" borderId="7" xfId="0" applyNumberFormat="1" applyFont="1" applyFill="1" applyBorder="1" applyAlignment="1">
      <alignment horizontal="center" vertical="center" wrapText="1"/>
    </xf>
    <xf numFmtId="167" fontId="6" fillId="3" borderId="7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/>
    <xf numFmtId="3" fontId="3" fillId="0" borderId="6" xfId="0" applyNumberFormat="1" applyFont="1" applyFill="1" applyBorder="1" applyAlignment="1">
      <alignment horizontal="center"/>
    </xf>
    <xf numFmtId="166" fontId="3" fillId="2" borderId="6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" fontId="3" fillId="2" borderId="6" xfId="0" applyNumberFormat="1" applyFont="1" applyFill="1" applyBorder="1"/>
    <xf numFmtId="4" fontId="3" fillId="4" borderId="6" xfId="0" applyNumberFormat="1" applyFont="1" applyFill="1" applyBorder="1"/>
    <xf numFmtId="164" fontId="3" fillId="4" borderId="6" xfId="0" applyNumberFormat="1" applyFont="1" applyFill="1" applyBorder="1"/>
    <xf numFmtId="164" fontId="3" fillId="2" borderId="6" xfId="0" applyNumberFormat="1" applyFont="1" applyFill="1" applyBorder="1"/>
    <xf numFmtId="164" fontId="3" fillId="2" borderId="22" xfId="0" applyNumberFormat="1" applyFont="1" applyFill="1" applyBorder="1"/>
    <xf numFmtId="4" fontId="3" fillId="0" borderId="0" xfId="0" applyNumberFormat="1" applyFont="1"/>
    <xf numFmtId="0" fontId="3" fillId="2" borderId="11" xfId="0" applyFont="1" applyFill="1" applyBorder="1" applyAlignment="1"/>
    <xf numFmtId="166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" fontId="3" fillId="2" borderId="1" xfId="0" applyNumberFormat="1" applyFont="1" applyFill="1" applyBorder="1"/>
    <xf numFmtId="0" fontId="3" fillId="2" borderId="0" xfId="0" applyFont="1" applyFill="1"/>
    <xf numFmtId="0" fontId="3" fillId="0" borderId="11" xfId="0" applyFont="1" applyFill="1" applyBorder="1" applyAlignment="1"/>
    <xf numFmtId="4" fontId="3" fillId="0" borderId="1" xfId="0" applyNumberFormat="1" applyFont="1" applyBorder="1"/>
    <xf numFmtId="0" fontId="6" fillId="0" borderId="23" xfId="0" applyFont="1" applyFill="1" applyBorder="1" applyAlignment="1">
      <alignment vertical="center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3" fontId="6" fillId="4" borderId="7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4" fontId="6" fillId="0" borderId="7" xfId="0" applyNumberFormat="1" applyFont="1" applyBorder="1" applyAlignment="1">
      <alignment vertical="center"/>
    </xf>
    <xf numFmtId="4" fontId="6" fillId="4" borderId="7" xfId="0" applyNumberFormat="1" applyFont="1" applyFill="1" applyBorder="1" applyAlignment="1">
      <alignment vertical="center"/>
    </xf>
    <xf numFmtId="164" fontId="6" fillId="4" borderId="7" xfId="0" applyNumberFormat="1" applyFont="1" applyFill="1" applyBorder="1" applyAlignment="1">
      <alignment vertical="center"/>
    </xf>
    <xf numFmtId="164" fontId="6" fillId="0" borderId="7" xfId="0" applyNumberFormat="1" applyFont="1" applyBorder="1" applyAlignment="1">
      <alignment vertical="center"/>
    </xf>
    <xf numFmtId="164" fontId="6" fillId="0" borderId="24" xfId="0" applyNumberFormat="1" applyFont="1" applyBorder="1" applyAlignment="1">
      <alignment vertical="center"/>
    </xf>
    <xf numFmtId="4" fontId="9" fillId="0" borderId="0" xfId="0" applyNumberFormat="1" applyFont="1"/>
    <xf numFmtId="3" fontId="3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FF99"/>
      <color rgb="FF00FF0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J39"/>
  <sheetViews>
    <sheetView tabSelected="1" zoomScale="90" zoomScaleNormal="90" workbookViewId="0">
      <selection activeCell="M34" sqref="M34"/>
    </sheetView>
  </sheetViews>
  <sheetFormatPr defaultRowHeight="15" x14ac:dyDescent="0.25"/>
  <cols>
    <col min="1" max="1" width="39.7109375" style="3" customWidth="1"/>
    <col min="2" max="2" width="14.7109375" style="3" customWidth="1"/>
    <col min="3" max="5" width="10.7109375" style="3" customWidth="1"/>
    <col min="6" max="8" width="9.7109375" style="3" customWidth="1"/>
    <col min="9" max="9" width="13.7109375" style="3" customWidth="1"/>
    <col min="10" max="10" width="18.7109375" style="3" customWidth="1"/>
    <col min="11" max="12" width="14.7109375" style="3" customWidth="1"/>
    <col min="13" max="15" width="13.7109375" style="3" customWidth="1"/>
    <col min="16" max="16" width="14.42578125" style="3" customWidth="1"/>
    <col min="17" max="17" width="14.28515625" style="3" customWidth="1"/>
    <col min="18" max="18" width="15.28515625" style="3" customWidth="1"/>
    <col min="19" max="21" width="10.7109375" style="3" customWidth="1"/>
    <col min="22" max="22" width="3.42578125" style="3" customWidth="1"/>
    <col min="23" max="16384" width="9.140625" style="3"/>
  </cols>
  <sheetData>
    <row r="1" spans="1:114" ht="15.75" x14ac:dyDescent="0.25">
      <c r="S1" s="1"/>
      <c r="U1" s="2" t="s">
        <v>52</v>
      </c>
    </row>
    <row r="2" spans="1:114" ht="42.75" customHeight="1" x14ac:dyDescent="0.25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114" ht="18.75" customHeight="1" x14ac:dyDescent="0.3">
      <c r="A3" s="5" t="str">
        <f>CONCATENATE("на ",LEFT(C10,4)," год и плановый период ",LEFT(C10,4)+1," и ",LEFT(C10,4)+2," годов")</f>
        <v>на 2020 год и плановый период 2021 и 2022 годов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14" ht="15" customHeight="1" x14ac:dyDescent="0.3">
      <c r="D4" s="6"/>
    </row>
    <row r="5" spans="1:114" ht="15.75" thickBot="1" x14ac:dyDescent="0.3">
      <c r="A5" s="3" t="s">
        <v>39</v>
      </c>
    </row>
    <row r="6" spans="1:114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9">
        <v>21</v>
      </c>
    </row>
    <row r="7" spans="1:114" ht="15" customHeight="1" x14ac:dyDescent="0.25">
      <c r="A7" s="10"/>
      <c r="B7" s="11"/>
      <c r="C7" s="12"/>
      <c r="D7" s="12"/>
      <c r="E7" s="12"/>
      <c r="F7" s="12" t="s">
        <v>30</v>
      </c>
      <c r="G7" s="12" t="s">
        <v>31</v>
      </c>
      <c r="H7" s="12" t="s">
        <v>32</v>
      </c>
      <c r="I7" s="13"/>
      <c r="J7" s="14" t="s">
        <v>53</v>
      </c>
      <c r="K7" s="12" t="s">
        <v>28</v>
      </c>
      <c r="L7" s="12" t="s">
        <v>29</v>
      </c>
      <c r="M7" s="12" t="s">
        <v>46</v>
      </c>
      <c r="N7" s="12" t="s">
        <v>47</v>
      </c>
      <c r="O7" s="12" t="s">
        <v>48</v>
      </c>
      <c r="P7" s="12" t="s">
        <v>33</v>
      </c>
      <c r="Q7" s="12" t="s">
        <v>34</v>
      </c>
      <c r="R7" s="12" t="s">
        <v>35</v>
      </c>
      <c r="S7" s="12" t="s">
        <v>36</v>
      </c>
      <c r="T7" s="12" t="s">
        <v>37</v>
      </c>
      <c r="U7" s="15" t="s">
        <v>38</v>
      </c>
    </row>
    <row r="8" spans="1:114" s="33" customFormat="1" ht="75" customHeight="1" x14ac:dyDescent="0.2">
      <c r="A8" s="16"/>
      <c r="B8" s="17" t="str">
        <f>CONCATENATE("Количество безнадзорных животных по результатам мониторинга 
",LEFT(C10,4)-1," года")</f>
        <v>Количество безнадзорных животных по результатам мониторинга 
2019 года</v>
      </c>
      <c r="C8" s="18"/>
      <c r="D8" s="19"/>
      <c r="E8" s="20"/>
      <c r="F8" s="18"/>
      <c r="G8" s="21"/>
      <c r="H8" s="22"/>
      <c r="I8" s="23" t="s">
        <v>42</v>
      </c>
      <c r="J8" s="24" t="s">
        <v>50</v>
      </c>
      <c r="K8" s="17" t="s">
        <v>26</v>
      </c>
      <c r="L8" s="17" t="s">
        <v>43</v>
      </c>
      <c r="M8" s="25" t="s">
        <v>45</v>
      </c>
      <c r="N8" s="26"/>
      <c r="O8" s="27"/>
      <c r="P8" s="28" t="s">
        <v>27</v>
      </c>
      <c r="Q8" s="29"/>
      <c r="R8" s="30"/>
      <c r="S8" s="25" t="s">
        <v>40</v>
      </c>
      <c r="T8" s="31"/>
      <c r="U8" s="32"/>
    </row>
    <row r="9" spans="1:114" ht="30" customHeight="1" x14ac:dyDescent="0.25">
      <c r="A9" s="34" t="s">
        <v>20</v>
      </c>
      <c r="B9" s="35" t="s">
        <v>25</v>
      </c>
      <c r="C9" s="36" t="s">
        <v>44</v>
      </c>
      <c r="D9" s="37"/>
      <c r="E9" s="38"/>
      <c r="F9" s="36" t="s">
        <v>19</v>
      </c>
      <c r="G9" s="37"/>
      <c r="H9" s="38"/>
      <c r="I9" s="35" t="s">
        <v>51</v>
      </c>
      <c r="J9" s="35" t="str">
        <f>CONCATENATE("Фонд оплаты труда на ",LEFT(C10,4)," год")</f>
        <v>Фонд оплаты труда на 2020 год</v>
      </c>
      <c r="K9" s="35" t="s">
        <v>21</v>
      </c>
      <c r="L9" s="35" t="s">
        <v>22</v>
      </c>
      <c r="M9" s="36" t="s">
        <v>41</v>
      </c>
      <c r="N9" s="37"/>
      <c r="O9" s="38"/>
      <c r="P9" s="36" t="s">
        <v>24</v>
      </c>
      <c r="Q9" s="37"/>
      <c r="R9" s="38"/>
      <c r="S9" s="36" t="s">
        <v>23</v>
      </c>
      <c r="T9" s="37"/>
      <c r="U9" s="39"/>
    </row>
    <row r="10" spans="1:114" ht="15" customHeight="1" x14ac:dyDescent="0.25">
      <c r="A10" s="40"/>
      <c r="B10" s="41"/>
      <c r="C10" s="42" t="s">
        <v>54</v>
      </c>
      <c r="D10" s="43" t="str">
        <f>CONCATENATE(LEFT(C10,4)+1," год")</f>
        <v>2021 год</v>
      </c>
      <c r="E10" s="43" t="str">
        <f>CONCATENATE(LEFT(D10,4)+1," год")</f>
        <v>2022 год</v>
      </c>
      <c r="F10" s="35" t="str">
        <f>C10</f>
        <v>2020 год</v>
      </c>
      <c r="G10" s="35" t="str">
        <f t="shared" ref="G10:H10" si="0">D10</f>
        <v>2021 год</v>
      </c>
      <c r="H10" s="35" t="str">
        <f t="shared" si="0"/>
        <v>2022 год</v>
      </c>
      <c r="I10" s="41"/>
      <c r="J10" s="44"/>
      <c r="K10" s="41"/>
      <c r="L10" s="41"/>
      <c r="M10" s="43" t="str">
        <f>C10</f>
        <v>2020 год</v>
      </c>
      <c r="N10" s="43" t="str">
        <f t="shared" ref="N10:O10" si="1">D10</f>
        <v>2021 год</v>
      </c>
      <c r="O10" s="43" t="str">
        <f t="shared" si="1"/>
        <v>2022 год</v>
      </c>
      <c r="P10" s="35" t="str">
        <f>C10</f>
        <v>2020 год</v>
      </c>
      <c r="Q10" s="35" t="str">
        <f t="shared" ref="Q10:R10" si="2">D10</f>
        <v>2021 год</v>
      </c>
      <c r="R10" s="35" t="str">
        <f t="shared" si="2"/>
        <v>2022 год</v>
      </c>
      <c r="S10" s="35" t="str">
        <f>C10</f>
        <v>2020 год</v>
      </c>
      <c r="T10" s="35" t="str">
        <f t="shared" ref="T10:U10" si="3">D10</f>
        <v>2021 год</v>
      </c>
      <c r="U10" s="45" t="str">
        <f t="shared" si="3"/>
        <v>2022 год</v>
      </c>
    </row>
    <row r="11" spans="1:114" ht="15" customHeight="1" thickBot="1" x14ac:dyDescent="0.3">
      <c r="A11" s="46"/>
      <c r="B11" s="47"/>
      <c r="C11" s="48">
        <v>28</v>
      </c>
      <c r="D11" s="48">
        <f>C11</f>
        <v>28</v>
      </c>
      <c r="E11" s="49">
        <f>C11</f>
        <v>28</v>
      </c>
      <c r="F11" s="47"/>
      <c r="G11" s="47"/>
      <c r="H11" s="47"/>
      <c r="I11" s="47"/>
      <c r="J11" s="50">
        <f>874009.65*104%</f>
        <v>908970.03600000008</v>
      </c>
      <c r="K11" s="47"/>
      <c r="L11" s="47"/>
      <c r="M11" s="51">
        <f>8824*104%</f>
        <v>9176.9600000000009</v>
      </c>
      <c r="N11" s="51">
        <f>M11*104%</f>
        <v>9544.0384000000013</v>
      </c>
      <c r="O11" s="51">
        <f>N11*104%</f>
        <v>9925.7999360000013</v>
      </c>
      <c r="P11" s="47"/>
      <c r="Q11" s="47"/>
      <c r="R11" s="47"/>
      <c r="S11" s="47"/>
      <c r="T11" s="47"/>
      <c r="U11" s="52"/>
    </row>
    <row r="12" spans="1:114" ht="15" customHeight="1" x14ac:dyDescent="0.25">
      <c r="A12" s="53" t="s">
        <v>0</v>
      </c>
      <c r="B12" s="54">
        <v>688</v>
      </c>
      <c r="C12" s="55">
        <f>C$11</f>
        <v>28</v>
      </c>
      <c r="D12" s="55">
        <f>D$11</f>
        <v>28</v>
      </c>
      <c r="E12" s="55">
        <f t="shared" ref="D12:F29" si="4">E$11</f>
        <v>28</v>
      </c>
      <c r="F12" s="56">
        <f>ROUND($B12*C12%,0)</f>
        <v>193</v>
      </c>
      <c r="G12" s="57">
        <f t="shared" ref="G12:H26" si="5">ROUND($B12*D12%,0)</f>
        <v>193</v>
      </c>
      <c r="H12" s="57">
        <f t="shared" si="5"/>
        <v>193</v>
      </c>
      <c r="I12" s="58">
        <f>LOOKUP(B12,{0,100,400,600,1000,1500},{0.1,0.2,0.4,0.6,0.8,1})</f>
        <v>0.6</v>
      </c>
      <c r="J12" s="59">
        <f>ROUNDDOWN($J$11*I12,2)</f>
        <v>545382.02</v>
      </c>
      <c r="K12" s="59">
        <f>ROUNDDOWN(J12*10%,2)</f>
        <v>54538.2</v>
      </c>
      <c r="L12" s="59">
        <f>J12+K12</f>
        <v>599920.22</v>
      </c>
      <c r="M12" s="60">
        <f>ROUNDUP(F12*M$11,2)</f>
        <v>1771153.28</v>
      </c>
      <c r="N12" s="59">
        <f>ROUNDUP(G12*N$11,2)</f>
        <v>1841999.42</v>
      </c>
      <c r="O12" s="59">
        <f>ROUNDUP(H12*O$11,2)</f>
        <v>1915679.39</v>
      </c>
      <c r="P12" s="60">
        <f t="shared" ref="P12:P29" si="6">ROUNDUP(($L12+M12)/1000,1)*1000</f>
        <v>2371100</v>
      </c>
      <c r="Q12" s="59">
        <f>ROUNDUP(($L12*104%+N12)/1000,1)*1000</f>
        <v>2466000</v>
      </c>
      <c r="R12" s="59">
        <f>ROUNDUP(($L12*104%*104%+O12)/1000,1)*1000</f>
        <v>2564600</v>
      </c>
      <c r="S12" s="61">
        <f>P12/1000</f>
        <v>2371.1</v>
      </c>
      <c r="T12" s="62">
        <f>Q12/1000</f>
        <v>2466</v>
      </c>
      <c r="U12" s="63">
        <f>R12/1000</f>
        <v>2564.6</v>
      </c>
    </row>
    <row r="13" spans="1:114" ht="15" customHeight="1" x14ac:dyDescent="0.25">
      <c r="A13" s="65" t="s">
        <v>1</v>
      </c>
      <c r="B13" s="54">
        <v>448</v>
      </c>
      <c r="C13" s="66">
        <f t="shared" ref="C13:E29" si="7">C$11</f>
        <v>28</v>
      </c>
      <c r="D13" s="66">
        <f t="shared" si="4"/>
        <v>28</v>
      </c>
      <c r="E13" s="66">
        <f t="shared" si="4"/>
        <v>28</v>
      </c>
      <c r="F13" s="56">
        <f t="shared" ref="F13:H28" si="8">ROUND($B13*C13%,0)</f>
        <v>125</v>
      </c>
      <c r="G13" s="67">
        <f t="shared" si="5"/>
        <v>125</v>
      </c>
      <c r="H13" s="67">
        <f t="shared" si="5"/>
        <v>125</v>
      </c>
      <c r="I13" s="68">
        <f>LOOKUP(B13,{0,100,400,600,1000,1500},{0.1,0.2,0.4,0.6,0.8,1})</f>
        <v>0.4</v>
      </c>
      <c r="J13" s="59">
        <f t="shared" ref="J13:J29" si="9">ROUNDDOWN($J$11*I13,2)</f>
        <v>363588.01</v>
      </c>
      <c r="K13" s="59">
        <f t="shared" ref="K13:K29" si="10">ROUNDDOWN(J13*10%,2)</f>
        <v>36358.800000000003</v>
      </c>
      <c r="L13" s="69">
        <f t="shared" ref="L13:L28" si="11">J13+K13</f>
        <v>399946.81</v>
      </c>
      <c r="M13" s="60">
        <f t="shared" ref="M13:O29" si="12">ROUNDUP(F13*M$11,2)</f>
        <v>1147120</v>
      </c>
      <c r="N13" s="59">
        <f t="shared" si="12"/>
        <v>1193004.8</v>
      </c>
      <c r="O13" s="59">
        <f t="shared" si="12"/>
        <v>1240725</v>
      </c>
      <c r="P13" s="60">
        <f t="shared" si="6"/>
        <v>1547100</v>
      </c>
      <c r="Q13" s="59">
        <f t="shared" ref="Q13:Q29" si="13">ROUNDUP(($L13*104%+N13)/1000,1)*1000</f>
        <v>1609000</v>
      </c>
      <c r="R13" s="59">
        <f t="shared" ref="R13:R29" si="14">ROUNDUP(($L13*104%*104%+O13)/1000,1)*1000</f>
        <v>1673399.9999999998</v>
      </c>
      <c r="S13" s="61">
        <f t="shared" ref="S13:U29" si="15">P13/1000</f>
        <v>1547.1</v>
      </c>
      <c r="T13" s="62">
        <f t="shared" si="15"/>
        <v>1609</v>
      </c>
      <c r="U13" s="63">
        <f t="shared" si="15"/>
        <v>1673.3999999999999</v>
      </c>
    </row>
    <row r="14" spans="1:114" s="70" customFormat="1" ht="15" customHeight="1" x14ac:dyDescent="0.25">
      <c r="A14" s="65" t="s">
        <v>2</v>
      </c>
      <c r="B14" s="54">
        <v>949</v>
      </c>
      <c r="C14" s="66">
        <f t="shared" si="7"/>
        <v>28</v>
      </c>
      <c r="D14" s="66">
        <f t="shared" si="4"/>
        <v>28</v>
      </c>
      <c r="E14" s="66">
        <f t="shared" si="4"/>
        <v>28</v>
      </c>
      <c r="F14" s="56">
        <f t="shared" si="8"/>
        <v>266</v>
      </c>
      <c r="G14" s="67">
        <f t="shared" si="5"/>
        <v>266</v>
      </c>
      <c r="H14" s="67">
        <f t="shared" si="5"/>
        <v>266</v>
      </c>
      <c r="I14" s="68">
        <f>LOOKUP(B14,{0,100,400,600,1000,1500},{0.1,0.2,0.4,0.6,0.8,1})</f>
        <v>0.6</v>
      </c>
      <c r="J14" s="59">
        <f t="shared" si="9"/>
        <v>545382.02</v>
      </c>
      <c r="K14" s="59">
        <f t="shared" si="10"/>
        <v>54538.2</v>
      </c>
      <c r="L14" s="69">
        <f t="shared" si="11"/>
        <v>599920.22</v>
      </c>
      <c r="M14" s="60">
        <f t="shared" si="12"/>
        <v>2441071.36</v>
      </c>
      <c r="N14" s="59">
        <f t="shared" si="12"/>
        <v>2538714.2199999997</v>
      </c>
      <c r="O14" s="59">
        <f t="shared" si="12"/>
        <v>2640262.7899999996</v>
      </c>
      <c r="P14" s="60">
        <f t="shared" si="6"/>
        <v>3041000</v>
      </c>
      <c r="Q14" s="59">
        <f t="shared" si="13"/>
        <v>3162700</v>
      </c>
      <c r="R14" s="59">
        <f t="shared" si="14"/>
        <v>3289200</v>
      </c>
      <c r="S14" s="61">
        <f t="shared" si="15"/>
        <v>3041</v>
      </c>
      <c r="T14" s="62">
        <f t="shared" si="15"/>
        <v>3162.7</v>
      </c>
      <c r="U14" s="63">
        <f t="shared" si="15"/>
        <v>3289.2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</row>
    <row r="15" spans="1:114" ht="15" customHeight="1" x14ac:dyDescent="0.25">
      <c r="A15" s="71" t="s">
        <v>3</v>
      </c>
      <c r="B15" s="54">
        <v>921</v>
      </c>
      <c r="C15" s="66">
        <f t="shared" si="7"/>
        <v>28</v>
      </c>
      <c r="D15" s="66">
        <f t="shared" si="4"/>
        <v>28</v>
      </c>
      <c r="E15" s="66">
        <f t="shared" si="4"/>
        <v>28</v>
      </c>
      <c r="F15" s="56">
        <f t="shared" si="8"/>
        <v>258</v>
      </c>
      <c r="G15" s="67">
        <f t="shared" si="5"/>
        <v>258</v>
      </c>
      <c r="H15" s="67">
        <f t="shared" si="5"/>
        <v>258</v>
      </c>
      <c r="I15" s="11">
        <f>LOOKUP(B15,{0,100,400,600,1000,1500},{0.1,0.2,0.4,0.6,0.8,1})</f>
        <v>0.6</v>
      </c>
      <c r="J15" s="59">
        <f t="shared" si="9"/>
        <v>545382.02</v>
      </c>
      <c r="K15" s="59">
        <f t="shared" si="10"/>
        <v>54538.2</v>
      </c>
      <c r="L15" s="72">
        <f t="shared" si="11"/>
        <v>599920.22</v>
      </c>
      <c r="M15" s="60">
        <f t="shared" si="12"/>
        <v>2367655.6800000002</v>
      </c>
      <c r="N15" s="59">
        <f t="shared" si="12"/>
        <v>2462361.9099999997</v>
      </c>
      <c r="O15" s="59">
        <f t="shared" si="12"/>
        <v>2560856.3899999997</v>
      </c>
      <c r="P15" s="60">
        <f t="shared" si="6"/>
        <v>2967600</v>
      </c>
      <c r="Q15" s="59">
        <f t="shared" si="13"/>
        <v>3086299.9999999995</v>
      </c>
      <c r="R15" s="59">
        <f t="shared" si="14"/>
        <v>3209799.9999999995</v>
      </c>
      <c r="S15" s="61">
        <f t="shared" si="15"/>
        <v>2967.6</v>
      </c>
      <c r="T15" s="62">
        <f t="shared" si="15"/>
        <v>3086.2999999999997</v>
      </c>
      <c r="U15" s="63">
        <f t="shared" si="15"/>
        <v>3209.7999999999997</v>
      </c>
    </row>
    <row r="16" spans="1:114" ht="15" customHeight="1" x14ac:dyDescent="0.25">
      <c r="A16" s="71" t="s">
        <v>17</v>
      </c>
      <c r="B16" s="54">
        <v>1042</v>
      </c>
      <c r="C16" s="66">
        <f t="shared" si="7"/>
        <v>28</v>
      </c>
      <c r="D16" s="66">
        <f t="shared" si="4"/>
        <v>28</v>
      </c>
      <c r="E16" s="66">
        <f t="shared" si="4"/>
        <v>28</v>
      </c>
      <c r="F16" s="56">
        <f t="shared" si="8"/>
        <v>292</v>
      </c>
      <c r="G16" s="67">
        <f t="shared" si="5"/>
        <v>292</v>
      </c>
      <c r="H16" s="67">
        <f t="shared" si="5"/>
        <v>292</v>
      </c>
      <c r="I16" s="11">
        <f>LOOKUP(B16,{0,100,400,600,1000,1500},{0.1,0.2,0.4,0.6,0.8,1})</f>
        <v>0.8</v>
      </c>
      <c r="J16" s="59">
        <f t="shared" si="9"/>
        <v>727176.02</v>
      </c>
      <c r="K16" s="59">
        <f t="shared" si="10"/>
        <v>72717.600000000006</v>
      </c>
      <c r="L16" s="72">
        <f t="shared" si="11"/>
        <v>799893.62</v>
      </c>
      <c r="M16" s="60">
        <f t="shared" si="12"/>
        <v>2679672.3199999998</v>
      </c>
      <c r="N16" s="59">
        <f t="shared" si="12"/>
        <v>2786859.2199999997</v>
      </c>
      <c r="O16" s="59">
        <f t="shared" si="12"/>
        <v>2898333.59</v>
      </c>
      <c r="P16" s="60">
        <f t="shared" si="6"/>
        <v>3479600</v>
      </c>
      <c r="Q16" s="59">
        <f t="shared" si="13"/>
        <v>3618799.9999999995</v>
      </c>
      <c r="R16" s="59">
        <f t="shared" si="14"/>
        <v>3763500</v>
      </c>
      <c r="S16" s="61">
        <f t="shared" si="15"/>
        <v>3479.6</v>
      </c>
      <c r="T16" s="62">
        <f t="shared" si="15"/>
        <v>3618.7999999999997</v>
      </c>
      <c r="U16" s="63">
        <f t="shared" si="15"/>
        <v>3763.5</v>
      </c>
    </row>
    <row r="17" spans="1:21" ht="15" customHeight="1" x14ac:dyDescent="0.25">
      <c r="A17" s="71" t="s">
        <v>4</v>
      </c>
      <c r="B17" s="54">
        <v>923</v>
      </c>
      <c r="C17" s="66">
        <f t="shared" si="7"/>
        <v>28</v>
      </c>
      <c r="D17" s="66">
        <f t="shared" si="4"/>
        <v>28</v>
      </c>
      <c r="E17" s="66">
        <f t="shared" si="4"/>
        <v>28</v>
      </c>
      <c r="F17" s="56">
        <f t="shared" si="8"/>
        <v>258</v>
      </c>
      <c r="G17" s="67">
        <f t="shared" si="5"/>
        <v>258</v>
      </c>
      <c r="H17" s="67">
        <f t="shared" si="5"/>
        <v>258</v>
      </c>
      <c r="I17" s="11">
        <f>LOOKUP(B17,{0,100,400,600,1000,1500},{0.1,0.2,0.4,0.6,0.8,1})</f>
        <v>0.6</v>
      </c>
      <c r="J17" s="59">
        <f t="shared" si="9"/>
        <v>545382.02</v>
      </c>
      <c r="K17" s="59">
        <f t="shared" si="10"/>
        <v>54538.2</v>
      </c>
      <c r="L17" s="72">
        <f t="shared" si="11"/>
        <v>599920.22</v>
      </c>
      <c r="M17" s="60">
        <f t="shared" si="12"/>
        <v>2367655.6800000002</v>
      </c>
      <c r="N17" s="59">
        <f t="shared" si="12"/>
        <v>2462361.9099999997</v>
      </c>
      <c r="O17" s="59">
        <f t="shared" si="12"/>
        <v>2560856.3899999997</v>
      </c>
      <c r="P17" s="60">
        <f t="shared" si="6"/>
        <v>2967600</v>
      </c>
      <c r="Q17" s="59">
        <f t="shared" si="13"/>
        <v>3086299.9999999995</v>
      </c>
      <c r="R17" s="59">
        <f t="shared" si="14"/>
        <v>3209799.9999999995</v>
      </c>
      <c r="S17" s="61">
        <f t="shared" si="15"/>
        <v>2967.6</v>
      </c>
      <c r="T17" s="62">
        <f t="shared" si="15"/>
        <v>3086.2999999999997</v>
      </c>
      <c r="U17" s="63">
        <f t="shared" si="15"/>
        <v>3209.7999999999997</v>
      </c>
    </row>
    <row r="18" spans="1:21" ht="15" customHeight="1" x14ac:dyDescent="0.25">
      <c r="A18" s="71" t="s">
        <v>5</v>
      </c>
      <c r="B18" s="54">
        <v>646</v>
      </c>
      <c r="C18" s="66">
        <f t="shared" si="7"/>
        <v>28</v>
      </c>
      <c r="D18" s="66">
        <f t="shared" si="4"/>
        <v>28</v>
      </c>
      <c r="E18" s="66">
        <f t="shared" si="4"/>
        <v>28</v>
      </c>
      <c r="F18" s="56">
        <f t="shared" si="8"/>
        <v>181</v>
      </c>
      <c r="G18" s="67">
        <f t="shared" si="5"/>
        <v>181</v>
      </c>
      <c r="H18" s="67">
        <f t="shared" si="5"/>
        <v>181</v>
      </c>
      <c r="I18" s="11">
        <f>LOOKUP(B18,{0,100,400,600,1000,1500},{0.1,0.2,0.4,0.6,0.8,1})</f>
        <v>0.6</v>
      </c>
      <c r="J18" s="59">
        <f t="shared" si="9"/>
        <v>545382.02</v>
      </c>
      <c r="K18" s="59">
        <f t="shared" si="10"/>
        <v>54538.2</v>
      </c>
      <c r="L18" s="72">
        <f t="shared" si="11"/>
        <v>599920.22</v>
      </c>
      <c r="M18" s="60">
        <f t="shared" si="12"/>
        <v>1661029.76</v>
      </c>
      <c r="N18" s="59">
        <f t="shared" si="12"/>
        <v>1727470.96</v>
      </c>
      <c r="O18" s="59">
        <f t="shared" si="12"/>
        <v>1796569.79</v>
      </c>
      <c r="P18" s="60">
        <f t="shared" si="6"/>
        <v>2261000</v>
      </c>
      <c r="Q18" s="59">
        <f t="shared" si="13"/>
        <v>2351400</v>
      </c>
      <c r="R18" s="59">
        <f t="shared" si="14"/>
        <v>2445500</v>
      </c>
      <c r="S18" s="61">
        <f t="shared" si="15"/>
        <v>2261</v>
      </c>
      <c r="T18" s="62">
        <f t="shared" si="15"/>
        <v>2351.4</v>
      </c>
      <c r="U18" s="63">
        <f t="shared" si="15"/>
        <v>2445.5</v>
      </c>
    </row>
    <row r="19" spans="1:21" ht="15" customHeight="1" x14ac:dyDescent="0.25">
      <c r="A19" s="71" t="s">
        <v>6</v>
      </c>
      <c r="B19" s="54">
        <v>543</v>
      </c>
      <c r="C19" s="66">
        <f t="shared" si="7"/>
        <v>28</v>
      </c>
      <c r="D19" s="66">
        <f t="shared" si="4"/>
        <v>28</v>
      </c>
      <c r="E19" s="66">
        <f t="shared" si="4"/>
        <v>28</v>
      </c>
      <c r="F19" s="56">
        <f t="shared" si="8"/>
        <v>152</v>
      </c>
      <c r="G19" s="67">
        <f t="shared" si="5"/>
        <v>152</v>
      </c>
      <c r="H19" s="67">
        <f t="shared" si="5"/>
        <v>152</v>
      </c>
      <c r="I19" s="11">
        <f>LOOKUP(B19,{0,100,400,600,1000,1500},{0.1,0.2,0.4,0.6,0.8,1})</f>
        <v>0.4</v>
      </c>
      <c r="J19" s="59">
        <f t="shared" si="9"/>
        <v>363588.01</v>
      </c>
      <c r="K19" s="59">
        <f t="shared" si="10"/>
        <v>36358.800000000003</v>
      </c>
      <c r="L19" s="72">
        <f t="shared" si="11"/>
        <v>399946.81</v>
      </c>
      <c r="M19" s="60">
        <f t="shared" si="12"/>
        <v>1394897.9199999999</v>
      </c>
      <c r="N19" s="59">
        <f t="shared" si="12"/>
        <v>1450693.84</v>
      </c>
      <c r="O19" s="59">
        <f t="shared" si="12"/>
        <v>1508721.6</v>
      </c>
      <c r="P19" s="60">
        <f t="shared" si="6"/>
        <v>1794899.9999999998</v>
      </c>
      <c r="Q19" s="59">
        <f t="shared" si="13"/>
        <v>1866699.9999999998</v>
      </c>
      <c r="R19" s="59">
        <f t="shared" si="14"/>
        <v>1941399.9999999998</v>
      </c>
      <c r="S19" s="61">
        <f t="shared" si="15"/>
        <v>1794.8999999999999</v>
      </c>
      <c r="T19" s="62">
        <f t="shared" si="15"/>
        <v>1866.6999999999998</v>
      </c>
      <c r="U19" s="63">
        <f t="shared" si="15"/>
        <v>1941.3999999999999</v>
      </c>
    </row>
    <row r="20" spans="1:21" ht="15" customHeight="1" x14ac:dyDescent="0.25">
      <c r="A20" s="65" t="s">
        <v>7</v>
      </c>
      <c r="B20" s="54">
        <v>918</v>
      </c>
      <c r="C20" s="66">
        <f t="shared" si="7"/>
        <v>28</v>
      </c>
      <c r="D20" s="66">
        <f t="shared" si="4"/>
        <v>28</v>
      </c>
      <c r="E20" s="66">
        <f t="shared" si="4"/>
        <v>28</v>
      </c>
      <c r="F20" s="56">
        <f t="shared" si="8"/>
        <v>257</v>
      </c>
      <c r="G20" s="67">
        <f t="shared" si="5"/>
        <v>257</v>
      </c>
      <c r="H20" s="67">
        <f t="shared" si="5"/>
        <v>257</v>
      </c>
      <c r="I20" s="68">
        <f>LOOKUP(B20,{0,100,400,600,1000,1500},{0.1,0.2,0.4,0.6,0.8,1})</f>
        <v>0.6</v>
      </c>
      <c r="J20" s="59">
        <f t="shared" si="9"/>
        <v>545382.02</v>
      </c>
      <c r="K20" s="59">
        <f t="shared" si="10"/>
        <v>54538.2</v>
      </c>
      <c r="L20" s="69">
        <f t="shared" si="11"/>
        <v>599920.22</v>
      </c>
      <c r="M20" s="60">
        <f t="shared" si="12"/>
        <v>2358478.7200000002</v>
      </c>
      <c r="N20" s="59">
        <f t="shared" si="12"/>
        <v>2452817.8699999996</v>
      </c>
      <c r="O20" s="59">
        <f t="shared" si="12"/>
        <v>2550930.59</v>
      </c>
      <c r="P20" s="60">
        <f t="shared" si="6"/>
        <v>2958400</v>
      </c>
      <c r="Q20" s="59">
        <f t="shared" si="13"/>
        <v>3076799.9999999995</v>
      </c>
      <c r="R20" s="59">
        <f t="shared" si="14"/>
        <v>3199900</v>
      </c>
      <c r="S20" s="61">
        <f t="shared" si="15"/>
        <v>2958.4</v>
      </c>
      <c r="T20" s="62">
        <f t="shared" si="15"/>
        <v>3076.7999999999997</v>
      </c>
      <c r="U20" s="63">
        <f t="shared" si="15"/>
        <v>3199.9</v>
      </c>
    </row>
    <row r="21" spans="1:21" ht="15" customHeight="1" x14ac:dyDescent="0.25">
      <c r="A21" s="71" t="s">
        <v>8</v>
      </c>
      <c r="B21" s="57">
        <v>727</v>
      </c>
      <c r="C21" s="66">
        <f t="shared" si="7"/>
        <v>28</v>
      </c>
      <c r="D21" s="66">
        <f t="shared" si="4"/>
        <v>28</v>
      </c>
      <c r="E21" s="66">
        <f t="shared" si="4"/>
        <v>28</v>
      </c>
      <c r="F21" s="56">
        <f t="shared" si="8"/>
        <v>204</v>
      </c>
      <c r="G21" s="67">
        <f t="shared" si="5"/>
        <v>204</v>
      </c>
      <c r="H21" s="67">
        <f t="shared" si="5"/>
        <v>204</v>
      </c>
      <c r="I21" s="11">
        <f>LOOKUP(B21,{0,100,400,600,1000,1500},{0.1,0.2,0.4,0.6,0.8,1})</f>
        <v>0.6</v>
      </c>
      <c r="J21" s="59">
        <f t="shared" si="9"/>
        <v>545382.02</v>
      </c>
      <c r="K21" s="59">
        <f t="shared" si="10"/>
        <v>54538.2</v>
      </c>
      <c r="L21" s="72">
        <f t="shared" si="11"/>
        <v>599920.22</v>
      </c>
      <c r="M21" s="60">
        <f t="shared" si="12"/>
        <v>1872099.84</v>
      </c>
      <c r="N21" s="59">
        <f t="shared" si="12"/>
        <v>1946983.84</v>
      </c>
      <c r="O21" s="59">
        <f t="shared" si="12"/>
        <v>2024863.19</v>
      </c>
      <c r="P21" s="60">
        <f t="shared" si="6"/>
        <v>2472100</v>
      </c>
      <c r="Q21" s="59">
        <f t="shared" si="13"/>
        <v>2571000</v>
      </c>
      <c r="R21" s="59">
        <f t="shared" si="14"/>
        <v>2673799.9999999995</v>
      </c>
      <c r="S21" s="61">
        <f t="shared" si="15"/>
        <v>2472.1</v>
      </c>
      <c r="T21" s="62">
        <f t="shared" si="15"/>
        <v>2571</v>
      </c>
      <c r="U21" s="63">
        <f t="shared" si="15"/>
        <v>2673.7999999999997</v>
      </c>
    </row>
    <row r="22" spans="1:21" ht="15" customHeight="1" x14ac:dyDescent="0.25">
      <c r="A22" s="71" t="s">
        <v>9</v>
      </c>
      <c r="B22" s="57">
        <v>629</v>
      </c>
      <c r="C22" s="66">
        <f t="shared" si="7"/>
        <v>28</v>
      </c>
      <c r="D22" s="66">
        <f t="shared" si="4"/>
        <v>28</v>
      </c>
      <c r="E22" s="66">
        <f t="shared" si="4"/>
        <v>28</v>
      </c>
      <c r="F22" s="56">
        <f t="shared" si="8"/>
        <v>176</v>
      </c>
      <c r="G22" s="67">
        <f t="shared" si="5"/>
        <v>176</v>
      </c>
      <c r="H22" s="67">
        <f t="shared" si="5"/>
        <v>176</v>
      </c>
      <c r="I22" s="11">
        <f>LOOKUP(B22,{0,100,400,600,1000,1500},{0.1,0.2,0.4,0.6,0.8,1})</f>
        <v>0.6</v>
      </c>
      <c r="J22" s="59">
        <f t="shared" si="9"/>
        <v>545382.02</v>
      </c>
      <c r="K22" s="59">
        <f t="shared" si="10"/>
        <v>54538.2</v>
      </c>
      <c r="L22" s="72">
        <f t="shared" si="11"/>
        <v>599920.22</v>
      </c>
      <c r="M22" s="60">
        <f t="shared" si="12"/>
        <v>1615144.96</v>
      </c>
      <c r="N22" s="59">
        <f t="shared" si="12"/>
        <v>1679750.76</v>
      </c>
      <c r="O22" s="59">
        <f t="shared" si="12"/>
        <v>1746940.79</v>
      </c>
      <c r="P22" s="60">
        <f t="shared" si="6"/>
        <v>2215100</v>
      </c>
      <c r="Q22" s="59">
        <f t="shared" si="13"/>
        <v>2303700</v>
      </c>
      <c r="R22" s="59">
        <f t="shared" si="14"/>
        <v>2395900</v>
      </c>
      <c r="S22" s="61">
        <f t="shared" si="15"/>
        <v>2215.1</v>
      </c>
      <c r="T22" s="62">
        <f t="shared" si="15"/>
        <v>2303.6999999999998</v>
      </c>
      <c r="U22" s="63">
        <f t="shared" si="15"/>
        <v>2395.9</v>
      </c>
    </row>
    <row r="23" spans="1:21" ht="15" customHeight="1" x14ac:dyDescent="0.25">
      <c r="A23" s="71" t="s">
        <v>10</v>
      </c>
      <c r="B23" s="57">
        <v>505</v>
      </c>
      <c r="C23" s="66">
        <f t="shared" si="7"/>
        <v>28</v>
      </c>
      <c r="D23" s="66">
        <f t="shared" si="4"/>
        <v>28</v>
      </c>
      <c r="E23" s="66">
        <f t="shared" si="4"/>
        <v>28</v>
      </c>
      <c r="F23" s="56">
        <f t="shared" si="8"/>
        <v>141</v>
      </c>
      <c r="G23" s="67">
        <f t="shared" si="5"/>
        <v>141</v>
      </c>
      <c r="H23" s="67">
        <f t="shared" si="5"/>
        <v>141</v>
      </c>
      <c r="I23" s="11">
        <f>LOOKUP(B23,{0,100,400,600,1000,1500},{0.1,0.2,0.4,0.6,0.8,1})</f>
        <v>0.4</v>
      </c>
      <c r="J23" s="59">
        <f t="shared" si="9"/>
        <v>363588.01</v>
      </c>
      <c r="K23" s="59">
        <f t="shared" si="10"/>
        <v>36358.800000000003</v>
      </c>
      <c r="L23" s="72">
        <f t="shared" si="11"/>
        <v>399946.81</v>
      </c>
      <c r="M23" s="60">
        <f t="shared" si="12"/>
        <v>1293951.3600000001</v>
      </c>
      <c r="N23" s="59">
        <f t="shared" si="12"/>
        <v>1345709.42</v>
      </c>
      <c r="O23" s="59">
        <f t="shared" si="12"/>
        <v>1399537.8</v>
      </c>
      <c r="P23" s="60">
        <f t="shared" si="6"/>
        <v>1693899.9999999998</v>
      </c>
      <c r="Q23" s="59">
        <f t="shared" si="13"/>
        <v>1761699.9999999998</v>
      </c>
      <c r="R23" s="59">
        <f t="shared" si="14"/>
        <v>1832199.9999999998</v>
      </c>
      <c r="S23" s="61">
        <f t="shared" si="15"/>
        <v>1693.8999999999999</v>
      </c>
      <c r="T23" s="62">
        <f t="shared" si="15"/>
        <v>1761.6999999999998</v>
      </c>
      <c r="U23" s="63">
        <f t="shared" si="15"/>
        <v>1832.1999999999998</v>
      </c>
    </row>
    <row r="24" spans="1:21" ht="15" customHeight="1" x14ac:dyDescent="0.25">
      <c r="A24" s="71" t="s">
        <v>11</v>
      </c>
      <c r="B24" s="57">
        <v>578</v>
      </c>
      <c r="C24" s="66">
        <f t="shared" si="7"/>
        <v>28</v>
      </c>
      <c r="D24" s="66">
        <f t="shared" si="4"/>
        <v>28</v>
      </c>
      <c r="E24" s="66">
        <f t="shared" si="4"/>
        <v>28</v>
      </c>
      <c r="F24" s="56">
        <f t="shared" si="8"/>
        <v>162</v>
      </c>
      <c r="G24" s="67">
        <f t="shared" si="5"/>
        <v>162</v>
      </c>
      <c r="H24" s="67">
        <f t="shared" si="5"/>
        <v>162</v>
      </c>
      <c r="I24" s="11">
        <f>LOOKUP(B24,{0,100,400,600,1000,1500},{0.1,0.2,0.4,0.6,0.8,1})</f>
        <v>0.4</v>
      </c>
      <c r="J24" s="59">
        <f t="shared" si="9"/>
        <v>363588.01</v>
      </c>
      <c r="K24" s="59">
        <f t="shared" si="10"/>
        <v>36358.800000000003</v>
      </c>
      <c r="L24" s="72">
        <f t="shared" si="11"/>
        <v>399946.81</v>
      </c>
      <c r="M24" s="60">
        <f t="shared" si="12"/>
        <v>1486667.52</v>
      </c>
      <c r="N24" s="59">
        <f t="shared" si="12"/>
        <v>1546134.23</v>
      </c>
      <c r="O24" s="59">
        <f t="shared" si="12"/>
        <v>1607979.59</v>
      </c>
      <c r="P24" s="60">
        <f t="shared" si="6"/>
        <v>1886699.9999999998</v>
      </c>
      <c r="Q24" s="59">
        <f t="shared" si="13"/>
        <v>1962100</v>
      </c>
      <c r="R24" s="59">
        <f t="shared" si="14"/>
        <v>2040600</v>
      </c>
      <c r="S24" s="61">
        <f t="shared" si="15"/>
        <v>1886.6999999999998</v>
      </c>
      <c r="T24" s="62">
        <f t="shared" si="15"/>
        <v>1962.1</v>
      </c>
      <c r="U24" s="63">
        <f t="shared" si="15"/>
        <v>2040.6</v>
      </c>
    </row>
    <row r="25" spans="1:21" ht="15" customHeight="1" x14ac:dyDescent="0.25">
      <c r="A25" s="71" t="s">
        <v>12</v>
      </c>
      <c r="B25" s="57">
        <v>1066</v>
      </c>
      <c r="C25" s="66">
        <f t="shared" si="7"/>
        <v>28</v>
      </c>
      <c r="D25" s="66">
        <f t="shared" si="4"/>
        <v>28</v>
      </c>
      <c r="E25" s="66">
        <f t="shared" si="4"/>
        <v>28</v>
      </c>
      <c r="F25" s="56">
        <f t="shared" si="8"/>
        <v>298</v>
      </c>
      <c r="G25" s="67">
        <f t="shared" si="5"/>
        <v>298</v>
      </c>
      <c r="H25" s="67">
        <f t="shared" si="5"/>
        <v>298</v>
      </c>
      <c r="I25" s="11">
        <f>LOOKUP(B25,{0,100,400,600,1000,1500},{0.1,0.2,0.4,0.6,0.8,1})</f>
        <v>0.8</v>
      </c>
      <c r="J25" s="59">
        <f t="shared" si="9"/>
        <v>727176.02</v>
      </c>
      <c r="K25" s="59">
        <f t="shared" si="10"/>
        <v>72717.600000000006</v>
      </c>
      <c r="L25" s="72">
        <f t="shared" si="11"/>
        <v>799893.62</v>
      </c>
      <c r="M25" s="60">
        <f t="shared" si="12"/>
        <v>2734734.08</v>
      </c>
      <c r="N25" s="59">
        <f t="shared" si="12"/>
        <v>2844123.4499999997</v>
      </c>
      <c r="O25" s="59">
        <f t="shared" si="12"/>
        <v>2957888.3899999997</v>
      </c>
      <c r="P25" s="60">
        <f t="shared" si="6"/>
        <v>3534700</v>
      </c>
      <c r="Q25" s="59">
        <f t="shared" si="13"/>
        <v>3676100</v>
      </c>
      <c r="R25" s="59">
        <f t="shared" si="14"/>
        <v>3823100</v>
      </c>
      <c r="S25" s="61">
        <f t="shared" si="15"/>
        <v>3534.7</v>
      </c>
      <c r="T25" s="62">
        <f t="shared" si="15"/>
        <v>3676.1</v>
      </c>
      <c r="U25" s="63">
        <f t="shared" si="15"/>
        <v>3823.1</v>
      </c>
    </row>
    <row r="26" spans="1:21" ht="15" customHeight="1" x14ac:dyDescent="0.25">
      <c r="A26" s="71" t="s">
        <v>13</v>
      </c>
      <c r="B26" s="57">
        <v>467</v>
      </c>
      <c r="C26" s="66">
        <f t="shared" si="7"/>
        <v>28</v>
      </c>
      <c r="D26" s="66">
        <f t="shared" si="4"/>
        <v>28</v>
      </c>
      <c r="E26" s="66">
        <f t="shared" si="4"/>
        <v>28</v>
      </c>
      <c r="F26" s="56">
        <f t="shared" si="8"/>
        <v>131</v>
      </c>
      <c r="G26" s="67">
        <f t="shared" si="5"/>
        <v>131</v>
      </c>
      <c r="H26" s="67">
        <f t="shared" si="5"/>
        <v>131</v>
      </c>
      <c r="I26" s="11">
        <f>LOOKUP(B26,{0,100,400,600,1000,1500},{0.1,0.2,0.4,0.6,0.8,1})</f>
        <v>0.4</v>
      </c>
      <c r="J26" s="59">
        <f t="shared" si="9"/>
        <v>363588.01</v>
      </c>
      <c r="K26" s="59">
        <f t="shared" si="10"/>
        <v>36358.800000000003</v>
      </c>
      <c r="L26" s="72">
        <f t="shared" si="11"/>
        <v>399946.81</v>
      </c>
      <c r="M26" s="60">
        <f t="shared" si="12"/>
        <v>1202181.76</v>
      </c>
      <c r="N26" s="59">
        <f t="shared" si="12"/>
        <v>1250269.04</v>
      </c>
      <c r="O26" s="59">
        <f t="shared" si="12"/>
        <v>1300279.8</v>
      </c>
      <c r="P26" s="60">
        <f t="shared" si="6"/>
        <v>1602199.9999999998</v>
      </c>
      <c r="Q26" s="59">
        <f t="shared" si="13"/>
        <v>1666300</v>
      </c>
      <c r="R26" s="59">
        <f t="shared" si="14"/>
        <v>1732899.9999999998</v>
      </c>
      <c r="S26" s="61">
        <f t="shared" si="15"/>
        <v>1602.1999999999998</v>
      </c>
      <c r="T26" s="62">
        <f t="shared" si="15"/>
        <v>1666.3</v>
      </c>
      <c r="U26" s="63">
        <f t="shared" si="15"/>
        <v>1732.8999999999999</v>
      </c>
    </row>
    <row r="27" spans="1:21" ht="15" customHeight="1" x14ac:dyDescent="0.25">
      <c r="A27" s="71" t="s">
        <v>15</v>
      </c>
      <c r="B27" s="57">
        <v>962</v>
      </c>
      <c r="C27" s="66">
        <f t="shared" si="7"/>
        <v>28</v>
      </c>
      <c r="D27" s="66">
        <f t="shared" si="7"/>
        <v>28</v>
      </c>
      <c r="E27" s="66">
        <f t="shared" si="7"/>
        <v>28</v>
      </c>
      <c r="F27" s="56">
        <f t="shared" si="8"/>
        <v>269</v>
      </c>
      <c r="G27" s="67">
        <f t="shared" si="8"/>
        <v>269</v>
      </c>
      <c r="H27" s="67">
        <f t="shared" si="8"/>
        <v>269</v>
      </c>
      <c r="I27" s="11">
        <f>LOOKUP(B27,{0,100,400,600,1000,1500},{0.1,0.2,0.4,0.6,0.8,1})</f>
        <v>0.6</v>
      </c>
      <c r="J27" s="59">
        <f t="shared" si="9"/>
        <v>545382.02</v>
      </c>
      <c r="K27" s="59">
        <f t="shared" si="10"/>
        <v>54538.2</v>
      </c>
      <c r="L27" s="72">
        <f t="shared" si="11"/>
        <v>599920.22</v>
      </c>
      <c r="M27" s="60">
        <f t="shared" si="12"/>
        <v>2468602.2400000002</v>
      </c>
      <c r="N27" s="59">
        <f t="shared" si="12"/>
        <v>2567346.3299999996</v>
      </c>
      <c r="O27" s="59">
        <f t="shared" si="12"/>
        <v>2670040.19</v>
      </c>
      <c r="P27" s="60">
        <f t="shared" si="6"/>
        <v>3068600</v>
      </c>
      <c r="Q27" s="59">
        <f t="shared" si="13"/>
        <v>3191299.9999999995</v>
      </c>
      <c r="R27" s="59">
        <f t="shared" si="14"/>
        <v>3319000</v>
      </c>
      <c r="S27" s="61">
        <f t="shared" si="15"/>
        <v>3068.6</v>
      </c>
      <c r="T27" s="62">
        <f t="shared" si="15"/>
        <v>3191.2999999999997</v>
      </c>
      <c r="U27" s="63">
        <f t="shared" si="15"/>
        <v>3319</v>
      </c>
    </row>
    <row r="28" spans="1:21" ht="15" customHeight="1" x14ac:dyDescent="0.25">
      <c r="A28" s="71" t="s">
        <v>18</v>
      </c>
      <c r="B28" s="57">
        <v>454</v>
      </c>
      <c r="C28" s="66">
        <f t="shared" si="7"/>
        <v>28</v>
      </c>
      <c r="D28" s="66">
        <f t="shared" si="7"/>
        <v>28</v>
      </c>
      <c r="E28" s="66">
        <f t="shared" si="7"/>
        <v>28</v>
      </c>
      <c r="F28" s="56">
        <f t="shared" si="8"/>
        <v>127</v>
      </c>
      <c r="G28" s="67">
        <f t="shared" si="8"/>
        <v>127</v>
      </c>
      <c r="H28" s="67">
        <f t="shared" si="8"/>
        <v>127</v>
      </c>
      <c r="I28" s="11">
        <f>LOOKUP(B28,{0,100,400,600,1000,1500},{0.1,0.2,0.4,0.6,0.8,1})</f>
        <v>0.4</v>
      </c>
      <c r="J28" s="59">
        <f t="shared" si="9"/>
        <v>363588.01</v>
      </c>
      <c r="K28" s="59">
        <f t="shared" si="10"/>
        <v>36358.800000000003</v>
      </c>
      <c r="L28" s="72">
        <f t="shared" si="11"/>
        <v>399946.81</v>
      </c>
      <c r="M28" s="60">
        <f t="shared" si="12"/>
        <v>1165473.92</v>
      </c>
      <c r="N28" s="59">
        <f t="shared" si="12"/>
        <v>1212092.8800000001</v>
      </c>
      <c r="O28" s="59">
        <f t="shared" si="12"/>
        <v>1260576.6000000001</v>
      </c>
      <c r="P28" s="60">
        <f t="shared" si="6"/>
        <v>1565500</v>
      </c>
      <c r="Q28" s="59">
        <f t="shared" si="13"/>
        <v>1628100</v>
      </c>
      <c r="R28" s="59">
        <f t="shared" si="14"/>
        <v>1693199.9999999998</v>
      </c>
      <c r="S28" s="61">
        <f t="shared" si="15"/>
        <v>1565.5</v>
      </c>
      <c r="T28" s="62">
        <f t="shared" si="15"/>
        <v>1628.1</v>
      </c>
      <c r="U28" s="63">
        <f t="shared" si="15"/>
        <v>1693.1999999999998</v>
      </c>
    </row>
    <row r="29" spans="1:21" ht="15" customHeight="1" x14ac:dyDescent="0.25">
      <c r="A29" s="71" t="s">
        <v>14</v>
      </c>
      <c r="B29" s="57">
        <v>419</v>
      </c>
      <c r="C29" s="66">
        <f t="shared" si="7"/>
        <v>28</v>
      </c>
      <c r="D29" s="66">
        <f t="shared" si="4"/>
        <v>28</v>
      </c>
      <c r="E29" s="66">
        <f t="shared" si="4"/>
        <v>28</v>
      </c>
      <c r="F29" s="56">
        <f>ROUND($B29*C29%,0)</f>
        <v>117</v>
      </c>
      <c r="G29" s="67">
        <f>ROUND($B29*D29%,0)</f>
        <v>117</v>
      </c>
      <c r="H29" s="67">
        <f>ROUND($B29*E29%,0)</f>
        <v>117</v>
      </c>
      <c r="I29" s="11">
        <f>LOOKUP(B29,{0,100,400,600,1000,1500},{0.1,0.2,0.4,0.6,0.8,1})</f>
        <v>0.4</v>
      </c>
      <c r="J29" s="59">
        <f t="shared" si="9"/>
        <v>363588.01</v>
      </c>
      <c r="K29" s="59">
        <f t="shared" si="10"/>
        <v>36358.800000000003</v>
      </c>
      <c r="L29" s="72">
        <f>J29+K29</f>
        <v>399946.81</v>
      </c>
      <c r="M29" s="60">
        <f t="shared" si="12"/>
        <v>1073704.32</v>
      </c>
      <c r="N29" s="59">
        <f t="shared" si="12"/>
        <v>1116652.5</v>
      </c>
      <c r="O29" s="59">
        <f t="shared" si="12"/>
        <v>1161318.6000000001</v>
      </c>
      <c r="P29" s="60">
        <f t="shared" si="6"/>
        <v>1473699.9999999998</v>
      </c>
      <c r="Q29" s="59">
        <f t="shared" si="13"/>
        <v>1532600</v>
      </c>
      <c r="R29" s="59">
        <f t="shared" si="14"/>
        <v>1594000</v>
      </c>
      <c r="S29" s="61">
        <f t="shared" si="15"/>
        <v>1473.6999999999998</v>
      </c>
      <c r="T29" s="62">
        <f t="shared" si="15"/>
        <v>1532.6</v>
      </c>
      <c r="U29" s="63">
        <f t="shared" si="15"/>
        <v>1594</v>
      </c>
    </row>
    <row r="30" spans="1:21" ht="22.5" customHeight="1" thickBot="1" x14ac:dyDescent="0.3">
      <c r="A30" s="73" t="s">
        <v>16</v>
      </c>
      <c r="B30" s="74">
        <f>SUM(B12:B29)</f>
        <v>12885</v>
      </c>
      <c r="C30" s="75"/>
      <c r="D30" s="75"/>
      <c r="E30" s="75"/>
      <c r="F30" s="76">
        <f>SUM(F12:F29)</f>
        <v>3607</v>
      </c>
      <c r="G30" s="77">
        <f>SUM(G12:G29)</f>
        <v>3607</v>
      </c>
      <c r="H30" s="77">
        <f>SUM(H12:H29)</f>
        <v>3607</v>
      </c>
      <c r="I30" s="75"/>
      <c r="J30" s="78">
        <f>SUM(J12:J29)</f>
        <v>8907906.2899999972</v>
      </c>
      <c r="K30" s="78"/>
      <c r="L30" s="78">
        <f t="shared" ref="L30:U30" si="16">SUM(L12:L29)</f>
        <v>9798696.8899999987</v>
      </c>
      <c r="M30" s="79">
        <f t="shared" si="16"/>
        <v>33101294.719999999</v>
      </c>
      <c r="N30" s="78">
        <f t="shared" si="16"/>
        <v>34425346.599999994</v>
      </c>
      <c r="O30" s="78">
        <f t="shared" si="16"/>
        <v>35802360.480000004</v>
      </c>
      <c r="P30" s="79">
        <f t="shared" si="16"/>
        <v>42900800</v>
      </c>
      <c r="Q30" s="78">
        <f t="shared" si="16"/>
        <v>44616900</v>
      </c>
      <c r="R30" s="78">
        <f t="shared" si="16"/>
        <v>46401800</v>
      </c>
      <c r="S30" s="80">
        <f t="shared" si="16"/>
        <v>42900.799999999996</v>
      </c>
      <c r="T30" s="81">
        <f t="shared" si="16"/>
        <v>44616.9</v>
      </c>
      <c r="U30" s="82">
        <f t="shared" si="16"/>
        <v>46401.8</v>
      </c>
    </row>
    <row r="32" spans="1:21" x14ac:dyDescent="0.25">
      <c r="M32" s="64"/>
      <c r="P32" s="64"/>
      <c r="Q32" s="83"/>
      <c r="R32" s="64"/>
    </row>
    <row r="33" spans="2:17" x14ac:dyDescent="0.25">
      <c r="B33" s="84"/>
      <c r="J33" s="64"/>
      <c r="L33" s="64"/>
      <c r="O33" s="64"/>
    </row>
    <row r="34" spans="2:17" x14ac:dyDescent="0.25">
      <c r="L34" s="64"/>
      <c r="M34" s="64"/>
      <c r="N34" s="64"/>
      <c r="P34" s="64"/>
      <c r="Q34" s="64"/>
    </row>
    <row r="35" spans="2:17" x14ac:dyDescent="0.25">
      <c r="J35" s="64"/>
      <c r="L35" s="64"/>
      <c r="O35" s="64"/>
    </row>
    <row r="36" spans="2:17" x14ac:dyDescent="0.25">
      <c r="J36" s="64"/>
      <c r="L36" s="64"/>
      <c r="N36" s="64"/>
    </row>
    <row r="37" spans="2:17" x14ac:dyDescent="0.25">
      <c r="P37" s="84"/>
    </row>
    <row r="39" spans="2:17" x14ac:dyDescent="0.25">
      <c r="L39" s="64"/>
    </row>
  </sheetData>
  <mergeCells count="25">
    <mergeCell ref="A9:A11"/>
    <mergeCell ref="U10:U11"/>
    <mergeCell ref="F10:F11"/>
    <mergeCell ref="G10:G11"/>
    <mergeCell ref="H10:H11"/>
    <mergeCell ref="L9:L11"/>
    <mergeCell ref="S10:S11"/>
    <mergeCell ref="J9:J10"/>
    <mergeCell ref="T10:T11"/>
    <mergeCell ref="A2:U2"/>
    <mergeCell ref="A3:U3"/>
    <mergeCell ref="P8:R8"/>
    <mergeCell ref="P9:R9"/>
    <mergeCell ref="P10:P11"/>
    <mergeCell ref="Q10:Q11"/>
    <mergeCell ref="R10:R11"/>
    <mergeCell ref="C9:E9"/>
    <mergeCell ref="F9:H9"/>
    <mergeCell ref="M9:O9"/>
    <mergeCell ref="M8:O8"/>
    <mergeCell ref="S9:U9"/>
    <mergeCell ref="S8:U8"/>
    <mergeCell ref="I9:I11"/>
    <mergeCell ref="K9:K11"/>
    <mergeCell ref="B9:B11"/>
  </mergeCells>
  <pageMargins left="0.23622047244094491" right="0.23622047244094491" top="0.74803149606299213" bottom="0.74803149606299213" header="0.31496062992125984" footer="0.31496062992125984"/>
  <pageSetup paperSize="9" scale="48" fitToHeight="37" orientation="landscape" r:id="rId1"/>
  <colBreaks count="1" manualBreakCount="1">
    <brk id="8" max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2020-2022</vt:lpstr>
      <vt:lpstr>'2020-2022'!Область_печати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2019-08-26T11:35:33Z</dcterms:modified>
</cp:coreProperties>
</file>