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25" windowWidth="14805" windowHeight="6990" activeTab="1"/>
  </bookViews>
  <sheets>
    <sheet name="Расчет 2019" sheetId="8" r:id="rId1"/>
    <sheet name="Расчет 2020" sheetId="7" r:id="rId2"/>
    <sheet name="Расчет 2021" sheetId="3" r:id="rId3"/>
  </sheets>
  <definedNames>
    <definedName name="_xlnm.Print_Area" localSheetId="2">'Расчет 2021'!$A$1:$P$25</definedName>
  </definedNames>
  <calcPr calcId="145621"/>
</workbook>
</file>

<file path=xl/calcChain.xml><?xml version="1.0" encoding="utf-8"?>
<calcChain xmlns="http://schemas.openxmlformats.org/spreadsheetml/2006/main">
  <c r="S26" i="7" l="1"/>
  <c r="S25" i="7"/>
  <c r="S24" i="7"/>
  <c r="S23" i="7"/>
  <c r="S22" i="7"/>
  <c r="S21" i="7"/>
  <c r="S20" i="7"/>
  <c r="S19" i="7"/>
  <c r="R27" i="7"/>
  <c r="S21" i="8"/>
  <c r="S22" i="8"/>
  <c r="S23" i="8"/>
  <c r="S24" i="8"/>
  <c r="S25" i="8"/>
  <c r="S26" i="8"/>
  <c r="S27" i="8"/>
  <c r="S20" i="8"/>
  <c r="S9" i="8"/>
  <c r="S10" i="8"/>
  <c r="S11" i="8"/>
  <c r="S12" i="8"/>
  <c r="S13" i="8"/>
  <c r="S14" i="8"/>
  <c r="S15" i="8"/>
  <c r="S16" i="8"/>
  <c r="S17" i="8"/>
  <c r="S8" i="8"/>
  <c r="S28" i="8" s="1"/>
  <c r="R28" i="8"/>
  <c r="K7" i="7" l="1"/>
  <c r="I15" i="7" l="1"/>
  <c r="K15" i="7"/>
  <c r="I16" i="8"/>
  <c r="K16" i="8"/>
  <c r="N9" i="7" l="1"/>
  <c r="N23" i="3" l="1"/>
  <c r="H25" i="3" l="1"/>
  <c r="F25" i="3"/>
  <c r="G17" i="3" s="1"/>
  <c r="C25" i="3"/>
  <c r="I23" i="3" l="1"/>
  <c r="G23" i="3"/>
  <c r="E23" i="3"/>
  <c r="F18" i="8" l="1"/>
  <c r="C18" i="8"/>
  <c r="K17" i="8"/>
  <c r="K15" i="8"/>
  <c r="K14" i="8"/>
  <c r="K13" i="8"/>
  <c r="K12" i="8"/>
  <c r="K11" i="8"/>
  <c r="K10" i="8"/>
  <c r="K9" i="8"/>
  <c r="K8" i="8"/>
  <c r="F17" i="7"/>
  <c r="C17" i="7"/>
  <c r="E15" i="7" s="1"/>
  <c r="K16" i="7"/>
  <c r="K14" i="7"/>
  <c r="K13" i="7"/>
  <c r="K12" i="7"/>
  <c r="K11" i="7"/>
  <c r="K10" i="7"/>
  <c r="K9" i="7"/>
  <c r="K8" i="7"/>
  <c r="G15" i="7" l="1"/>
  <c r="L15" i="7" s="1"/>
  <c r="E16" i="7"/>
  <c r="E12" i="7"/>
  <c r="E7" i="7"/>
  <c r="E9" i="7"/>
  <c r="E13" i="7"/>
  <c r="E8" i="7"/>
  <c r="E10" i="7"/>
  <c r="E14" i="7"/>
  <c r="I10" i="7"/>
  <c r="I9" i="7"/>
  <c r="I14" i="7"/>
  <c r="I7" i="7"/>
  <c r="I16" i="7"/>
  <c r="I11" i="7"/>
  <c r="I12" i="7"/>
  <c r="I8" i="7"/>
  <c r="I13" i="7"/>
  <c r="I9" i="8"/>
  <c r="I15" i="8"/>
  <c r="I14" i="8"/>
  <c r="I10" i="8"/>
  <c r="I17" i="8"/>
  <c r="I11" i="8"/>
  <c r="I13" i="8"/>
  <c r="I12" i="8"/>
  <c r="I8" i="8"/>
  <c r="G10" i="7"/>
  <c r="G16" i="7"/>
  <c r="G14" i="7"/>
  <c r="G11" i="7"/>
  <c r="G12" i="7"/>
  <c r="G7" i="7"/>
  <c r="G8" i="7"/>
  <c r="G13" i="7"/>
  <c r="G9" i="7"/>
  <c r="G8" i="8"/>
  <c r="G14" i="8"/>
  <c r="G16" i="8"/>
  <c r="G9" i="8"/>
  <c r="G15" i="8"/>
  <c r="G10" i="8"/>
  <c r="G17" i="8"/>
  <c r="G11" i="8"/>
  <c r="G13" i="8"/>
  <c r="G12" i="8"/>
  <c r="E11" i="8"/>
  <c r="E17" i="8"/>
  <c r="E12" i="8"/>
  <c r="E13" i="8"/>
  <c r="E8" i="8"/>
  <c r="E9" i="8"/>
  <c r="E14" i="8"/>
  <c r="E16" i="8"/>
  <c r="E10" i="8"/>
  <c r="N10" i="8" s="1"/>
  <c r="E15" i="8"/>
  <c r="E11" i="7"/>
  <c r="L7" i="7" l="1"/>
  <c r="N7" i="7" s="1"/>
  <c r="L16" i="8"/>
  <c r="N16" i="8" s="1"/>
  <c r="L14" i="7"/>
  <c r="L15" i="8"/>
  <c r="N15" i="8" s="1"/>
  <c r="N15" i="7"/>
  <c r="L12" i="7"/>
  <c r="N12" i="7" s="1"/>
  <c r="L13" i="7"/>
  <c r="N13" i="7" s="1"/>
  <c r="L11" i="7"/>
  <c r="N11" i="7" s="1"/>
  <c r="L12" i="8"/>
  <c r="N12" i="8" s="1"/>
  <c r="L13" i="8"/>
  <c r="N13" i="8" s="1"/>
  <c r="L11" i="8"/>
  <c r="N11" i="8" s="1"/>
  <c r="L10" i="7"/>
  <c r="N10" i="7" s="1"/>
  <c r="L8" i="7"/>
  <c r="N8" i="7" s="1"/>
  <c r="L16" i="7"/>
  <c r="N16" i="7" s="1"/>
  <c r="L9" i="8"/>
  <c r="N9" i="8" s="1"/>
  <c r="L17" i="8"/>
  <c r="N17" i="8" s="1"/>
  <c r="L14" i="8"/>
  <c r="N14" i="8" s="1"/>
  <c r="N14" i="7"/>
  <c r="L8" i="8"/>
  <c r="L18" i="8" l="1"/>
  <c r="M7" i="8" s="1"/>
  <c r="L17" i="7"/>
  <c r="M6" i="7" s="1"/>
  <c r="N17" i="7"/>
  <c r="N8" i="8"/>
  <c r="N18" i="8" s="1"/>
  <c r="O7" i="7" l="1"/>
  <c r="O15" i="7"/>
  <c r="P15" i="7" s="1"/>
  <c r="S15" i="7" s="1"/>
  <c r="O17" i="8"/>
  <c r="P17" i="8" s="1"/>
  <c r="P7" i="7"/>
  <c r="S7" i="7" s="1"/>
  <c r="O14" i="7"/>
  <c r="P14" i="7" s="1"/>
  <c r="S14" i="7" s="1"/>
  <c r="O13" i="7"/>
  <c r="P13" i="7" s="1"/>
  <c r="S13" i="7" s="1"/>
  <c r="O10" i="7"/>
  <c r="P10" i="7" s="1"/>
  <c r="S10" i="7" s="1"/>
  <c r="O9" i="7"/>
  <c r="P9" i="7" s="1"/>
  <c r="S9" i="7" s="1"/>
  <c r="O11" i="7"/>
  <c r="P11" i="7" s="1"/>
  <c r="S11" i="7" s="1"/>
  <c r="O16" i="7"/>
  <c r="P16" i="7" s="1"/>
  <c r="S16" i="7" s="1"/>
  <c r="O12" i="7"/>
  <c r="P12" i="7" s="1"/>
  <c r="S12" i="7" s="1"/>
  <c r="O8" i="7"/>
  <c r="P8" i="7" s="1"/>
  <c r="S8" i="7" s="1"/>
  <c r="O14" i="8"/>
  <c r="P14" i="8" s="1"/>
  <c r="O12" i="8"/>
  <c r="P12" i="8" s="1"/>
  <c r="O15" i="8"/>
  <c r="P15" i="8" s="1"/>
  <c r="O13" i="8"/>
  <c r="P13" i="8" s="1"/>
  <c r="O10" i="8"/>
  <c r="P10" i="8" s="1"/>
  <c r="O9" i="8"/>
  <c r="P9" i="8" s="1"/>
  <c r="O8" i="8"/>
  <c r="O11" i="8"/>
  <c r="P11" i="8" s="1"/>
  <c r="O16" i="8"/>
  <c r="P16" i="8" s="1"/>
  <c r="S27" i="7" l="1"/>
  <c r="P17" i="7"/>
  <c r="O17" i="7"/>
  <c r="O18" i="8"/>
  <c r="P8" i="8"/>
  <c r="P18" i="8" s="1"/>
  <c r="E14" i="3"/>
  <c r="E17" i="3" l="1"/>
  <c r="E9" i="3"/>
  <c r="E21" i="3"/>
  <c r="E10" i="3"/>
  <c r="E13" i="3"/>
  <c r="E18" i="3"/>
  <c r="E8" i="3"/>
  <c r="E16" i="3"/>
  <c r="C27" i="3"/>
  <c r="E11" i="3"/>
  <c r="E19" i="3"/>
  <c r="E12" i="3"/>
  <c r="E15" i="3"/>
  <c r="E20" i="3"/>
  <c r="E7" i="3"/>
  <c r="E24" i="3"/>
  <c r="E22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7" i="3"/>
  <c r="I21" i="3" l="1"/>
  <c r="I14" i="3"/>
  <c r="I8" i="3"/>
  <c r="I18" i="3"/>
  <c r="I13" i="3"/>
  <c r="I17" i="3"/>
  <c r="L17" i="3" s="1"/>
  <c r="N17" i="3" s="1"/>
  <c r="I10" i="3"/>
  <c r="I16" i="3"/>
  <c r="I9" i="3"/>
  <c r="G9" i="3"/>
  <c r="L9" i="3" s="1"/>
  <c r="N9" i="3" s="1"/>
  <c r="G14" i="3"/>
  <c r="I11" i="3"/>
  <c r="I12" i="3"/>
  <c r="I19" i="3"/>
  <c r="I20" i="3"/>
  <c r="I15" i="3"/>
  <c r="I24" i="3"/>
  <c r="I22" i="3"/>
  <c r="I7" i="3"/>
  <c r="G21" i="3"/>
  <c r="G10" i="3"/>
  <c r="G13" i="3"/>
  <c r="L13" i="3" s="1"/>
  <c r="N13" i="3" s="1"/>
  <c r="G11" i="3"/>
  <c r="G8" i="3"/>
  <c r="G16" i="3"/>
  <c r="G18" i="3"/>
  <c r="G19" i="3"/>
  <c r="G12" i="3"/>
  <c r="G15" i="3"/>
  <c r="G20" i="3"/>
  <c r="G22" i="3"/>
  <c r="G24" i="3"/>
  <c r="G7" i="3"/>
  <c r="L11" i="3" l="1"/>
  <c r="N11" i="3" s="1"/>
  <c r="L20" i="3"/>
  <c r="N20" i="3" s="1"/>
  <c r="L10" i="3"/>
  <c r="N10" i="3" s="1"/>
  <c r="L8" i="3"/>
  <c r="N8" i="3" s="1"/>
  <c r="L21" i="3"/>
  <c r="N21" i="3" s="1"/>
  <c r="L14" i="3"/>
  <c r="N14" i="3" s="1"/>
  <c r="L16" i="3"/>
  <c r="N16" i="3" s="1"/>
  <c r="L15" i="3"/>
  <c r="N15" i="3" s="1"/>
  <c r="L18" i="3"/>
  <c r="N18" i="3" s="1"/>
  <c r="L24" i="3"/>
  <c r="N24" i="3" s="1"/>
  <c r="L12" i="3"/>
  <c r="N12" i="3" s="1"/>
  <c r="L7" i="3"/>
  <c r="N7" i="3" s="1"/>
  <c r="L19" i="3"/>
  <c r="N19" i="3" s="1"/>
  <c r="L22" i="3"/>
  <c r="N22" i="3" s="1"/>
  <c r="N25" i="3" l="1"/>
  <c r="L25" i="3"/>
  <c r="M7" i="3" s="1"/>
  <c r="O23" i="3" l="1"/>
  <c r="P23" i="3" s="1"/>
  <c r="R23" i="3" s="1"/>
  <c r="O19" i="3"/>
  <c r="P19" i="3" s="1"/>
  <c r="R19" i="3" s="1"/>
  <c r="O15" i="3"/>
  <c r="P15" i="3" s="1"/>
  <c r="R15" i="3" s="1"/>
  <c r="O11" i="3"/>
  <c r="P11" i="3" s="1"/>
  <c r="R11" i="3" s="1"/>
  <c r="O22" i="3"/>
  <c r="P22" i="3" s="1"/>
  <c r="R22" i="3" s="1"/>
  <c r="O18" i="3"/>
  <c r="P18" i="3" s="1"/>
  <c r="R18" i="3" s="1"/>
  <c r="O14" i="3"/>
  <c r="P14" i="3" s="1"/>
  <c r="R14" i="3" s="1"/>
  <c r="O10" i="3"/>
  <c r="P10" i="3" s="1"/>
  <c r="R10" i="3" s="1"/>
  <c r="O21" i="3"/>
  <c r="P21" i="3" s="1"/>
  <c r="R21" i="3" s="1"/>
  <c r="O17" i="3"/>
  <c r="P17" i="3" s="1"/>
  <c r="R17" i="3" s="1"/>
  <c r="O13" i="3"/>
  <c r="P13" i="3" s="1"/>
  <c r="R13" i="3" s="1"/>
  <c r="O9" i="3"/>
  <c r="P9" i="3" s="1"/>
  <c r="R9" i="3" s="1"/>
  <c r="O24" i="3"/>
  <c r="P24" i="3" s="1"/>
  <c r="R24" i="3" s="1"/>
  <c r="O20" i="3"/>
  <c r="P20" i="3" s="1"/>
  <c r="R20" i="3" s="1"/>
  <c r="O16" i="3"/>
  <c r="P16" i="3" s="1"/>
  <c r="R16" i="3" s="1"/>
  <c r="O12" i="3"/>
  <c r="P12" i="3" s="1"/>
  <c r="R12" i="3" s="1"/>
  <c r="O8" i="3"/>
  <c r="P8" i="3" s="1"/>
  <c r="R8" i="3" s="1"/>
  <c r="O7" i="3"/>
  <c r="P7" i="3" l="1"/>
  <c r="R7" i="3" s="1"/>
  <c r="O25" i="3"/>
  <c r="P25" i="3" s="1"/>
</calcChain>
</file>

<file path=xl/sharedStrings.xml><?xml version="1.0" encoding="utf-8"?>
<sst xmlns="http://schemas.openxmlformats.org/spreadsheetml/2006/main" count="117" uniqueCount="43">
  <si>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</si>
  <si>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</si>
  <si>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</si>
  <si>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</si>
  <si>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</si>
  <si>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</si>
  <si>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</si>
  <si>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</si>
  <si>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</si>
  <si>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</si>
  <si>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</si>
  <si>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</si>
  <si>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</si>
  <si>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Сосновоборский городской округ</t>
  </si>
  <si>
    <t>Тихвинский муниципальный район</t>
  </si>
  <si>
    <t>Выборгский район</t>
  </si>
  <si>
    <t>Сланцевский муниципальны район</t>
  </si>
  <si>
    <t>Тосненский район</t>
  </si>
  <si>
    <t>Район</t>
  </si>
  <si>
    <t>Запрашиваемый размер субсидии</t>
  </si>
  <si>
    <t>Предпологаемое кол. соискателей</t>
  </si>
  <si>
    <t>Численность экономически активного населения</t>
  </si>
  <si>
    <t xml:space="preserve">Минимальная доля софинансирования </t>
  </si>
  <si>
    <r>
      <t>1-DS</t>
    </r>
    <r>
      <rPr>
        <b/>
        <sz val="8"/>
        <color theme="1"/>
        <rFont val="Times New Roman"/>
        <family val="1"/>
        <charset val="204"/>
      </rPr>
      <t>jmo</t>
    </r>
  </si>
  <si>
    <t>Расчетный размер субсидии</t>
  </si>
  <si>
    <t>Объем средств</t>
  </si>
  <si>
    <r>
      <t>К</t>
    </r>
    <r>
      <rPr>
        <b/>
        <sz val="8"/>
        <color theme="1"/>
        <rFont val="Times New Roman"/>
        <family val="1"/>
        <charset val="204"/>
      </rPr>
      <t>1jmo</t>
    </r>
  </si>
  <si>
    <r>
      <t>К</t>
    </r>
    <r>
      <rPr>
        <b/>
        <sz val="8"/>
        <color theme="1"/>
        <rFont val="Times New Roman"/>
        <family val="1"/>
        <charset val="204"/>
      </rPr>
      <t>2jmo</t>
    </r>
  </si>
  <si>
    <r>
      <t>К</t>
    </r>
    <r>
      <rPr>
        <b/>
        <sz val="8"/>
        <color theme="1"/>
        <rFont val="Times New Roman"/>
        <family val="1"/>
        <charset val="204"/>
      </rPr>
      <t>3jmo</t>
    </r>
  </si>
  <si>
    <t>№</t>
  </si>
  <si>
    <t>ИТОГО</t>
  </si>
  <si>
    <t>ОСТАТОК</t>
  </si>
  <si>
    <t>Софинансирование</t>
  </si>
  <si>
    <t>Остаток к распределению</t>
  </si>
  <si>
    <t>Остаток заявленной потрербности</t>
  </si>
  <si>
    <t>Доп. Объем</t>
  </si>
  <si>
    <t>Распределено ОЗ от 21.12.2017 N 82-оз</t>
  </si>
  <si>
    <t xml:space="preserve">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
</t>
  </si>
  <si>
    <t xml:space="preserve">Уточненный объем субсидии </t>
  </si>
  <si>
    <t>ИТОГО:</t>
  </si>
  <si>
    <t>тыс.руб.</t>
  </si>
  <si>
    <t xml:space="preserve">Расчет распределения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
</t>
  </si>
  <si>
    <t>Приложение 63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</si>
</sst>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2" xfId="0" applyBorder="1"/>
    <xf numFmtId="0" fontId="0" fillId="0" borderId="7" xfId="0" applyBorder="1"/>
    <xf numFmtId="0" fontId="2" fillId="2" borderId="6" xfId="0" applyFont="1" applyFill="1" applyBorder="1" applyAlignment="1">
      <alignment vertical="top" wrapText="1"/>
    </xf>
    <xf numFmtId="166" fontId="1" fillId="2" borderId="1" xfId="0" applyNumberFormat="1" applyFont="1" applyFill="1" applyBorder="1"/>
    <xf numFmtId="166" fontId="1" fillId="0" borderId="0" xfId="0" applyNumberFormat="1" applyFont="1" applyBorder="1"/>
    <xf numFmtId="166" fontId="1" fillId="0" borderId="2" xfId="0" applyNumberFormat="1" applyFont="1" applyBorder="1"/>
    <xf numFmtId="166" fontId="1" fillId="0" borderId="8" xfId="0" applyNumberFormat="1" applyFont="1" applyBorder="1"/>
    <xf numFmtId="166" fontId="3" fillId="0" borderId="8" xfId="0" applyNumberFormat="1" applyFont="1" applyBorder="1"/>
    <xf numFmtId="166" fontId="3" fillId="0" borderId="1" xfId="0" applyNumberFormat="1" applyFont="1" applyBorder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10" fillId="2" borderId="0" xfId="0" applyFont="1" applyFill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view="pageBreakPreview" zoomScale="60" zoomScaleNormal="70" workbookViewId="0">
      <selection activeCell="L12" sqref="L12"/>
    </sheetView>
  </sheetViews>
  <sheetFormatPr defaultRowHeight="15" x14ac:dyDescent="0.25"/>
  <cols>
    <col min="1" max="1" width="3.85546875" bestFit="1" customWidth="1"/>
    <col min="2" max="2" width="28.140625" customWidth="1"/>
    <col min="3" max="3" width="22.7109375" customWidth="1"/>
    <col min="4" max="4" width="12.7109375" bestFit="1" customWidth="1"/>
    <col min="5" max="5" width="10.42578125" customWidth="1"/>
    <col min="6" max="6" width="24.42578125" customWidth="1"/>
    <col min="8" max="8" width="35.85546875" customWidth="1"/>
    <col min="9" max="9" width="11.85546875" customWidth="1"/>
    <col min="10" max="10" width="26.42578125" customWidth="1"/>
    <col min="11" max="11" width="10" bestFit="1" customWidth="1"/>
    <col min="12" max="12" width="23.7109375" customWidth="1"/>
    <col min="13" max="13" width="14.28515625" customWidth="1"/>
    <col min="14" max="14" width="18.5703125" customWidth="1"/>
    <col min="15" max="15" width="12.7109375" bestFit="1" customWidth="1"/>
    <col min="16" max="16" width="14.28515625" bestFit="1" customWidth="1"/>
    <col min="17" max="17" width="3.85546875" customWidth="1"/>
    <col min="18" max="18" width="25.85546875" customWidth="1"/>
    <col min="19" max="19" width="20.5703125" customWidth="1"/>
  </cols>
  <sheetData>
    <row r="1" spans="1:19" x14ac:dyDescent="0.25">
      <c r="S1" s="74" t="s">
        <v>42</v>
      </c>
    </row>
    <row r="2" spans="1:19" ht="51.75" customHeight="1" x14ac:dyDescent="0.25">
      <c r="A2" s="79" t="s">
        <v>41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4" spans="1:19" ht="15.75" x14ac:dyDescent="0.25">
      <c r="S4" s="73" t="s">
        <v>40</v>
      </c>
    </row>
    <row r="5" spans="1:19" s="1" customFormat="1" ht="37.5" customHeight="1" x14ac:dyDescent="0.3">
      <c r="A5" s="78">
        <v>2019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9" s="1" customFormat="1" ht="56.25" x14ac:dyDescent="0.3">
      <c r="A6" s="3" t="s">
        <v>29</v>
      </c>
      <c r="B6" s="4" t="s">
        <v>18</v>
      </c>
      <c r="C6" s="5" t="s">
        <v>19</v>
      </c>
      <c r="D6" s="5" t="s">
        <v>25</v>
      </c>
      <c r="E6" s="4" t="s">
        <v>26</v>
      </c>
      <c r="F6" s="6" t="s">
        <v>20</v>
      </c>
      <c r="G6" s="4" t="s">
        <v>27</v>
      </c>
      <c r="H6" s="6" t="s">
        <v>21</v>
      </c>
      <c r="I6" s="4" t="s">
        <v>28</v>
      </c>
      <c r="J6" s="6" t="s">
        <v>22</v>
      </c>
      <c r="K6" s="4" t="s">
        <v>23</v>
      </c>
      <c r="L6" s="6" t="s">
        <v>24</v>
      </c>
      <c r="M6" s="6" t="s">
        <v>33</v>
      </c>
      <c r="N6" s="16" t="s">
        <v>34</v>
      </c>
      <c r="O6" s="16" t="s">
        <v>35</v>
      </c>
      <c r="P6" s="4" t="s">
        <v>30</v>
      </c>
      <c r="R6" s="16" t="s">
        <v>36</v>
      </c>
      <c r="S6" s="16" t="s">
        <v>38</v>
      </c>
    </row>
    <row r="7" spans="1:19" s="36" customFormat="1" ht="18.75" hidden="1" x14ac:dyDescent="0.3">
      <c r="A7" s="27"/>
      <c r="B7" s="28"/>
      <c r="C7" s="29"/>
      <c r="D7" s="75">
        <v>15000</v>
      </c>
      <c r="E7" s="30"/>
      <c r="F7" s="27"/>
      <c r="G7" s="31"/>
      <c r="H7" s="29"/>
      <c r="I7" s="31"/>
      <c r="J7" s="31"/>
      <c r="K7" s="31"/>
      <c r="L7" s="32"/>
      <c r="M7" s="76">
        <f>D7-L18</f>
        <v>1952.1825790797593</v>
      </c>
      <c r="N7" s="33"/>
      <c r="O7" s="34"/>
      <c r="P7" s="35"/>
      <c r="R7" s="51"/>
    </row>
    <row r="8" spans="1:19" s="15" customFormat="1" ht="30.75" x14ac:dyDescent="0.3">
      <c r="A8" s="10">
        <v>1</v>
      </c>
      <c r="B8" s="44" t="s">
        <v>1</v>
      </c>
      <c r="C8" s="39">
        <v>900</v>
      </c>
      <c r="D8" s="75"/>
      <c r="E8" s="40">
        <f t="shared" ref="E8:E17" si="0">C8/$C$18</f>
        <v>5.8507664504050032E-2</v>
      </c>
      <c r="F8" s="10">
        <v>2</v>
      </c>
      <c r="G8" s="41">
        <f t="shared" ref="G8:G17" si="1">F8/$F$18</f>
        <v>5.7142857142857141E-2</v>
      </c>
      <c r="H8" s="39">
        <v>25006</v>
      </c>
      <c r="I8" s="41">
        <f t="shared" ref="I8:I17" si="2">H8/$H$18</f>
        <v>2.4258004433299219E-2</v>
      </c>
      <c r="J8" s="41">
        <v>0.1</v>
      </c>
      <c r="K8" s="41">
        <f t="shared" ref="K8:K17" si="3">1-J8</f>
        <v>0.9</v>
      </c>
      <c r="L8" s="20">
        <f>((80%*$D$7)*E8+(10%*$D$7)*G8+(10%*$D$7)*I8)*K8</f>
        <v>741.77393977155145</v>
      </c>
      <c r="M8" s="77"/>
      <c r="N8" s="19">
        <f>C8-L8</f>
        <v>158.22606022844855</v>
      </c>
      <c r="O8" s="26">
        <f t="shared" ref="O8:O17" si="4">$M$7*(N8/$N$18)</f>
        <v>132.29761139306925</v>
      </c>
      <c r="P8" s="25">
        <f t="shared" ref="P8:P16" si="5">L8+O8</f>
        <v>874.0715511646207</v>
      </c>
      <c r="R8" s="59">
        <v>0</v>
      </c>
      <c r="S8" s="65">
        <f>P8+R8</f>
        <v>874.0715511646207</v>
      </c>
    </row>
    <row r="9" spans="1:19" s="15" customFormat="1" ht="30.75" x14ac:dyDescent="0.3">
      <c r="A9" s="10">
        <v>2</v>
      </c>
      <c r="B9" s="44" t="s">
        <v>2</v>
      </c>
      <c r="C9" s="39">
        <v>1783.8</v>
      </c>
      <c r="D9" s="75"/>
      <c r="E9" s="40">
        <f t="shared" si="0"/>
        <v>0.11596219104702715</v>
      </c>
      <c r="F9" s="10">
        <v>4</v>
      </c>
      <c r="G9" s="41">
        <f t="shared" si="1"/>
        <v>0.11428571428571428</v>
      </c>
      <c r="H9" s="39">
        <v>59000</v>
      </c>
      <c r="I9" s="41">
        <f t="shared" si="2"/>
        <v>5.7235154025620009E-2</v>
      </c>
      <c r="J9" s="41">
        <v>0.1</v>
      </c>
      <c r="K9" s="41">
        <f t="shared" si="3"/>
        <v>0.9</v>
      </c>
      <c r="L9" s="20">
        <f t="shared" ref="L9:L17" si="6">((80%*$D$7)*E9+(10%*$D$7)*G9+(10%*$D$7)*I9)*K9</f>
        <v>1483.9448355281943</v>
      </c>
      <c r="M9" s="77"/>
      <c r="N9" s="19">
        <f>C9-L9</f>
        <v>299.85516447180567</v>
      </c>
      <c r="O9" s="26">
        <f t="shared" si="4"/>
        <v>250.71800414052933</v>
      </c>
      <c r="P9" s="25">
        <f t="shared" si="5"/>
        <v>1734.6628396687236</v>
      </c>
      <c r="R9" s="59">
        <v>0</v>
      </c>
      <c r="S9" s="65">
        <f t="shared" ref="S9:S17" si="7">P9+R9</f>
        <v>1734.6628396687236</v>
      </c>
    </row>
    <row r="10" spans="1:19" s="15" customFormat="1" ht="30.75" x14ac:dyDescent="0.3">
      <c r="A10" s="10">
        <v>3</v>
      </c>
      <c r="B10" s="38" t="s">
        <v>3</v>
      </c>
      <c r="C10" s="39">
        <v>1044</v>
      </c>
      <c r="D10" s="75"/>
      <c r="E10" s="40">
        <f t="shared" si="0"/>
        <v>6.7868890824698033E-2</v>
      </c>
      <c r="F10" s="10">
        <v>3</v>
      </c>
      <c r="G10" s="41">
        <f t="shared" si="1"/>
        <v>8.5714285714285715E-2</v>
      </c>
      <c r="H10" s="39">
        <v>165700</v>
      </c>
      <c r="I10" s="41">
        <f t="shared" si="2"/>
        <v>0.16074347494991925</v>
      </c>
      <c r="J10" s="41">
        <v>0.1</v>
      </c>
      <c r="K10" s="41">
        <f t="shared" si="3"/>
        <v>0.9</v>
      </c>
      <c r="L10" s="20">
        <v>1044</v>
      </c>
      <c r="M10" s="77"/>
      <c r="N10" s="19">
        <f>C10-L10</f>
        <v>0</v>
      </c>
      <c r="O10" s="26">
        <f t="shared" si="4"/>
        <v>0</v>
      </c>
      <c r="P10" s="25">
        <f t="shared" si="5"/>
        <v>1044</v>
      </c>
      <c r="R10" s="59">
        <v>1956</v>
      </c>
      <c r="S10" s="65">
        <f t="shared" si="7"/>
        <v>3000</v>
      </c>
    </row>
    <row r="11" spans="1:19" s="15" customFormat="1" ht="30" customHeight="1" x14ac:dyDescent="0.3">
      <c r="A11" s="10">
        <v>4</v>
      </c>
      <c r="B11" s="12" t="s">
        <v>15</v>
      </c>
      <c r="C11" s="39">
        <v>2537.1999999999998</v>
      </c>
      <c r="D11" s="75"/>
      <c r="E11" s="40">
        <f t="shared" si="0"/>
        <v>0.16493960708852859</v>
      </c>
      <c r="F11" s="10">
        <v>6</v>
      </c>
      <c r="G11" s="41">
        <f t="shared" si="1"/>
        <v>0.17142857142857143</v>
      </c>
      <c r="H11" s="39">
        <v>105500</v>
      </c>
      <c r="I11" s="41">
        <f t="shared" si="2"/>
        <v>0.1023442160966595</v>
      </c>
      <c r="J11" s="41">
        <v>0.1</v>
      </c>
      <c r="K11" s="41">
        <f t="shared" si="3"/>
        <v>0.9</v>
      </c>
      <c r="L11" s="20">
        <f t="shared" si="6"/>
        <v>2150.9410197151706</v>
      </c>
      <c r="M11" s="77"/>
      <c r="N11" s="19">
        <f>C11-L11</f>
        <v>386.25898028482925</v>
      </c>
      <c r="O11" s="26">
        <f t="shared" si="4"/>
        <v>322.96285704785384</v>
      </c>
      <c r="P11" s="25">
        <f t="shared" si="5"/>
        <v>2473.9038767630245</v>
      </c>
      <c r="R11" s="59">
        <v>1952.8</v>
      </c>
      <c r="S11" s="65">
        <f t="shared" si="7"/>
        <v>4426.7038767630247</v>
      </c>
    </row>
    <row r="12" spans="1:19" s="15" customFormat="1" ht="30.75" x14ac:dyDescent="0.3">
      <c r="A12" s="10">
        <v>5</v>
      </c>
      <c r="B12" s="44" t="s">
        <v>4</v>
      </c>
      <c r="C12" s="39">
        <v>1800</v>
      </c>
      <c r="D12" s="75"/>
      <c r="E12" s="40">
        <f t="shared" si="0"/>
        <v>0.11701532900810006</v>
      </c>
      <c r="F12" s="10">
        <v>4</v>
      </c>
      <c r="G12" s="41">
        <f t="shared" si="1"/>
        <v>0.11428571428571428</v>
      </c>
      <c r="H12" s="39">
        <v>147457</v>
      </c>
      <c r="I12" s="41">
        <f t="shared" si="2"/>
        <v>0.14304617130772626</v>
      </c>
      <c r="J12" s="41">
        <v>0.1</v>
      </c>
      <c r="K12" s="41">
        <f t="shared" si="3"/>
        <v>0.9</v>
      </c>
      <c r="L12" s="20">
        <f t="shared" si="6"/>
        <v>1611.1635988386254</v>
      </c>
      <c r="M12" s="77"/>
      <c r="N12" s="19">
        <f>C12-L12</f>
        <v>188.83640116137462</v>
      </c>
      <c r="O12" s="26">
        <f t="shared" si="4"/>
        <v>157.89184652416364</v>
      </c>
      <c r="P12" s="25">
        <f t="shared" si="5"/>
        <v>1769.055445362789</v>
      </c>
      <c r="R12" s="59">
        <v>0</v>
      </c>
      <c r="S12" s="65">
        <f t="shared" si="7"/>
        <v>1769.055445362789</v>
      </c>
    </row>
    <row r="13" spans="1:19" s="15" customFormat="1" ht="30.75" x14ac:dyDescent="0.3">
      <c r="A13" s="10">
        <v>6</v>
      </c>
      <c r="B13" s="38" t="s">
        <v>8</v>
      </c>
      <c r="C13" s="39">
        <v>1492.6</v>
      </c>
      <c r="D13" s="75"/>
      <c r="E13" s="40">
        <f t="shared" si="0"/>
        <v>9.703171115416119E-2</v>
      </c>
      <c r="F13" s="10">
        <v>3</v>
      </c>
      <c r="G13" s="41">
        <f t="shared" si="1"/>
        <v>8.5714285714285715E-2</v>
      </c>
      <c r="H13" s="39">
        <v>17100</v>
      </c>
      <c r="I13" s="41">
        <f t="shared" si="2"/>
        <v>1.6588493793866139E-2</v>
      </c>
      <c r="J13" s="41">
        <v>0.1</v>
      </c>
      <c r="K13" s="41">
        <f t="shared" si="3"/>
        <v>0.9</v>
      </c>
      <c r="L13" s="20">
        <f t="shared" si="6"/>
        <v>1186.0512328009459</v>
      </c>
      <c r="M13" s="77"/>
      <c r="N13" s="19">
        <f t="shared" ref="N13:N17" si="8">C13-L13</f>
        <v>306.54876719905405</v>
      </c>
      <c r="O13" s="26">
        <f t="shared" si="4"/>
        <v>256.31472854326387</v>
      </c>
      <c r="P13" s="25">
        <f t="shared" si="5"/>
        <v>1442.3659613442096</v>
      </c>
      <c r="R13" s="59">
        <v>1207.4000000000001</v>
      </c>
      <c r="S13" s="65">
        <f t="shared" si="7"/>
        <v>2649.7659613442097</v>
      </c>
    </row>
    <row r="14" spans="1:19" s="15" customFormat="1" ht="30.75" x14ac:dyDescent="0.3">
      <c r="A14" s="10">
        <v>7</v>
      </c>
      <c r="B14" s="44" t="s">
        <v>9</v>
      </c>
      <c r="C14" s="39">
        <v>1350</v>
      </c>
      <c r="D14" s="75"/>
      <c r="E14" s="40">
        <f t="shared" si="0"/>
        <v>8.7761496756075044E-2</v>
      </c>
      <c r="F14" s="10">
        <v>3</v>
      </c>
      <c r="G14" s="41">
        <f t="shared" si="1"/>
        <v>8.5714285714285715E-2</v>
      </c>
      <c r="H14" s="39">
        <v>43840</v>
      </c>
      <c r="I14" s="41">
        <f t="shared" si="2"/>
        <v>4.2528629703104767E-2</v>
      </c>
      <c r="J14" s="41">
        <v>0.1</v>
      </c>
      <c r="K14" s="41">
        <f t="shared" si="3"/>
        <v>0.9</v>
      </c>
      <c r="L14" s="20">
        <f t="shared" si="6"/>
        <v>1120.9521007790877</v>
      </c>
      <c r="M14" s="77"/>
      <c r="N14" s="19">
        <f t="shared" si="8"/>
        <v>229.04789922091231</v>
      </c>
      <c r="O14" s="26">
        <f t="shared" si="4"/>
        <v>191.51390054063202</v>
      </c>
      <c r="P14" s="25">
        <f t="shared" si="5"/>
        <v>1312.4660013197197</v>
      </c>
      <c r="R14" s="59">
        <v>0</v>
      </c>
      <c r="S14" s="65">
        <f t="shared" si="7"/>
        <v>1312.4660013197197</v>
      </c>
    </row>
    <row r="15" spans="1:19" s="15" customFormat="1" ht="30.75" x14ac:dyDescent="0.3">
      <c r="A15" s="10">
        <v>8</v>
      </c>
      <c r="B15" s="38" t="s">
        <v>10</v>
      </c>
      <c r="C15" s="39">
        <v>2000</v>
      </c>
      <c r="D15" s="75"/>
      <c r="E15" s="40">
        <f t="shared" si="0"/>
        <v>0.1300170322312223</v>
      </c>
      <c r="F15" s="10">
        <v>4</v>
      </c>
      <c r="G15" s="41">
        <f t="shared" si="1"/>
        <v>0.11428571428571428</v>
      </c>
      <c r="H15" s="39">
        <v>37000</v>
      </c>
      <c r="I15" s="41">
        <f t="shared" si="2"/>
        <v>3.5893232185558309E-2</v>
      </c>
      <c r="J15" s="41">
        <v>0.1</v>
      </c>
      <c r="K15" s="41">
        <f t="shared" si="3"/>
        <v>0.9</v>
      </c>
      <c r="L15" s="20">
        <f t="shared" si="6"/>
        <v>1606.9255258334188</v>
      </c>
      <c r="M15" s="77"/>
      <c r="N15" s="19">
        <f t="shared" si="8"/>
        <v>393.07447416658124</v>
      </c>
      <c r="O15" s="26">
        <f t="shared" si="4"/>
        <v>328.66149834447731</v>
      </c>
      <c r="P15" s="25">
        <f t="shared" si="5"/>
        <v>1935.5870241778962</v>
      </c>
      <c r="R15" s="59">
        <v>2023.4</v>
      </c>
      <c r="S15" s="65">
        <f t="shared" si="7"/>
        <v>3958.9870241778963</v>
      </c>
    </row>
    <row r="16" spans="1:19" s="15" customFormat="1" ht="30.75" x14ac:dyDescent="0.3">
      <c r="A16" s="10">
        <v>9</v>
      </c>
      <c r="B16" s="44" t="s">
        <v>16</v>
      </c>
      <c r="C16" s="39">
        <v>1800</v>
      </c>
      <c r="D16" s="75"/>
      <c r="E16" s="40">
        <f t="shared" si="0"/>
        <v>0.11701532900810006</v>
      </c>
      <c r="F16" s="10">
        <v>4</v>
      </c>
      <c r="G16" s="41">
        <f t="shared" si="1"/>
        <v>0.11428571428571428</v>
      </c>
      <c r="H16" s="39">
        <v>23385</v>
      </c>
      <c r="I16" s="41">
        <f t="shared" si="2"/>
        <v>2.2685492828629219E-2</v>
      </c>
      <c r="J16" s="41">
        <v>0.1</v>
      </c>
      <c r="K16" s="41">
        <f t="shared" si="3"/>
        <v>0.9</v>
      </c>
      <c r="L16" s="20">
        <f t="shared" si="6"/>
        <v>1448.6766828918444</v>
      </c>
      <c r="M16" s="77"/>
      <c r="N16" s="19">
        <f t="shared" si="8"/>
        <v>351.32331710815561</v>
      </c>
      <c r="O16" s="26">
        <f t="shared" si="4"/>
        <v>293.75208870771075</v>
      </c>
      <c r="P16" s="25">
        <f t="shared" si="5"/>
        <v>1742.4287715995551</v>
      </c>
      <c r="R16" s="59">
        <v>0</v>
      </c>
      <c r="S16" s="65">
        <f t="shared" si="7"/>
        <v>1742.4287715995551</v>
      </c>
    </row>
    <row r="17" spans="1:19" s="15" customFormat="1" ht="27" customHeight="1" x14ac:dyDescent="0.3">
      <c r="A17" s="10">
        <v>10</v>
      </c>
      <c r="B17" s="45" t="s">
        <v>17</v>
      </c>
      <c r="C17" s="39">
        <v>675</v>
      </c>
      <c r="D17" s="75"/>
      <c r="E17" s="40">
        <f t="shared" si="0"/>
        <v>4.3880748378037522E-2</v>
      </c>
      <c r="F17" s="10">
        <v>2</v>
      </c>
      <c r="G17" s="41">
        <f t="shared" si="1"/>
        <v>5.7142857142857141E-2</v>
      </c>
      <c r="H17" s="39">
        <v>78140</v>
      </c>
      <c r="I17" s="41">
        <f t="shared" si="2"/>
        <v>7.5802626026473682E-2</v>
      </c>
      <c r="J17" s="41">
        <v>0.1</v>
      </c>
      <c r="K17" s="41">
        <f t="shared" si="3"/>
        <v>0.9</v>
      </c>
      <c r="L17" s="20">
        <f t="shared" si="6"/>
        <v>653.38848476140174</v>
      </c>
      <c r="M17" s="77"/>
      <c r="N17" s="19">
        <f t="shared" si="8"/>
        <v>21.611515238598258</v>
      </c>
      <c r="O17" s="26">
        <f t="shared" si="4"/>
        <v>18.070043838059238</v>
      </c>
      <c r="P17" s="25">
        <f>L17+O17</f>
        <v>671.45852859946103</v>
      </c>
      <c r="R17" s="59">
        <v>0</v>
      </c>
      <c r="S17" s="65">
        <f t="shared" si="7"/>
        <v>671.45852859946103</v>
      </c>
    </row>
    <row r="18" spans="1:19" s="1" customFormat="1" ht="26.25" customHeight="1" x14ac:dyDescent="0.3">
      <c r="B18" s="2"/>
      <c r="C18" s="8">
        <f>SUM(C7:C17)</f>
        <v>15382.6</v>
      </c>
      <c r="D18" s="7"/>
      <c r="E18" s="2"/>
      <c r="F18" s="6">
        <f>SUM(F7:F17)</f>
        <v>35</v>
      </c>
      <c r="G18" s="2"/>
      <c r="H18" s="5">
        <v>1030835</v>
      </c>
      <c r="L18" s="8">
        <f>SUM(L7:L17)</f>
        <v>13047.817420920241</v>
      </c>
      <c r="N18" s="8">
        <f>SUM(N7:N17)</f>
        <v>2334.7825790797597</v>
      </c>
      <c r="O18" s="9">
        <f>SUM(O7:O17)</f>
        <v>1952.1825790797591</v>
      </c>
      <c r="P18" s="24">
        <f>SUM(P7:P17)</f>
        <v>15000</v>
      </c>
      <c r="R18" s="60"/>
      <c r="S18" s="55"/>
    </row>
    <row r="19" spans="1:19" s="1" customFormat="1" ht="26.25" customHeight="1" x14ac:dyDescent="0.3">
      <c r="B19" s="2"/>
      <c r="C19" s="52"/>
      <c r="D19" s="7"/>
      <c r="E19" s="2"/>
      <c r="F19" s="53"/>
      <c r="G19" s="2"/>
      <c r="H19" s="7"/>
      <c r="L19" s="52"/>
      <c r="N19" s="52"/>
      <c r="O19" s="54"/>
      <c r="P19" s="54"/>
      <c r="R19" s="61"/>
      <c r="S19" s="56"/>
    </row>
    <row r="20" spans="1:19" ht="30" x14ac:dyDescent="0.3">
      <c r="B20" s="58" t="s">
        <v>0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2">
        <v>480.1</v>
      </c>
      <c r="S20" s="62">
        <f>R20</f>
        <v>480.1</v>
      </c>
    </row>
    <row r="21" spans="1:19" ht="30" x14ac:dyDescent="0.3">
      <c r="B21" s="58" t="s">
        <v>5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62">
        <v>1193.5</v>
      </c>
      <c r="S21" s="62">
        <f t="shared" ref="S21:S27" si="9">R21</f>
        <v>1193.5</v>
      </c>
    </row>
    <row r="22" spans="1:19" ht="30" x14ac:dyDescent="0.3">
      <c r="B22" s="58" t="s">
        <v>6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62">
        <v>1094.5999999999999</v>
      </c>
      <c r="S22" s="62">
        <f t="shared" si="9"/>
        <v>1094.5999999999999</v>
      </c>
    </row>
    <row r="23" spans="1:19" ht="30" x14ac:dyDescent="0.3">
      <c r="B23" s="58" t="s">
        <v>7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62">
        <v>846.1</v>
      </c>
      <c r="S23" s="62">
        <f t="shared" si="9"/>
        <v>846.1</v>
      </c>
    </row>
    <row r="24" spans="1:19" ht="30" x14ac:dyDescent="0.3">
      <c r="B24" s="58" t="s">
        <v>11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62">
        <v>1788.5</v>
      </c>
      <c r="S24" s="62">
        <f t="shared" si="9"/>
        <v>1788.5</v>
      </c>
    </row>
    <row r="25" spans="1:19" ht="30" x14ac:dyDescent="0.3">
      <c r="B25" s="58" t="s">
        <v>12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62">
        <v>921.3</v>
      </c>
      <c r="S25" s="62">
        <f t="shared" si="9"/>
        <v>921.3</v>
      </c>
    </row>
    <row r="26" spans="1:19" ht="30" x14ac:dyDescent="0.3">
      <c r="B26" s="58" t="s">
        <v>14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62">
        <v>750.6</v>
      </c>
      <c r="S26" s="62">
        <f t="shared" si="9"/>
        <v>750.6</v>
      </c>
    </row>
    <row r="27" spans="1:19" ht="30" x14ac:dyDescent="0.3">
      <c r="B27" s="58" t="s">
        <v>13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62">
        <v>785.7</v>
      </c>
      <c r="S27" s="62">
        <f t="shared" si="9"/>
        <v>785.7</v>
      </c>
    </row>
    <row r="28" spans="1:19" ht="18.75" x14ac:dyDescent="0.3">
      <c r="P28" s="64" t="s">
        <v>39</v>
      </c>
      <c r="R28" s="64">
        <f>SUM(R8:R27)</f>
        <v>15000.000000000002</v>
      </c>
      <c r="S28" s="63">
        <f>SUM(S8:S27)</f>
        <v>29999.999999999993</v>
      </c>
    </row>
  </sheetData>
  <mergeCells count="4">
    <mergeCell ref="D7:D17"/>
    <mergeCell ref="M7:M17"/>
    <mergeCell ref="A5:P5"/>
    <mergeCell ref="A2:P2"/>
  </mergeCells>
  <pageMargins left="0.11811023622047244" right="0.31496062992125984" top="0.3543307086614173" bottom="0.354330708661417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7"/>
  <sheetViews>
    <sheetView tabSelected="1" zoomScale="70" zoomScaleNormal="70" workbookViewId="0">
      <selection activeCell="S3" sqref="S3"/>
    </sheetView>
  </sheetViews>
  <sheetFormatPr defaultRowHeight="15" x14ac:dyDescent="0.25"/>
  <cols>
    <col min="1" max="1" width="3.85546875" bestFit="1" customWidth="1"/>
    <col min="2" max="2" width="28.140625" customWidth="1"/>
    <col min="3" max="3" width="24.42578125" customWidth="1"/>
    <col min="4" max="4" width="12.7109375" bestFit="1" customWidth="1"/>
    <col min="5" max="5" width="7" bestFit="1" customWidth="1"/>
    <col min="6" max="6" width="24.42578125" customWidth="1"/>
    <col min="7" max="7" width="7" bestFit="1" customWidth="1"/>
    <col min="8" max="8" width="35.85546875" customWidth="1"/>
    <col min="9" max="9" width="7" bestFit="1" customWidth="1"/>
    <col min="10" max="10" width="26.42578125" customWidth="1"/>
    <col min="11" max="11" width="10" customWidth="1"/>
    <col min="12" max="12" width="23.7109375" customWidth="1"/>
    <col min="13" max="13" width="13.85546875" customWidth="1"/>
    <col min="14" max="14" width="18.5703125" customWidth="1"/>
    <col min="15" max="15" width="12.7109375" bestFit="1" customWidth="1"/>
    <col min="16" max="16" width="14.28515625" bestFit="1" customWidth="1"/>
    <col min="17" max="17" width="4.28515625" customWidth="1"/>
    <col min="18" max="18" width="18.28515625" customWidth="1"/>
    <col min="19" max="19" width="17.7109375" customWidth="1"/>
  </cols>
  <sheetData>
    <row r="2" spans="1:19" ht="58.5" customHeight="1" x14ac:dyDescent="0.25">
      <c r="B2" s="79" t="s">
        <v>37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9" ht="15.75" x14ac:dyDescent="0.25">
      <c r="S3" s="73" t="s">
        <v>40</v>
      </c>
    </row>
    <row r="4" spans="1:19" s="1" customFormat="1" ht="37.5" customHeight="1" x14ac:dyDescent="0.3">
      <c r="A4" s="78">
        <v>2020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9" s="15" customFormat="1" ht="75" x14ac:dyDescent="0.3">
      <c r="A5" s="37" t="s">
        <v>29</v>
      </c>
      <c r="B5" s="17" t="s">
        <v>18</v>
      </c>
      <c r="C5" s="22" t="s">
        <v>19</v>
      </c>
      <c r="D5" s="22" t="s">
        <v>25</v>
      </c>
      <c r="E5" s="17" t="s">
        <v>26</v>
      </c>
      <c r="F5" s="16" t="s">
        <v>20</v>
      </c>
      <c r="G5" s="17" t="s">
        <v>27</v>
      </c>
      <c r="H5" s="16" t="s">
        <v>21</v>
      </c>
      <c r="I5" s="17" t="s">
        <v>28</v>
      </c>
      <c r="J5" s="16" t="s">
        <v>22</v>
      </c>
      <c r="K5" s="17" t="s">
        <v>23</v>
      </c>
      <c r="L5" s="16" t="s">
        <v>24</v>
      </c>
      <c r="M5" s="6" t="s">
        <v>33</v>
      </c>
      <c r="N5" s="16" t="s">
        <v>34</v>
      </c>
      <c r="O5" s="16" t="s">
        <v>35</v>
      </c>
      <c r="P5" s="17" t="s">
        <v>30</v>
      </c>
      <c r="R5" s="16" t="s">
        <v>36</v>
      </c>
      <c r="S5" s="16" t="s">
        <v>38</v>
      </c>
    </row>
    <row r="6" spans="1:19" s="15" customFormat="1" ht="18.75" hidden="1" x14ac:dyDescent="0.3">
      <c r="A6" s="10"/>
      <c r="B6" s="38"/>
      <c r="C6" s="39"/>
      <c r="D6" s="80">
        <v>15000</v>
      </c>
      <c r="E6" s="40"/>
      <c r="F6" s="10"/>
      <c r="G6" s="41"/>
      <c r="H6" s="39"/>
      <c r="I6" s="41"/>
      <c r="J6" s="41"/>
      <c r="K6" s="41"/>
      <c r="L6" s="20"/>
      <c r="M6" s="76">
        <f>D6-L17</f>
        <v>1929.9332475008123</v>
      </c>
      <c r="N6" s="19"/>
      <c r="O6" s="42"/>
      <c r="P6" s="18"/>
      <c r="R6" s="51"/>
      <c r="S6" s="36"/>
    </row>
    <row r="7" spans="1:19" s="15" customFormat="1" ht="40.5" customHeight="1" x14ac:dyDescent="0.3">
      <c r="A7" s="10">
        <v>1</v>
      </c>
      <c r="B7" s="44" t="s">
        <v>1</v>
      </c>
      <c r="C7" s="39">
        <v>900</v>
      </c>
      <c r="D7" s="81"/>
      <c r="E7" s="40">
        <f>C7/C17</f>
        <v>5.7656457202893072E-2</v>
      </c>
      <c r="F7" s="10">
        <v>2</v>
      </c>
      <c r="G7" s="41">
        <f t="shared" ref="G7:G16" si="0">F7/$F$17</f>
        <v>5.7142857142857141E-2</v>
      </c>
      <c r="H7" s="39">
        <v>25006</v>
      </c>
      <c r="I7" s="41">
        <f t="shared" ref="I7:I16" si="1">H7/$H$17</f>
        <v>2.4258004433299219E-2</v>
      </c>
      <c r="J7" s="41">
        <v>0.1</v>
      </c>
      <c r="K7" s="41">
        <f>1-J7</f>
        <v>0.9</v>
      </c>
      <c r="L7" s="20">
        <f>((80%*$D$6)*E7+(10%*$D$6)*G7+(10%*$D$6)*I7)*K7</f>
        <v>732.58090091905626</v>
      </c>
      <c r="M7" s="77"/>
      <c r="N7" s="19">
        <f>C7-L7</f>
        <v>167.41909908094374</v>
      </c>
      <c r="O7" s="26">
        <f>$M$6*(N7/$N$17)</f>
        <v>127.22612050417445</v>
      </c>
      <c r="P7" s="25">
        <f t="shared" ref="P7:P15" si="2">L7+O7</f>
        <v>859.80702142323071</v>
      </c>
      <c r="R7" s="59">
        <v>0</v>
      </c>
      <c r="S7" s="65">
        <f>P7+R7</f>
        <v>859.80702142323071</v>
      </c>
    </row>
    <row r="8" spans="1:19" s="15" customFormat="1" ht="30.75" x14ac:dyDescent="0.3">
      <c r="A8" s="10">
        <v>2</v>
      </c>
      <c r="B8" s="44" t="s">
        <v>2</v>
      </c>
      <c r="C8" s="39">
        <v>1825.2</v>
      </c>
      <c r="D8" s="81"/>
      <c r="E8" s="40">
        <f>C8/C17</f>
        <v>0.11692729520746716</v>
      </c>
      <c r="F8" s="10">
        <v>4</v>
      </c>
      <c r="G8" s="41">
        <f t="shared" si="0"/>
        <v>0.11428571428571428</v>
      </c>
      <c r="H8" s="39">
        <v>59000</v>
      </c>
      <c r="I8" s="41">
        <f t="shared" si="1"/>
        <v>5.7235154025620009E-2</v>
      </c>
      <c r="J8" s="41">
        <v>0.1</v>
      </c>
      <c r="K8" s="41">
        <f t="shared" ref="K8:K16" si="3">1-J8</f>
        <v>0.9</v>
      </c>
      <c r="L8" s="20">
        <f>((80%*$D$6)*E8+(10%*$D$6)*G8+(10%*$D$6)*I8)*K8</f>
        <v>1494.3679604609465</v>
      </c>
      <c r="M8" s="77"/>
      <c r="N8" s="19">
        <f t="shared" ref="N8:N16" si="4">C8-L8</f>
        <v>330.83203953905354</v>
      </c>
      <c r="O8" s="26">
        <f t="shared" ref="O8:O16" si="5">$M$6*(N8/$N$17)</f>
        <v>251.40785704913833</v>
      </c>
      <c r="P8" s="25">
        <f t="shared" si="2"/>
        <v>1745.7758175100848</v>
      </c>
      <c r="R8" s="59">
        <v>0</v>
      </c>
      <c r="S8" s="65">
        <f t="shared" ref="S8:S16" si="6">P8+R8</f>
        <v>1745.7758175100848</v>
      </c>
    </row>
    <row r="9" spans="1:19" s="15" customFormat="1" ht="30.75" x14ac:dyDescent="0.3">
      <c r="A9" s="10">
        <v>3</v>
      </c>
      <c r="B9" s="38" t="s">
        <v>3</v>
      </c>
      <c r="C9" s="39">
        <v>1081.5999999999999</v>
      </c>
      <c r="D9" s="81"/>
      <c r="E9" s="40">
        <f>C9/C17</f>
        <v>6.929024901183238E-2</v>
      </c>
      <c r="F9" s="10">
        <v>3</v>
      </c>
      <c r="G9" s="41">
        <f t="shared" si="0"/>
        <v>8.5714285714285715E-2</v>
      </c>
      <c r="H9" s="39">
        <v>165700</v>
      </c>
      <c r="I9" s="41">
        <f t="shared" si="1"/>
        <v>0.16074347494991925</v>
      </c>
      <c r="J9" s="41">
        <v>0.1</v>
      </c>
      <c r="K9" s="41">
        <f t="shared" si="3"/>
        <v>0.9</v>
      </c>
      <c r="L9" s="22">
        <v>1081.5999999999999</v>
      </c>
      <c r="M9" s="77"/>
      <c r="N9" s="19">
        <f t="shared" si="4"/>
        <v>0</v>
      </c>
      <c r="O9" s="26">
        <f t="shared" si="5"/>
        <v>0</v>
      </c>
      <c r="P9" s="25">
        <f t="shared" si="2"/>
        <v>1081.5999999999999</v>
      </c>
      <c r="R9" s="59">
        <v>1918.4</v>
      </c>
      <c r="S9" s="65">
        <f t="shared" si="6"/>
        <v>3000</v>
      </c>
    </row>
    <row r="10" spans="1:19" s="15" customFormat="1" ht="23.25" customHeight="1" x14ac:dyDescent="0.3">
      <c r="A10" s="10">
        <v>4</v>
      </c>
      <c r="B10" s="38" t="s">
        <v>15</v>
      </c>
      <c r="C10" s="39">
        <v>3014.4</v>
      </c>
      <c r="D10" s="81"/>
      <c r="E10" s="40">
        <f>C10/C17</f>
        <v>0.19311069399155653</v>
      </c>
      <c r="F10" s="10">
        <v>6</v>
      </c>
      <c r="G10" s="41">
        <f t="shared" si="0"/>
        <v>0.17142857142857143</v>
      </c>
      <c r="H10" s="39">
        <v>105500</v>
      </c>
      <c r="I10" s="41">
        <f t="shared" si="1"/>
        <v>0.1023442160966595</v>
      </c>
      <c r="J10" s="41">
        <v>0.1</v>
      </c>
      <c r="K10" s="41">
        <f t="shared" si="3"/>
        <v>0.9</v>
      </c>
      <c r="L10" s="20">
        <f t="shared" ref="L10:L16" si="7">((80%*$D$6)*E10+(10%*$D$6)*G10+(10%*$D$6)*I10)*K10</f>
        <v>2455.1887582678723</v>
      </c>
      <c r="M10" s="77"/>
      <c r="N10" s="19">
        <f t="shared" si="4"/>
        <v>559.21124173212775</v>
      </c>
      <c r="O10" s="26">
        <f t="shared" si="5"/>
        <v>424.95914276484632</v>
      </c>
      <c r="P10" s="25">
        <f t="shared" si="2"/>
        <v>2880.1479010327184</v>
      </c>
      <c r="R10" s="59">
        <v>1907.6</v>
      </c>
      <c r="S10" s="65">
        <f t="shared" si="6"/>
        <v>4787.7479010327188</v>
      </c>
    </row>
    <row r="11" spans="1:19" s="15" customFormat="1" ht="30.75" x14ac:dyDescent="0.3">
      <c r="A11" s="10">
        <v>5</v>
      </c>
      <c r="B11" s="44" t="s">
        <v>4</v>
      </c>
      <c r="C11" s="39">
        <v>1800</v>
      </c>
      <c r="D11" s="81"/>
      <c r="E11" s="40">
        <f>C11/C17</f>
        <v>0.11531291440578614</v>
      </c>
      <c r="F11" s="10">
        <v>4</v>
      </c>
      <c r="G11" s="41">
        <f t="shared" si="0"/>
        <v>0.11428571428571428</v>
      </c>
      <c r="H11" s="39">
        <v>147457</v>
      </c>
      <c r="I11" s="41">
        <f t="shared" si="1"/>
        <v>0.14304617130772626</v>
      </c>
      <c r="J11" s="41">
        <v>0.1</v>
      </c>
      <c r="K11" s="41">
        <f t="shared" si="3"/>
        <v>0.9</v>
      </c>
      <c r="L11" s="20">
        <f t="shared" si="7"/>
        <v>1592.777521133635</v>
      </c>
      <c r="M11" s="77"/>
      <c r="N11" s="19">
        <f t="shared" si="4"/>
        <v>207.22247886636501</v>
      </c>
      <c r="O11" s="26">
        <f t="shared" si="5"/>
        <v>157.4737423158596</v>
      </c>
      <c r="P11" s="25">
        <f t="shared" si="2"/>
        <v>1750.2512634494947</v>
      </c>
      <c r="R11" s="59">
        <v>0</v>
      </c>
      <c r="S11" s="65">
        <f t="shared" si="6"/>
        <v>1750.2512634494947</v>
      </c>
    </row>
    <row r="12" spans="1:19" s="15" customFormat="1" ht="30.75" x14ac:dyDescent="0.3">
      <c r="A12" s="10">
        <v>6</v>
      </c>
      <c r="B12" s="38" t="s">
        <v>8</v>
      </c>
      <c r="C12" s="39">
        <v>1163.5</v>
      </c>
      <c r="D12" s="81"/>
      <c r="E12" s="40">
        <f>C12/C17</f>
        <v>7.4536986617295659E-2</v>
      </c>
      <c r="F12" s="10">
        <v>3</v>
      </c>
      <c r="G12" s="41">
        <f t="shared" si="0"/>
        <v>8.5714285714285715E-2</v>
      </c>
      <c r="H12" s="39">
        <v>17100</v>
      </c>
      <c r="I12" s="41">
        <f t="shared" si="1"/>
        <v>1.6588493793866139E-2</v>
      </c>
      <c r="J12" s="41">
        <v>0.1</v>
      </c>
      <c r="K12" s="41">
        <f t="shared" si="3"/>
        <v>0.9</v>
      </c>
      <c r="L12" s="20">
        <f t="shared" si="7"/>
        <v>943.10820780279812</v>
      </c>
      <c r="M12" s="77"/>
      <c r="N12" s="19">
        <f t="shared" si="4"/>
        <v>220.39179219720188</v>
      </c>
      <c r="O12" s="26">
        <f t="shared" si="5"/>
        <v>167.48144546313446</v>
      </c>
      <c r="P12" s="25">
        <f t="shared" si="2"/>
        <v>1110.5896532659326</v>
      </c>
      <c r="R12" s="59">
        <v>1536.5</v>
      </c>
      <c r="S12" s="65">
        <f t="shared" si="6"/>
        <v>2647.0896532659326</v>
      </c>
    </row>
    <row r="13" spans="1:19" s="15" customFormat="1" ht="30.75" x14ac:dyDescent="0.3">
      <c r="A13" s="10">
        <v>7</v>
      </c>
      <c r="B13" s="44" t="s">
        <v>9</v>
      </c>
      <c r="C13" s="39">
        <v>1350</v>
      </c>
      <c r="D13" s="81"/>
      <c r="E13" s="40">
        <f>C13/C17</f>
        <v>8.6484685804339601E-2</v>
      </c>
      <c r="F13" s="10">
        <v>3</v>
      </c>
      <c r="G13" s="41">
        <f t="shared" si="0"/>
        <v>8.5714285714285715E-2</v>
      </c>
      <c r="H13" s="39">
        <v>43840</v>
      </c>
      <c r="I13" s="41">
        <f t="shared" si="1"/>
        <v>4.2528629703104767E-2</v>
      </c>
      <c r="J13" s="41">
        <v>0.1</v>
      </c>
      <c r="K13" s="41">
        <f t="shared" si="3"/>
        <v>0.9</v>
      </c>
      <c r="L13" s="20">
        <f t="shared" si="7"/>
        <v>1107.1625425003449</v>
      </c>
      <c r="M13" s="77"/>
      <c r="N13" s="19">
        <f t="shared" si="4"/>
        <v>242.8374574996551</v>
      </c>
      <c r="O13" s="26">
        <f t="shared" si="5"/>
        <v>184.53848933831156</v>
      </c>
      <c r="P13" s="25">
        <f t="shared" si="2"/>
        <v>1291.7010318386565</v>
      </c>
      <c r="R13" s="59">
        <v>0</v>
      </c>
      <c r="S13" s="65">
        <f t="shared" si="6"/>
        <v>1291.7010318386565</v>
      </c>
    </row>
    <row r="14" spans="1:19" s="15" customFormat="1" ht="30.75" x14ac:dyDescent="0.3">
      <c r="A14" s="10">
        <v>8</v>
      </c>
      <c r="B14" s="38" t="s">
        <v>10</v>
      </c>
      <c r="C14" s="39">
        <v>2000</v>
      </c>
      <c r="D14" s="81"/>
      <c r="E14" s="40">
        <f>C14/C17</f>
        <v>0.1281254604508735</v>
      </c>
      <c r="F14" s="10">
        <v>4</v>
      </c>
      <c r="G14" s="41">
        <f t="shared" si="0"/>
        <v>0.11428571428571428</v>
      </c>
      <c r="H14" s="39">
        <v>37000</v>
      </c>
      <c r="I14" s="41">
        <f t="shared" si="1"/>
        <v>3.5893232185558309E-2</v>
      </c>
      <c r="J14" s="41">
        <v>0.1</v>
      </c>
      <c r="K14" s="41">
        <f t="shared" si="3"/>
        <v>0.9</v>
      </c>
      <c r="L14" s="20">
        <f t="shared" si="7"/>
        <v>1586.4965506056519</v>
      </c>
      <c r="M14" s="77"/>
      <c r="N14" s="19">
        <f t="shared" si="4"/>
        <v>413.50344939434808</v>
      </c>
      <c r="O14" s="26">
        <f t="shared" si="5"/>
        <v>314.23200799869329</v>
      </c>
      <c r="P14" s="25">
        <f t="shared" si="2"/>
        <v>1900.7285586043452</v>
      </c>
      <c r="R14" s="59">
        <v>1956.1</v>
      </c>
      <c r="S14" s="65">
        <f t="shared" si="6"/>
        <v>3856.8285586043448</v>
      </c>
    </row>
    <row r="15" spans="1:19" s="15" customFormat="1" ht="30.75" x14ac:dyDescent="0.3">
      <c r="A15" s="10">
        <v>9</v>
      </c>
      <c r="B15" s="44" t="s">
        <v>16</v>
      </c>
      <c r="C15" s="39">
        <v>1800</v>
      </c>
      <c r="D15" s="81"/>
      <c r="E15" s="40">
        <f>C15/C17</f>
        <v>0.11531291440578614</v>
      </c>
      <c r="F15" s="10">
        <v>4</v>
      </c>
      <c r="G15" s="41">
        <f t="shared" si="0"/>
        <v>0.11428571428571428</v>
      </c>
      <c r="H15" s="39">
        <v>23385</v>
      </c>
      <c r="I15" s="41">
        <f t="shared" si="1"/>
        <v>2.2685492828629219E-2</v>
      </c>
      <c r="J15" s="41">
        <v>0.1</v>
      </c>
      <c r="K15" s="41">
        <f t="shared" si="3"/>
        <v>0.9</v>
      </c>
      <c r="L15" s="20">
        <f t="shared" si="7"/>
        <v>1430.290605186854</v>
      </c>
      <c r="M15" s="77"/>
      <c r="N15" s="19">
        <f t="shared" si="4"/>
        <v>369.70939481314599</v>
      </c>
      <c r="O15" s="26">
        <f t="shared" si="5"/>
        <v>280.9517687900198</v>
      </c>
      <c r="P15" s="25">
        <f t="shared" si="2"/>
        <v>1711.2423739768738</v>
      </c>
      <c r="R15" s="59">
        <v>0</v>
      </c>
      <c r="S15" s="65">
        <f t="shared" si="6"/>
        <v>1711.2423739768738</v>
      </c>
    </row>
    <row r="16" spans="1:19" s="15" customFormat="1" ht="24.75" customHeight="1" x14ac:dyDescent="0.3">
      <c r="A16" s="10">
        <v>10</v>
      </c>
      <c r="B16" s="44" t="s">
        <v>17</v>
      </c>
      <c r="C16" s="39">
        <v>675</v>
      </c>
      <c r="D16" s="81"/>
      <c r="E16" s="40">
        <f>C16/C17</f>
        <v>4.32423429021698E-2</v>
      </c>
      <c r="F16" s="10">
        <v>2</v>
      </c>
      <c r="G16" s="41">
        <f t="shared" si="0"/>
        <v>5.7142857142857141E-2</v>
      </c>
      <c r="H16" s="39">
        <v>78140</v>
      </c>
      <c r="I16" s="41">
        <f t="shared" si="1"/>
        <v>7.5802626026473682E-2</v>
      </c>
      <c r="J16" s="41">
        <v>0.1</v>
      </c>
      <c r="K16" s="41">
        <f t="shared" si="3"/>
        <v>0.9</v>
      </c>
      <c r="L16" s="20">
        <f t="shared" si="7"/>
        <v>646.49370562203046</v>
      </c>
      <c r="M16" s="77"/>
      <c r="N16" s="19">
        <f t="shared" si="4"/>
        <v>28.506294377969539</v>
      </c>
      <c r="O16" s="26">
        <f t="shared" si="5"/>
        <v>21.662673276634742</v>
      </c>
      <c r="P16" s="25">
        <f>L16+O16</f>
        <v>668.15637889866525</v>
      </c>
      <c r="R16" s="59">
        <v>0</v>
      </c>
      <c r="S16" s="65">
        <f t="shared" si="6"/>
        <v>668.15637889866525</v>
      </c>
    </row>
    <row r="17" spans="2:19" s="1" customFormat="1" ht="26.25" customHeight="1" x14ac:dyDescent="0.3">
      <c r="B17" s="2"/>
      <c r="C17" s="8">
        <f>SUM(C6:C16)</f>
        <v>15609.7</v>
      </c>
      <c r="D17" s="7"/>
      <c r="E17" s="2"/>
      <c r="F17" s="6">
        <f>SUM(F6:F16)</f>
        <v>35</v>
      </c>
      <c r="G17" s="2"/>
      <c r="H17" s="23">
        <v>1030835</v>
      </c>
      <c r="L17" s="8">
        <f>SUM(L6:L16)</f>
        <v>13070.066752499188</v>
      </c>
      <c r="N17" s="8">
        <f>SUM(N6:N16)</f>
        <v>2539.6332475008103</v>
      </c>
      <c r="O17" s="9">
        <f>SUM(O6:O16)</f>
        <v>1929.9332475008123</v>
      </c>
      <c r="P17" s="9">
        <f>SUM(P7:P16)</f>
        <v>15000.000000000002</v>
      </c>
      <c r="R17" s="60"/>
      <c r="S17" s="55"/>
    </row>
    <row r="18" spans="2:19" s="1" customFormat="1" ht="26.25" customHeight="1" x14ac:dyDescent="0.3">
      <c r="B18" s="2"/>
      <c r="C18" s="69"/>
      <c r="D18" s="7"/>
      <c r="E18" s="2"/>
      <c r="F18" s="70"/>
      <c r="G18" s="2"/>
      <c r="H18" s="71"/>
      <c r="L18" s="69"/>
      <c r="N18" s="69"/>
      <c r="O18" s="72"/>
      <c r="P18" s="72"/>
      <c r="R18" s="60"/>
      <c r="S18" s="55"/>
    </row>
    <row r="19" spans="2:19" ht="30" x14ac:dyDescent="0.3">
      <c r="B19" s="58" t="s">
        <v>0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62">
        <v>630.5</v>
      </c>
      <c r="S19" s="62">
        <f>R19</f>
        <v>630.5</v>
      </c>
    </row>
    <row r="20" spans="2:19" ht="30" x14ac:dyDescent="0.3">
      <c r="B20" s="58" t="s">
        <v>5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2">
        <v>1071.4000000000001</v>
      </c>
      <c r="S20" s="62">
        <f t="shared" ref="S20:S26" si="8">R20</f>
        <v>1071.4000000000001</v>
      </c>
    </row>
    <row r="21" spans="2:19" ht="30" x14ac:dyDescent="0.3">
      <c r="B21" s="58" t="s">
        <v>6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62">
        <v>1054.8</v>
      </c>
      <c r="S21" s="62">
        <f t="shared" si="8"/>
        <v>1054.8</v>
      </c>
    </row>
    <row r="22" spans="2:19" ht="30" x14ac:dyDescent="0.3">
      <c r="B22" s="58" t="s">
        <v>7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62">
        <v>822.1</v>
      </c>
      <c r="S22" s="62">
        <f t="shared" si="8"/>
        <v>822.1</v>
      </c>
    </row>
    <row r="23" spans="2:19" ht="30" x14ac:dyDescent="0.3">
      <c r="B23" s="58" t="s">
        <v>11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62">
        <v>1714.1</v>
      </c>
      <c r="S23" s="62">
        <f t="shared" si="8"/>
        <v>1714.1</v>
      </c>
    </row>
    <row r="24" spans="2:19" ht="30" x14ac:dyDescent="0.3">
      <c r="B24" s="58" t="s">
        <v>12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62">
        <v>890</v>
      </c>
      <c r="S24" s="62">
        <f t="shared" si="8"/>
        <v>890</v>
      </c>
    </row>
    <row r="25" spans="2:19" ht="30" x14ac:dyDescent="0.3">
      <c r="B25" s="58" t="s">
        <v>14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62">
        <v>728.8</v>
      </c>
      <c r="S25" s="62">
        <f t="shared" si="8"/>
        <v>728.8</v>
      </c>
    </row>
    <row r="26" spans="2:19" ht="30" x14ac:dyDescent="0.3">
      <c r="B26" s="58" t="s">
        <v>13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62">
        <v>769.7</v>
      </c>
      <c r="S26" s="62">
        <f t="shared" si="8"/>
        <v>769.7</v>
      </c>
    </row>
    <row r="27" spans="2:19" ht="18.75" x14ac:dyDescent="0.3">
      <c r="P27" s="64" t="s">
        <v>39</v>
      </c>
      <c r="R27" s="64">
        <f>SUM(R7:R26)</f>
        <v>15000</v>
      </c>
      <c r="S27" s="63">
        <f>SUM(S7:S26)</f>
        <v>30000</v>
      </c>
    </row>
  </sheetData>
  <mergeCells count="4">
    <mergeCell ref="B2:Q2"/>
    <mergeCell ref="D6:D16"/>
    <mergeCell ref="M6:M16"/>
    <mergeCell ref="A4:P4"/>
  </mergeCells>
  <pageMargins left="0.11811023622047244" right="0.31496062992125984" top="0.3543307086614173" bottom="0.3543307086614173" header="0.31496062992125984" footer="0.31496062992125984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I27"/>
  <sheetViews>
    <sheetView view="pageBreakPreview" zoomScale="60" zoomScaleNormal="70" workbookViewId="0">
      <selection activeCell="O20" sqref="O20"/>
    </sheetView>
  </sheetViews>
  <sheetFormatPr defaultRowHeight="15" x14ac:dyDescent="0.25"/>
  <cols>
    <col min="1" max="1" width="7" customWidth="1"/>
    <col min="2" max="2" width="24.28515625" customWidth="1"/>
    <col min="3" max="3" width="22.42578125" bestFit="1" customWidth="1"/>
    <col min="4" max="4" width="14.7109375" customWidth="1"/>
    <col min="5" max="5" width="10.42578125" customWidth="1"/>
    <col min="6" max="6" width="27.7109375" bestFit="1" customWidth="1"/>
    <col min="7" max="7" width="9.140625" customWidth="1"/>
    <col min="8" max="8" width="35.85546875" customWidth="1"/>
    <col min="9" max="9" width="11.85546875" customWidth="1"/>
    <col min="10" max="10" width="26.42578125" customWidth="1"/>
    <col min="11" max="11" width="10" customWidth="1"/>
    <col min="12" max="12" width="20.7109375" customWidth="1"/>
    <col min="13" max="13" width="14" customWidth="1"/>
    <col min="14" max="14" width="18.28515625" style="11" customWidth="1"/>
    <col min="15" max="15" width="12.7109375" style="11" customWidth="1"/>
    <col min="16" max="16" width="14.28515625" style="11" bestFit="1" customWidth="1"/>
    <col min="17" max="17" width="14.28515625" style="11" customWidth="1"/>
    <col min="18" max="18" width="14.28515625" style="11" hidden="1" customWidth="1"/>
    <col min="19" max="19" width="13.42578125" style="11" hidden="1" customWidth="1"/>
    <col min="20" max="61" width="9.140625" style="11"/>
  </cols>
  <sheetData>
    <row r="2" spans="1:61" ht="56.25" customHeight="1" x14ac:dyDescent="0.25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68"/>
    </row>
    <row r="4" spans="1:61" ht="15.75" x14ac:dyDescent="0.25">
      <c r="P4" s="73" t="s">
        <v>40</v>
      </c>
    </row>
    <row r="5" spans="1:61" s="67" customFormat="1" ht="37.5" customHeight="1" x14ac:dyDescent="0.3">
      <c r="A5" s="86">
        <v>2021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53"/>
      <c r="R5" s="53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</row>
    <row r="6" spans="1:61" s="1" customFormat="1" ht="56.25" customHeight="1" x14ac:dyDescent="0.3">
      <c r="A6" s="4" t="s">
        <v>29</v>
      </c>
      <c r="B6" s="4" t="s">
        <v>18</v>
      </c>
      <c r="C6" s="5" t="s">
        <v>19</v>
      </c>
      <c r="D6" s="5" t="s">
        <v>25</v>
      </c>
      <c r="E6" s="4" t="s">
        <v>26</v>
      </c>
      <c r="F6" s="6" t="s">
        <v>20</v>
      </c>
      <c r="G6" s="4" t="s">
        <v>27</v>
      </c>
      <c r="H6" s="6" t="s">
        <v>21</v>
      </c>
      <c r="I6" s="4" t="s">
        <v>28</v>
      </c>
      <c r="J6" s="6" t="s">
        <v>22</v>
      </c>
      <c r="K6" s="4" t="s">
        <v>23</v>
      </c>
      <c r="L6" s="6" t="s">
        <v>24</v>
      </c>
      <c r="M6" s="6" t="s">
        <v>33</v>
      </c>
      <c r="N6" s="16" t="s">
        <v>34</v>
      </c>
      <c r="O6" s="16" t="s">
        <v>35</v>
      </c>
      <c r="P6" s="17" t="s">
        <v>30</v>
      </c>
      <c r="Q6" s="46"/>
      <c r="R6" s="17"/>
      <c r="S6" s="49" t="s">
        <v>32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</row>
    <row r="7" spans="1:61" s="15" customFormat="1" ht="30" x14ac:dyDescent="0.3">
      <c r="A7" s="10">
        <v>1</v>
      </c>
      <c r="B7" s="12" t="s">
        <v>0</v>
      </c>
      <c r="C7" s="39">
        <v>630</v>
      </c>
      <c r="D7" s="82">
        <v>30000</v>
      </c>
      <c r="E7" s="40">
        <f>C7/C25</f>
        <v>1.9884480636303381E-2</v>
      </c>
      <c r="F7" s="10">
        <v>2</v>
      </c>
      <c r="G7" s="41">
        <f>F7/F25</f>
        <v>2.6666666666666668E-2</v>
      </c>
      <c r="H7" s="39">
        <v>28442</v>
      </c>
      <c r="I7" s="41">
        <f>H7/H25</f>
        <v>2.759122458977431E-2</v>
      </c>
      <c r="J7" s="41">
        <v>0.1</v>
      </c>
      <c r="K7" s="41">
        <f>1-J7</f>
        <v>0.9</v>
      </c>
      <c r="L7" s="20">
        <f>((80%*D7)*E7+(10%*D7)*G7+(10%*D7)*I7)*K7</f>
        <v>576.00108813654367</v>
      </c>
      <c r="M7" s="85">
        <f>D7-L25</f>
        <v>3091.4237581936686</v>
      </c>
      <c r="N7" s="19">
        <f>C7-L7</f>
        <v>53.998911863456328</v>
      </c>
      <c r="O7" s="26">
        <f>M7*(N7/N25)</f>
        <v>34.964118709574151</v>
      </c>
      <c r="P7" s="25">
        <f>SUM(O7,L7)</f>
        <v>610.96520684611778</v>
      </c>
      <c r="Q7" s="47"/>
      <c r="R7" s="25">
        <f>P7*J7</f>
        <v>61.096520684611782</v>
      </c>
      <c r="S7" s="50">
        <v>70000</v>
      </c>
    </row>
    <row r="8" spans="1:61" s="15" customFormat="1" ht="30" x14ac:dyDescent="0.3">
      <c r="A8" s="10">
        <v>2</v>
      </c>
      <c r="B8" s="12" t="s">
        <v>1</v>
      </c>
      <c r="C8" s="39">
        <v>900</v>
      </c>
      <c r="D8" s="83"/>
      <c r="E8" s="40">
        <f>C8/C25</f>
        <v>2.8406400909004828E-2</v>
      </c>
      <c r="F8" s="10">
        <v>2</v>
      </c>
      <c r="G8" s="41">
        <f>F8/F25</f>
        <v>2.6666666666666668E-2</v>
      </c>
      <c r="H8" s="39">
        <v>25006</v>
      </c>
      <c r="I8" s="41">
        <f>H8/H25</f>
        <v>2.4258004433299219E-2</v>
      </c>
      <c r="J8" s="41">
        <v>0.1</v>
      </c>
      <c r="K8" s="41">
        <f t="shared" ref="K8:K24" si="0">1-J8</f>
        <v>0.9</v>
      </c>
      <c r="L8" s="20">
        <f>((80%*D7)*E8+(10%*D7)*G8+(10%*D7)*I8)*K8</f>
        <v>751.07487160441224</v>
      </c>
      <c r="M8" s="85"/>
      <c r="N8" s="19">
        <f t="shared" ref="N8:N24" si="1">C8-L8</f>
        <v>148.92512839558776</v>
      </c>
      <c r="O8" s="26">
        <f>M7*(N8/N25)</f>
        <v>96.428533249495999</v>
      </c>
      <c r="P8" s="25">
        <f t="shared" ref="P8:P25" si="2">SUM(O8,L8)</f>
        <v>847.50340485390825</v>
      </c>
      <c r="Q8" s="47"/>
      <c r="R8" s="25">
        <f t="shared" ref="R8:R24" si="3">P8*J8</f>
        <v>84.750340485390836</v>
      </c>
      <c r="S8" s="50">
        <v>100000</v>
      </c>
    </row>
    <row r="9" spans="1:61" s="15" customFormat="1" ht="30" x14ac:dyDescent="0.3">
      <c r="A9" s="10">
        <v>3</v>
      </c>
      <c r="B9" s="12" t="s">
        <v>2</v>
      </c>
      <c r="C9" s="39">
        <v>1926</v>
      </c>
      <c r="D9" s="83"/>
      <c r="E9" s="40">
        <f>C9/C25</f>
        <v>6.0789697945270331E-2</v>
      </c>
      <c r="F9" s="10">
        <v>4</v>
      </c>
      <c r="G9" s="41">
        <f>F9/F25</f>
        <v>5.3333333333333337E-2</v>
      </c>
      <c r="H9" s="39">
        <v>59000</v>
      </c>
      <c r="I9" s="41">
        <f>H9/H25</f>
        <v>5.7235154025620009E-2</v>
      </c>
      <c r="J9" s="41">
        <v>0.1</v>
      </c>
      <c r="K9" s="41">
        <f t="shared" si="0"/>
        <v>0.9</v>
      </c>
      <c r="L9" s="20">
        <f>((80%*D7)*E9+(10%*D7)*G9+(10%*D7)*I9)*K9</f>
        <v>1611.5923914870132</v>
      </c>
      <c r="M9" s="85"/>
      <c r="N9" s="19">
        <f t="shared" si="1"/>
        <v>314.40760851298683</v>
      </c>
      <c r="O9" s="26">
        <f>M7*(N9/N25)</f>
        <v>203.57789755168886</v>
      </c>
      <c r="P9" s="25">
        <f t="shared" si="2"/>
        <v>1815.1702890387021</v>
      </c>
      <c r="Q9" s="47"/>
      <c r="R9" s="25">
        <f t="shared" si="3"/>
        <v>181.51702890387023</v>
      </c>
      <c r="S9" s="50">
        <v>214000</v>
      </c>
    </row>
    <row r="10" spans="1:61" s="15" customFormat="1" ht="30" x14ac:dyDescent="0.3">
      <c r="A10" s="10">
        <v>4</v>
      </c>
      <c r="B10" s="12" t="s">
        <v>3</v>
      </c>
      <c r="C10" s="39">
        <v>3000</v>
      </c>
      <c r="D10" s="83"/>
      <c r="E10" s="40">
        <f>C10/C25</f>
        <v>9.4688003030016094E-2</v>
      </c>
      <c r="F10" s="10">
        <v>7</v>
      </c>
      <c r="G10" s="41">
        <f>F10/F25</f>
        <v>9.3333333333333338E-2</v>
      </c>
      <c r="H10" s="39">
        <v>165700</v>
      </c>
      <c r="I10" s="41">
        <f>H10/H25</f>
        <v>0.16074347494991925</v>
      </c>
      <c r="J10" s="41">
        <v>0.1</v>
      </c>
      <c r="K10" s="41">
        <f t="shared" si="0"/>
        <v>0.9</v>
      </c>
      <c r="L10" s="20">
        <f>((80%*D7)*E10+(10%*D7)*G10+(10%*D7)*I10)*K10</f>
        <v>2731.2682478131296</v>
      </c>
      <c r="M10" s="85"/>
      <c r="N10" s="19">
        <f t="shared" si="1"/>
        <v>268.73175218687038</v>
      </c>
      <c r="O10" s="26">
        <f>M7*(N10/N25)</f>
        <v>174.00293006371308</v>
      </c>
      <c r="P10" s="25">
        <f t="shared" si="2"/>
        <v>2905.2711778768426</v>
      </c>
      <c r="Q10" s="47"/>
      <c r="R10" s="25">
        <f t="shared" si="3"/>
        <v>290.52711778768429</v>
      </c>
      <c r="S10" s="50">
        <v>333334</v>
      </c>
    </row>
    <row r="11" spans="1:61" s="15" customFormat="1" ht="24.75" customHeight="1" x14ac:dyDescent="0.3">
      <c r="A11" s="10">
        <v>5</v>
      </c>
      <c r="B11" s="12" t="s">
        <v>15</v>
      </c>
      <c r="C11" s="39">
        <v>4922</v>
      </c>
      <c r="D11" s="83"/>
      <c r="E11" s="40">
        <f>C11/C25</f>
        <v>0.15535145030457975</v>
      </c>
      <c r="F11" s="10">
        <v>12</v>
      </c>
      <c r="G11" s="41">
        <f>F11/F25</f>
        <v>0.16</v>
      </c>
      <c r="H11" s="39">
        <v>105500</v>
      </c>
      <c r="I11" s="41">
        <f>H11/H25</f>
        <v>0.1023442160966595</v>
      </c>
      <c r="J11" s="41">
        <v>0.1</v>
      </c>
      <c r="K11" s="41">
        <f t="shared" si="0"/>
        <v>0.9</v>
      </c>
      <c r="L11" s="20">
        <f>((80%*D7)*E11+(10%*D7)*G11+(10%*D7)*I11)*K11</f>
        <v>4063.9207100399026</v>
      </c>
      <c r="M11" s="85"/>
      <c r="N11" s="19">
        <f t="shared" si="1"/>
        <v>858.07928996009741</v>
      </c>
      <c r="O11" s="26">
        <f>M7*(N11/N25)</f>
        <v>555.6035320166468</v>
      </c>
      <c r="P11" s="25">
        <f t="shared" si="2"/>
        <v>4619.5242420565492</v>
      </c>
      <c r="Q11" s="47"/>
      <c r="R11" s="25">
        <f t="shared" si="3"/>
        <v>461.95242420565495</v>
      </c>
      <c r="S11" s="50">
        <v>510000</v>
      </c>
    </row>
    <row r="12" spans="1:61" s="15" customFormat="1" ht="30" x14ac:dyDescent="0.3">
      <c r="A12" s="10">
        <v>6</v>
      </c>
      <c r="B12" s="12" t="s">
        <v>4</v>
      </c>
      <c r="C12" s="39">
        <v>1800</v>
      </c>
      <c r="D12" s="83"/>
      <c r="E12" s="40">
        <f>C12/C25</f>
        <v>5.6812801818009656E-2</v>
      </c>
      <c r="F12" s="10">
        <v>4</v>
      </c>
      <c r="G12" s="41">
        <f>F12/F25</f>
        <v>5.3333333333333337E-2</v>
      </c>
      <c r="H12" s="39">
        <v>147457</v>
      </c>
      <c r="I12" s="41">
        <f>H12/H25</f>
        <v>0.14304617130772626</v>
      </c>
      <c r="J12" s="41">
        <v>0.1</v>
      </c>
      <c r="K12" s="41">
        <f t="shared" si="0"/>
        <v>0.9</v>
      </c>
      <c r="L12" s="20">
        <f>((80%*D7)*E12+(10%*D7)*G12+(10%*D7)*I12)*K12</f>
        <v>1757.3811817998696</v>
      </c>
      <c r="M12" s="85"/>
      <c r="N12" s="19">
        <f t="shared" si="1"/>
        <v>42.618818200130363</v>
      </c>
      <c r="O12" s="26">
        <f>M7*(N12/N25)</f>
        <v>27.595545306155699</v>
      </c>
      <c r="P12" s="25">
        <f t="shared" si="2"/>
        <v>1784.9767271060252</v>
      </c>
      <c r="Q12" s="47"/>
      <c r="R12" s="25">
        <f t="shared" si="3"/>
        <v>178.49767271060253</v>
      </c>
      <c r="S12" s="50">
        <v>200000</v>
      </c>
    </row>
    <row r="13" spans="1:61" s="15" customFormat="1" ht="30" x14ac:dyDescent="0.3">
      <c r="A13" s="10">
        <v>7</v>
      </c>
      <c r="B13" s="12" t="s">
        <v>5</v>
      </c>
      <c r="C13" s="39">
        <v>1300</v>
      </c>
      <c r="D13" s="83"/>
      <c r="E13" s="40">
        <f>C13/C25</f>
        <v>4.1031467979673643E-2</v>
      </c>
      <c r="F13" s="10">
        <v>3</v>
      </c>
      <c r="G13" s="41">
        <f>F13/F25</f>
        <v>0.04</v>
      </c>
      <c r="H13" s="39">
        <v>78800</v>
      </c>
      <c r="I13" s="41">
        <f>H13/H25</f>
        <v>7.6442883681675539E-2</v>
      </c>
      <c r="J13" s="41">
        <v>0.1</v>
      </c>
      <c r="K13" s="41">
        <f t="shared" si="0"/>
        <v>0.9</v>
      </c>
      <c r="L13" s="20">
        <f>((80%*D7)*E13+(10%*D7)*G13+(10%*D7)*I13)*K13</f>
        <v>1200.6754943014748</v>
      </c>
      <c r="M13" s="85"/>
      <c r="N13" s="19">
        <f t="shared" si="1"/>
        <v>99.324505698525172</v>
      </c>
      <c r="O13" s="26">
        <f>M7*(N13/N25)</f>
        <v>64.312292380899166</v>
      </c>
      <c r="P13" s="25">
        <f t="shared" si="2"/>
        <v>1264.987786682374</v>
      </c>
      <c r="Q13" s="47"/>
      <c r="R13" s="25">
        <f t="shared" si="3"/>
        <v>126.49877866823741</v>
      </c>
      <c r="S13" s="50">
        <v>200000</v>
      </c>
    </row>
    <row r="14" spans="1:61" s="15" customFormat="1" ht="30" x14ac:dyDescent="0.3">
      <c r="A14" s="10">
        <v>8</v>
      </c>
      <c r="B14" s="12" t="s">
        <v>6</v>
      </c>
      <c r="C14" s="39">
        <v>1090</v>
      </c>
      <c r="D14" s="83"/>
      <c r="E14" s="40">
        <f>C14/C25</f>
        <v>3.4403307767572514E-2</v>
      </c>
      <c r="F14" s="10">
        <v>3</v>
      </c>
      <c r="G14" s="41">
        <f>F14/F25</f>
        <v>0.04</v>
      </c>
      <c r="H14" s="39">
        <v>41060</v>
      </c>
      <c r="I14" s="41">
        <f>H14/H25</f>
        <v>3.9831786852406056E-2</v>
      </c>
      <c r="J14" s="41">
        <v>0.1</v>
      </c>
      <c r="K14" s="41">
        <f t="shared" si="0"/>
        <v>0.9</v>
      </c>
      <c r="L14" s="20">
        <f>((80%*D7)*E14+(10%*D7)*G14+(10%*D7)*I14)*K14</f>
        <v>958.65727228106255</v>
      </c>
      <c r="M14" s="85"/>
      <c r="N14" s="19">
        <f t="shared" si="1"/>
        <v>131.34272771893745</v>
      </c>
      <c r="O14" s="26">
        <f>M7*(N14/N25)</f>
        <v>85.043986353214351</v>
      </c>
      <c r="P14" s="25">
        <f t="shared" si="2"/>
        <v>1043.7012586342769</v>
      </c>
      <c r="Q14" s="47"/>
      <c r="R14" s="25">
        <f t="shared" si="3"/>
        <v>104.37012586342769</v>
      </c>
      <c r="S14" s="50">
        <v>122000</v>
      </c>
    </row>
    <row r="15" spans="1:61" s="15" customFormat="1" ht="30" x14ac:dyDescent="0.3">
      <c r="A15" s="10">
        <v>9</v>
      </c>
      <c r="B15" s="12" t="s">
        <v>7</v>
      </c>
      <c r="C15" s="39">
        <v>900</v>
      </c>
      <c r="D15" s="83"/>
      <c r="E15" s="40">
        <f>C15/C25</f>
        <v>2.8406400909004828E-2</v>
      </c>
      <c r="F15" s="10">
        <v>2</v>
      </c>
      <c r="G15" s="41">
        <f>F15/F25</f>
        <v>2.6666666666666668E-2</v>
      </c>
      <c r="H15" s="39">
        <v>53900</v>
      </c>
      <c r="I15" s="41">
        <f>H15/H25</f>
        <v>5.2287708508151162E-2</v>
      </c>
      <c r="J15" s="41">
        <v>0.1</v>
      </c>
      <c r="K15" s="41">
        <f t="shared" si="0"/>
        <v>0.9</v>
      </c>
      <c r="L15" s="20">
        <f>((80%*D7)*E15+(10%*D7)*G15+(10%*D7)*I15)*K15</f>
        <v>826.7550726065125</v>
      </c>
      <c r="M15" s="85"/>
      <c r="N15" s="19">
        <f t="shared" si="1"/>
        <v>73.244927393487501</v>
      </c>
      <c r="O15" s="26">
        <f>M7*(N15/N25)</f>
        <v>47.425850778914516</v>
      </c>
      <c r="P15" s="25">
        <f t="shared" si="2"/>
        <v>874.18092338542704</v>
      </c>
      <c r="Q15" s="47"/>
      <c r="R15" s="25">
        <f t="shared" si="3"/>
        <v>87.418092338542706</v>
      </c>
      <c r="S15" s="50">
        <v>100000</v>
      </c>
    </row>
    <row r="16" spans="1:61" s="15" customFormat="1" ht="30" x14ac:dyDescent="0.3">
      <c r="A16" s="10">
        <v>10</v>
      </c>
      <c r="B16" s="12" t="s">
        <v>8</v>
      </c>
      <c r="C16" s="39">
        <v>2700</v>
      </c>
      <c r="D16" s="83"/>
      <c r="E16" s="40">
        <f>C16/C25</f>
        <v>8.5219202727014484E-2</v>
      </c>
      <c r="F16" s="10">
        <v>6</v>
      </c>
      <c r="G16" s="41">
        <f>F16/F25</f>
        <v>0.08</v>
      </c>
      <c r="H16" s="39">
        <v>17100</v>
      </c>
      <c r="I16" s="41">
        <f>H16/H25</f>
        <v>1.6588493793866139E-2</v>
      </c>
      <c r="J16" s="41">
        <v>0.1</v>
      </c>
      <c r="K16" s="41">
        <f t="shared" si="0"/>
        <v>0.9</v>
      </c>
      <c r="L16" s="20">
        <f>((80%*D7)*E16+(10%*D7)*G16+(10%*D7)*I16)*K16</f>
        <v>2101.5237121469513</v>
      </c>
      <c r="M16" s="85"/>
      <c r="N16" s="19">
        <f t="shared" si="1"/>
        <v>598.47628785304869</v>
      </c>
      <c r="O16" s="26">
        <f>M7*(N16/N25)</f>
        <v>387.51143775399589</v>
      </c>
      <c r="P16" s="25">
        <f t="shared" si="2"/>
        <v>2489.0351499009471</v>
      </c>
      <c r="Q16" s="47"/>
      <c r="R16" s="25">
        <f t="shared" si="3"/>
        <v>248.90351499009472</v>
      </c>
      <c r="S16" s="50">
        <v>300000</v>
      </c>
    </row>
    <row r="17" spans="1:61" s="15" customFormat="1" ht="30" x14ac:dyDescent="0.3">
      <c r="A17" s="10">
        <v>11</v>
      </c>
      <c r="B17" s="12" t="s">
        <v>9</v>
      </c>
      <c r="C17" s="39">
        <v>1350</v>
      </c>
      <c r="D17" s="83"/>
      <c r="E17" s="40">
        <f>C17/C25</f>
        <v>4.2609601363507242E-2</v>
      </c>
      <c r="F17" s="10">
        <v>3</v>
      </c>
      <c r="G17" s="41">
        <f>F17/F25</f>
        <v>0.04</v>
      </c>
      <c r="H17" s="39">
        <v>43840</v>
      </c>
      <c r="I17" s="41">
        <f>H17/H25</f>
        <v>4.2528629703104767E-2</v>
      </c>
      <c r="J17" s="41">
        <v>0.1</v>
      </c>
      <c r="K17" s="41">
        <f t="shared" si="0"/>
        <v>0.9</v>
      </c>
      <c r="L17" s="20">
        <f>((80%*D7)*E17+(10%*D7)*G17+(10%*D7)*I17)*K17</f>
        <v>1143.1946896501393</v>
      </c>
      <c r="M17" s="85"/>
      <c r="N17" s="19">
        <f t="shared" si="1"/>
        <v>206.80531034986075</v>
      </c>
      <c r="O17" s="26">
        <f>M7*(N17/N25)</f>
        <v>133.90576164065749</v>
      </c>
      <c r="P17" s="25">
        <f t="shared" si="2"/>
        <v>1277.1004512907966</v>
      </c>
      <c r="Q17" s="47"/>
      <c r="R17" s="25">
        <f t="shared" si="3"/>
        <v>127.71004512907967</v>
      </c>
      <c r="S17" s="50">
        <v>150000</v>
      </c>
    </row>
    <row r="18" spans="1:61" s="15" customFormat="1" ht="30" x14ac:dyDescent="0.3">
      <c r="A18" s="10">
        <v>12</v>
      </c>
      <c r="B18" s="12" t="s">
        <v>10</v>
      </c>
      <c r="C18" s="39">
        <v>4000</v>
      </c>
      <c r="D18" s="83"/>
      <c r="E18" s="40">
        <f>C18/C25</f>
        <v>0.12625067070668813</v>
      </c>
      <c r="F18" s="10">
        <v>8</v>
      </c>
      <c r="G18" s="41">
        <f>F18/F25</f>
        <v>0.10666666666666667</v>
      </c>
      <c r="H18" s="39">
        <v>37000</v>
      </c>
      <c r="I18" s="41">
        <f>H18/H25</f>
        <v>3.5893232185558309E-2</v>
      </c>
      <c r="J18" s="41">
        <v>0.1</v>
      </c>
      <c r="K18" s="41">
        <f t="shared" si="0"/>
        <v>0.9</v>
      </c>
      <c r="L18" s="20">
        <f>((80%*D7)*E18+(10%*D7)*G18+(10%*D7)*I18)*K18</f>
        <v>3111.9262141654713</v>
      </c>
      <c r="M18" s="85"/>
      <c r="N18" s="19">
        <f t="shared" si="1"/>
        <v>888.07378583452873</v>
      </c>
      <c r="O18" s="26">
        <f>M7*(N18/N25)</f>
        <v>575.02486993247942</v>
      </c>
      <c r="P18" s="25">
        <f>SUM(O18,L18)-0.1</f>
        <v>3686.8510840979507</v>
      </c>
      <c r="Q18" s="47"/>
      <c r="R18" s="25">
        <f t="shared" si="3"/>
        <v>368.68510840979508</v>
      </c>
      <c r="S18" s="50">
        <v>750000</v>
      </c>
    </row>
    <row r="19" spans="1:61" s="15" customFormat="1" ht="30" x14ac:dyDescent="0.3">
      <c r="A19" s="10">
        <v>13</v>
      </c>
      <c r="B19" s="12" t="s">
        <v>11</v>
      </c>
      <c r="C19" s="39">
        <v>1800</v>
      </c>
      <c r="D19" s="83"/>
      <c r="E19" s="40">
        <f>C19/C25</f>
        <v>5.6812801818009656E-2</v>
      </c>
      <c r="F19" s="10">
        <v>5</v>
      </c>
      <c r="G19" s="41">
        <f>F19/F25</f>
        <v>6.6666666666666666E-2</v>
      </c>
      <c r="H19" s="39">
        <v>18060</v>
      </c>
      <c r="I19" s="41">
        <f>H19/H25</f>
        <v>1.7519777655977922E-2</v>
      </c>
      <c r="J19" s="41">
        <v>0.1</v>
      </c>
      <c r="K19" s="41">
        <f t="shared" si="0"/>
        <v>0.9</v>
      </c>
      <c r="L19" s="20">
        <f>((80%*D7)*E19+(10%*D7)*G19+(10%*D7)*I19)*K19</f>
        <v>1454.4599189401492</v>
      </c>
      <c r="M19" s="85"/>
      <c r="N19" s="19">
        <f t="shared" si="1"/>
        <v>345.54008105985076</v>
      </c>
      <c r="O19" s="26">
        <f>M7*(N19/N25)</f>
        <v>223.7360716386701</v>
      </c>
      <c r="P19" s="25">
        <f t="shared" si="2"/>
        <v>1678.1959905788194</v>
      </c>
      <c r="Q19" s="47"/>
      <c r="R19" s="25">
        <f t="shared" si="3"/>
        <v>167.81959905788196</v>
      </c>
      <c r="S19" s="50">
        <v>200000</v>
      </c>
    </row>
    <row r="20" spans="1:61" s="15" customFormat="1" ht="30" x14ac:dyDescent="0.3">
      <c r="A20" s="10">
        <v>14</v>
      </c>
      <c r="B20" s="12" t="s">
        <v>12</v>
      </c>
      <c r="C20" s="39">
        <v>900</v>
      </c>
      <c r="D20" s="83"/>
      <c r="E20" s="40">
        <f>C20/C25</f>
        <v>2.8406400909004828E-2</v>
      </c>
      <c r="F20" s="10">
        <v>3</v>
      </c>
      <c r="G20" s="41">
        <f>F20/F25</f>
        <v>0.04</v>
      </c>
      <c r="H20" s="39">
        <v>30275</v>
      </c>
      <c r="I20" s="41">
        <f>H20/H25</f>
        <v>2.9369394713993996E-2</v>
      </c>
      <c r="J20" s="41">
        <v>0.1</v>
      </c>
      <c r="K20" s="41">
        <f t="shared" si="0"/>
        <v>0.9</v>
      </c>
      <c r="L20" s="20">
        <f>((80%*D7)*E20+(10%*D7)*G20+(10%*D7)*I20)*K20</f>
        <v>800.87562536228813</v>
      </c>
      <c r="M20" s="85"/>
      <c r="N20" s="19">
        <f t="shared" si="1"/>
        <v>99.124374637711867</v>
      </c>
      <c r="O20" s="26">
        <f>M7*(N20/N25)</f>
        <v>64.182708173990648</v>
      </c>
      <c r="P20" s="25">
        <f t="shared" si="2"/>
        <v>865.05833353627872</v>
      </c>
      <c r="Q20" s="47"/>
      <c r="R20" s="25">
        <f t="shared" si="3"/>
        <v>86.505833353627878</v>
      </c>
      <c r="S20" s="50">
        <v>130000</v>
      </c>
    </row>
    <row r="21" spans="1:61" s="15" customFormat="1" ht="30" x14ac:dyDescent="0.3">
      <c r="A21" s="10">
        <v>15</v>
      </c>
      <c r="B21" s="12" t="s">
        <v>16</v>
      </c>
      <c r="C21" s="39">
        <v>1800</v>
      </c>
      <c r="D21" s="83"/>
      <c r="E21" s="40">
        <f>C21/C25</f>
        <v>5.6812801818009656E-2</v>
      </c>
      <c r="F21" s="10">
        <v>4</v>
      </c>
      <c r="G21" s="41">
        <f>F21/F25</f>
        <v>5.3333333333333337E-2</v>
      </c>
      <c r="H21" s="39">
        <v>23385</v>
      </c>
      <c r="I21" s="41">
        <f>H21/H25</f>
        <v>2.2685492828629219E-2</v>
      </c>
      <c r="J21" s="41">
        <v>0.1</v>
      </c>
      <c r="K21" s="41">
        <f t="shared" si="0"/>
        <v>0.9</v>
      </c>
      <c r="L21" s="20">
        <f>((80%*D7)*E21+(10%*D7)*G21+(10%*D7)*I21)*K21</f>
        <v>1432.4073499063077</v>
      </c>
      <c r="M21" s="85"/>
      <c r="N21" s="19">
        <f t="shared" si="1"/>
        <v>367.59265009369233</v>
      </c>
      <c r="O21" s="26">
        <f>M7*(N21/N25)</f>
        <v>238.01503791673173</v>
      </c>
      <c r="P21" s="25">
        <f t="shared" si="2"/>
        <v>1670.4223878230393</v>
      </c>
      <c r="Q21" s="47"/>
      <c r="R21" s="25">
        <f t="shared" si="3"/>
        <v>167.04223878230394</v>
      </c>
      <c r="S21" s="50">
        <v>200000</v>
      </c>
    </row>
    <row r="22" spans="1:61" s="15" customFormat="1" ht="30" x14ac:dyDescent="0.3">
      <c r="A22" s="10">
        <v>16</v>
      </c>
      <c r="B22" s="12" t="s">
        <v>14</v>
      </c>
      <c r="C22" s="39">
        <v>990</v>
      </c>
      <c r="D22" s="83"/>
      <c r="E22" s="41">
        <f>C22/C25</f>
        <v>3.1247040999905312E-2</v>
      </c>
      <c r="F22" s="43">
        <v>2</v>
      </c>
      <c r="G22" s="41">
        <f>F22/F25</f>
        <v>2.6666666666666668E-2</v>
      </c>
      <c r="H22" s="39">
        <v>40970</v>
      </c>
      <c r="I22" s="41">
        <f>H22/H25</f>
        <v>3.9744478990333079E-2</v>
      </c>
      <c r="J22" s="41">
        <v>0.1</v>
      </c>
      <c r="K22" s="41">
        <f t="shared" si="0"/>
        <v>0.9</v>
      </c>
      <c r="L22" s="20">
        <f>((80%*D7)*E22+(10%*D7)*G22+(10%*D7)*I22)*K22</f>
        <v>854.24617887185411</v>
      </c>
      <c r="M22" s="85"/>
      <c r="N22" s="19">
        <f t="shared" si="1"/>
        <v>135.75382112814589</v>
      </c>
      <c r="O22" s="26">
        <f>M7*(N22/N25)</f>
        <v>87.900154899509801</v>
      </c>
      <c r="P22" s="25">
        <f t="shared" si="2"/>
        <v>942.14633377136397</v>
      </c>
      <c r="Q22" s="47"/>
      <c r="R22" s="25">
        <f t="shared" si="3"/>
        <v>94.214633377136408</v>
      </c>
      <c r="S22" s="50">
        <v>110000</v>
      </c>
    </row>
    <row r="23" spans="1:61" s="15" customFormat="1" ht="25.5" customHeight="1" x14ac:dyDescent="0.3">
      <c r="A23" s="10">
        <v>17</v>
      </c>
      <c r="B23" s="12" t="s">
        <v>17</v>
      </c>
      <c r="C23" s="39">
        <v>675</v>
      </c>
      <c r="D23" s="83"/>
      <c r="E23" s="40">
        <f>C23/C25</f>
        <v>2.1304800681753621E-2</v>
      </c>
      <c r="F23" s="10">
        <v>2</v>
      </c>
      <c r="G23" s="41">
        <f>F23/F25</f>
        <v>2.6666666666666668E-2</v>
      </c>
      <c r="H23" s="39">
        <v>78140</v>
      </c>
      <c r="I23" s="41">
        <f>H23/H25</f>
        <v>7.5802626026473682E-2</v>
      </c>
      <c r="J23" s="41">
        <v>0.1</v>
      </c>
      <c r="K23" s="41">
        <f t="shared" si="0"/>
        <v>0.9</v>
      </c>
      <c r="L23" s="20">
        <v>675</v>
      </c>
      <c r="M23" s="85"/>
      <c r="N23" s="19">
        <f t="shared" si="1"/>
        <v>0</v>
      </c>
      <c r="O23" s="26">
        <f>M7*(N23/N25)</f>
        <v>0</v>
      </c>
      <c r="P23" s="25">
        <f t="shared" si="2"/>
        <v>675</v>
      </c>
      <c r="Q23" s="47"/>
      <c r="R23" s="25">
        <f t="shared" si="3"/>
        <v>67.5</v>
      </c>
      <c r="S23" s="50">
        <v>75000</v>
      </c>
    </row>
    <row r="24" spans="1:61" s="15" customFormat="1" ht="30" x14ac:dyDescent="0.3">
      <c r="A24" s="10">
        <v>18</v>
      </c>
      <c r="B24" s="12" t="s">
        <v>13</v>
      </c>
      <c r="C24" s="39">
        <v>1000</v>
      </c>
      <c r="D24" s="84"/>
      <c r="E24" s="40">
        <f>C24/C25</f>
        <v>3.1562667676672033E-2</v>
      </c>
      <c r="F24" s="10">
        <v>3</v>
      </c>
      <c r="G24" s="41">
        <f>F24/F25</f>
        <v>0.04</v>
      </c>
      <c r="H24" s="39">
        <v>37200</v>
      </c>
      <c r="I24" s="41">
        <f>H24/H25</f>
        <v>3.6087249656831598E-2</v>
      </c>
      <c r="J24" s="43">
        <v>0.13</v>
      </c>
      <c r="K24" s="41">
        <f t="shared" si="0"/>
        <v>0.87</v>
      </c>
      <c r="L24" s="20">
        <f>((80%*D7)*E24+(10%*D7)*G24+(10%*D7)*I24)*K24</f>
        <v>857.61622269324255</v>
      </c>
      <c r="M24" s="85"/>
      <c r="N24" s="19">
        <f t="shared" si="1"/>
        <v>142.38377730675745</v>
      </c>
      <c r="O24" s="26">
        <f>M7*(N24/N25)</f>
        <v>92.193029827330832</v>
      </c>
      <c r="P24" s="25">
        <f t="shared" si="2"/>
        <v>949.80925252057341</v>
      </c>
      <c r="Q24" s="47"/>
      <c r="R24" s="25">
        <f t="shared" si="3"/>
        <v>123.47520282767455</v>
      </c>
      <c r="S24" s="50">
        <v>150000</v>
      </c>
    </row>
    <row r="25" spans="1:61" s="1" customFormat="1" ht="26.25" customHeight="1" x14ac:dyDescent="0.3">
      <c r="B25" s="2"/>
      <c r="C25" s="8">
        <f>SUM(C7:C24)</f>
        <v>31683</v>
      </c>
      <c r="D25" s="7"/>
      <c r="E25" s="2"/>
      <c r="F25" s="6">
        <f>SUM(F7:F24)</f>
        <v>75</v>
      </c>
      <c r="G25" s="2"/>
      <c r="H25" s="5">
        <f>SUM(H7:H24)</f>
        <v>1030835</v>
      </c>
      <c r="L25" s="8">
        <f>SUM(L7:L24)</f>
        <v>26908.576241806331</v>
      </c>
      <c r="N25" s="20">
        <f>SUM(N7:N24)</f>
        <v>4774.4237581936759</v>
      </c>
      <c r="O25" s="18">
        <f>SUM(O7:O24)</f>
        <v>3091.4237581936686</v>
      </c>
      <c r="P25" s="18">
        <f t="shared" si="2"/>
        <v>30000</v>
      </c>
      <c r="Q25" s="48"/>
      <c r="R25" s="48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</row>
    <row r="27" spans="1:61" s="13" customFormat="1" ht="61.5" hidden="1" customHeight="1" x14ac:dyDescent="0.25">
      <c r="B27" s="13" t="s">
        <v>31</v>
      </c>
      <c r="C27" s="14">
        <f>D7-C25</f>
        <v>-1683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</row>
  </sheetData>
  <mergeCells count="4">
    <mergeCell ref="D7:D24"/>
    <mergeCell ref="M7:M24"/>
    <mergeCell ref="A5:P5"/>
    <mergeCell ref="A2:P2"/>
  </mergeCells>
  <pageMargins left="0.11811023622047244" right="0.31496062992125984" top="0.3543307086614173" bottom="0.354330708661417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2019</vt:lpstr>
      <vt:lpstr>Расчет 2020</vt:lpstr>
      <vt:lpstr>Расчет 2021</vt:lpstr>
      <vt:lpstr>'Расчет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2018-10-15T12:25:14Z</dcterms:modified>
</cp:coreProperties>
</file>