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32" yWindow="7596" windowWidth="15480" windowHeight="1176" tabRatio="478"/>
  </bookViews>
  <sheets>
    <sheet name="дор.фонд на 01.01.18" sheetId="14" r:id="rId1"/>
    <sheet name="Лист1" sheetId="15" r:id="rId2"/>
  </sheets>
  <definedNames>
    <definedName name="_xlnm.Print_Titles" localSheetId="0">'дор.фонд на 01.01.18'!$3:$5</definedName>
  </definedNames>
  <calcPr calcId="145621"/>
</workbook>
</file>

<file path=xl/calcChain.xml><?xml version="1.0" encoding="utf-8"?>
<calcChain xmlns="http://schemas.openxmlformats.org/spreadsheetml/2006/main">
  <c r="AG263" i="14" l="1"/>
  <c r="AF263" i="14" s="1"/>
  <c r="AK263" i="14"/>
  <c r="AQ263" i="14"/>
  <c r="AW263" i="14"/>
  <c r="AX263" i="14"/>
  <c r="AY263" i="14"/>
  <c r="BA263" i="14"/>
  <c r="BF263" i="14"/>
  <c r="BK263" i="14"/>
  <c r="BP263" i="14"/>
  <c r="BU263" i="14"/>
  <c r="CA263" i="14"/>
  <c r="BZ263" i="14" s="1"/>
  <c r="CG263" i="14"/>
  <c r="CH263" i="14"/>
  <c r="CI263" i="14"/>
  <c r="CN263" i="14"/>
  <c r="DK263" i="14"/>
  <c r="DQ263" i="14"/>
  <c r="DV263" i="14"/>
  <c r="CF263" i="14" l="1"/>
  <c r="AV263" i="14"/>
  <c r="AR289" i="14"/>
  <c r="AR283" i="14"/>
  <c r="AR280" i="14"/>
  <c r="AR277" i="14"/>
  <c r="AR274" i="14"/>
  <c r="AR271" i="14"/>
  <c r="CI354" i="14" l="1"/>
  <c r="CH354" i="14"/>
  <c r="CI353" i="14"/>
  <c r="CH353" i="14"/>
  <c r="CI352" i="14"/>
  <c r="CH352" i="14"/>
  <c r="CG352" i="14"/>
  <c r="CI351" i="14"/>
  <c r="CH351" i="14"/>
  <c r="CI350" i="14"/>
  <c r="CH350" i="14"/>
  <c r="CI349" i="14"/>
  <c r="CH349" i="14"/>
  <c r="CI348" i="14"/>
  <c r="CH348" i="14"/>
  <c r="CG348" i="14"/>
  <c r="CF348" i="14" s="1"/>
  <c r="CI347" i="14"/>
  <c r="CH347" i="14"/>
  <c r="CG347" i="14"/>
  <c r="CI346" i="14"/>
  <c r="CH346" i="14"/>
  <c r="CI345" i="14"/>
  <c r="CH345" i="14"/>
  <c r="CG345" i="14"/>
  <c r="CF345" i="14" s="1"/>
  <c r="CI344" i="14"/>
  <c r="CH344" i="14"/>
  <c r="CG344" i="14"/>
  <c r="CI343" i="14"/>
  <c r="CH343" i="14"/>
  <c r="CG343" i="14"/>
  <c r="CF343" i="14" s="1"/>
  <c r="CI342" i="14"/>
  <c r="CH342" i="14"/>
  <c r="CG342" i="14"/>
  <c r="CI341" i="14"/>
  <c r="CH341" i="14"/>
  <c r="CG341" i="14"/>
  <c r="CF341" i="14" s="1"/>
  <c r="CI340" i="14"/>
  <c r="CH340" i="14"/>
  <c r="CG340" i="14"/>
  <c r="CI339" i="14"/>
  <c r="CH339" i="14"/>
  <c r="CG339" i="14"/>
  <c r="CF339" i="14" s="1"/>
  <c r="CI338" i="14"/>
  <c r="CH338" i="14"/>
  <c r="CG338" i="14"/>
  <c r="CI337" i="14"/>
  <c r="CH337" i="14"/>
  <c r="CG337" i="14"/>
  <c r="CF337" i="14" s="1"/>
  <c r="CI336" i="14"/>
  <c r="CH336" i="14"/>
  <c r="CG336" i="14"/>
  <c r="CI335" i="14"/>
  <c r="CH335" i="14"/>
  <c r="CG335" i="14"/>
  <c r="CF335" i="14" s="1"/>
  <c r="CI334" i="14"/>
  <c r="CH334" i="14"/>
  <c r="CG334" i="14"/>
  <c r="CI333" i="14"/>
  <c r="CH333" i="14"/>
  <c r="CG333" i="14"/>
  <c r="CF333" i="14" s="1"/>
  <c r="CI329" i="14"/>
  <c r="CH329" i="14"/>
  <c r="CG329" i="14"/>
  <c r="CI327" i="14"/>
  <c r="CH327" i="14"/>
  <c r="CG327" i="14"/>
  <c r="CF327" i="14" s="1"/>
  <c r="CI326" i="14"/>
  <c r="CH326" i="14"/>
  <c r="CG326" i="14"/>
  <c r="CI325" i="14"/>
  <c r="CH325" i="14"/>
  <c r="CG325" i="14"/>
  <c r="CF325" i="14" s="1"/>
  <c r="CI324" i="14"/>
  <c r="CH324" i="14"/>
  <c r="CG324" i="14"/>
  <c r="CI323" i="14"/>
  <c r="CH323" i="14"/>
  <c r="CG323" i="14"/>
  <c r="CF323" i="14" s="1"/>
  <c r="CI322" i="14"/>
  <c r="CH322" i="14"/>
  <c r="CG322" i="14"/>
  <c r="CI321" i="14"/>
  <c r="CH321" i="14"/>
  <c r="CG321" i="14"/>
  <c r="CF321" i="14" s="1"/>
  <c r="CI319" i="14"/>
  <c r="CH319" i="14"/>
  <c r="CG319" i="14"/>
  <c r="CI315" i="14"/>
  <c r="CH315" i="14"/>
  <c r="CG315" i="14"/>
  <c r="CF315" i="14" s="1"/>
  <c r="CI313" i="14"/>
  <c r="CH313" i="14"/>
  <c r="CG313" i="14"/>
  <c r="CI312" i="14"/>
  <c r="CH312" i="14"/>
  <c r="CG312" i="14"/>
  <c r="CF312" i="14" s="1"/>
  <c r="CI311" i="14"/>
  <c r="CH311" i="14"/>
  <c r="CG311" i="14"/>
  <c r="CI310" i="14"/>
  <c r="CH310" i="14"/>
  <c r="CI309" i="14"/>
  <c r="CH309" i="14"/>
  <c r="CG309" i="14"/>
  <c r="CI305" i="14"/>
  <c r="CH305" i="14"/>
  <c r="CG305" i="14"/>
  <c r="CI304" i="14"/>
  <c r="CH304" i="14"/>
  <c r="CG304" i="14"/>
  <c r="CF304" i="14" s="1"/>
  <c r="CI303" i="14"/>
  <c r="CH303" i="14"/>
  <c r="CG303" i="14"/>
  <c r="CI302" i="14"/>
  <c r="CG302" i="14"/>
  <c r="CI301" i="14"/>
  <c r="CH301" i="14"/>
  <c r="CG301" i="14"/>
  <c r="CF301" i="14" s="1"/>
  <c r="CI300" i="14"/>
  <c r="CH300" i="14"/>
  <c r="CG300" i="14"/>
  <c r="CI299" i="14"/>
  <c r="CG299" i="14"/>
  <c r="CI298" i="14"/>
  <c r="CG298" i="14"/>
  <c r="CI297" i="14"/>
  <c r="CG297" i="14"/>
  <c r="CI296" i="14"/>
  <c r="CG296" i="14"/>
  <c r="CI291" i="14"/>
  <c r="CH291" i="14"/>
  <c r="CG291" i="14"/>
  <c r="CF291" i="14" s="1"/>
  <c r="CI290" i="14"/>
  <c r="CH290" i="14"/>
  <c r="CI289" i="14"/>
  <c r="CH289" i="14"/>
  <c r="CI288" i="14"/>
  <c r="CH288" i="14"/>
  <c r="CG288" i="14"/>
  <c r="CI287" i="14"/>
  <c r="CH287" i="14"/>
  <c r="CI286" i="14"/>
  <c r="CH286" i="14"/>
  <c r="CI285" i="14"/>
  <c r="CH285" i="14"/>
  <c r="CG285" i="14"/>
  <c r="CF285" i="14" s="1"/>
  <c r="CI284" i="14"/>
  <c r="CH284" i="14"/>
  <c r="CG284" i="14"/>
  <c r="CI283" i="14"/>
  <c r="CH283" i="14"/>
  <c r="CI282" i="14"/>
  <c r="CH282" i="14"/>
  <c r="CI281" i="14"/>
  <c r="CH281" i="14"/>
  <c r="CI280" i="14"/>
  <c r="CH280" i="14"/>
  <c r="CI279" i="14"/>
  <c r="CH279" i="14"/>
  <c r="CG279" i="14"/>
  <c r="CF279" i="14" s="1"/>
  <c r="CI278" i="14"/>
  <c r="CH278" i="14"/>
  <c r="CG278" i="14"/>
  <c r="CI277" i="14"/>
  <c r="CH277" i="14"/>
  <c r="CI276" i="14"/>
  <c r="CH276" i="14"/>
  <c r="CG276" i="14"/>
  <c r="CF276" i="14" s="1"/>
  <c r="CI275" i="14"/>
  <c r="CH275" i="14"/>
  <c r="CG275" i="14"/>
  <c r="CI274" i="14"/>
  <c r="CH274" i="14"/>
  <c r="CI273" i="14"/>
  <c r="CH273" i="14"/>
  <c r="CG273" i="14"/>
  <c r="CF273" i="14" s="1"/>
  <c r="CI272" i="14"/>
  <c r="CH272" i="14"/>
  <c r="CG272" i="14"/>
  <c r="CI271" i="14"/>
  <c r="CH271" i="14"/>
  <c r="CI270" i="14"/>
  <c r="CH270" i="14"/>
  <c r="CI269" i="14"/>
  <c r="CH269" i="14"/>
  <c r="CI268" i="14"/>
  <c r="CH268" i="14"/>
  <c r="CI267" i="14"/>
  <c r="CH267" i="14"/>
  <c r="CI266" i="14"/>
  <c r="CH266" i="14"/>
  <c r="CI265" i="14"/>
  <c r="CH265" i="14"/>
  <c r="CI259" i="14"/>
  <c r="CH259" i="14"/>
  <c r="CG259" i="14"/>
  <c r="CF259" i="14" s="1"/>
  <c r="CI257" i="14"/>
  <c r="CG257" i="14"/>
  <c r="CI256" i="14"/>
  <c r="CG256" i="14"/>
  <c r="CI255" i="14"/>
  <c r="CG255" i="14"/>
  <c r="CI254" i="14"/>
  <c r="CH254" i="14"/>
  <c r="CG254" i="14"/>
  <c r="CF254" i="14"/>
  <c r="CI253" i="14"/>
  <c r="CH253" i="14"/>
  <c r="CG253" i="14"/>
  <c r="CF253" i="14"/>
  <c r="CI252" i="14"/>
  <c r="CG252" i="14"/>
  <c r="CI251" i="14"/>
  <c r="CH251" i="14"/>
  <c r="CG251" i="14"/>
  <c r="CF251" i="14"/>
  <c r="CI250" i="14"/>
  <c r="CH250" i="14"/>
  <c r="CG250" i="14"/>
  <c r="CF250" i="14"/>
  <c r="CI249" i="14"/>
  <c r="CG249" i="14"/>
  <c r="CI248" i="14"/>
  <c r="CH248" i="14"/>
  <c r="CG248" i="14"/>
  <c r="CF248" i="14"/>
  <c r="CI247" i="14"/>
  <c r="CI246" i="14"/>
  <c r="CG246" i="14"/>
  <c r="CG245" i="14"/>
  <c r="CI244" i="14"/>
  <c r="CH244" i="14"/>
  <c r="CG244" i="14"/>
  <c r="CF244" i="14"/>
  <c r="CI243" i="14"/>
  <c r="CH243" i="14"/>
  <c r="CG243" i="14"/>
  <c r="CF243" i="14"/>
  <c r="CI241" i="14"/>
  <c r="CH241" i="14"/>
  <c r="CG241" i="14"/>
  <c r="CF241" i="14"/>
  <c r="CI240" i="14"/>
  <c r="CG240" i="14"/>
  <c r="CI239" i="14"/>
  <c r="CI238" i="14"/>
  <c r="CH238" i="14"/>
  <c r="CG238" i="14"/>
  <c r="CF238" i="14" s="1"/>
  <c r="CI237" i="14"/>
  <c r="CH237" i="14"/>
  <c r="CG237" i="14"/>
  <c r="CI236" i="14"/>
  <c r="CH236" i="14"/>
  <c r="CG236" i="14"/>
  <c r="CF236" i="14" s="1"/>
  <c r="CI235" i="14"/>
  <c r="CH235" i="14"/>
  <c r="CG235" i="14"/>
  <c r="CI234" i="14"/>
  <c r="CG234" i="14"/>
  <c r="CI233" i="14"/>
  <c r="CH233" i="14"/>
  <c r="CG233" i="14"/>
  <c r="CF233" i="14" s="1"/>
  <c r="CI232" i="14"/>
  <c r="CH232" i="14"/>
  <c r="CG232" i="14"/>
  <c r="CI231" i="14"/>
  <c r="CG231" i="14"/>
  <c r="CI229" i="14"/>
  <c r="CG229" i="14"/>
  <c r="CI228" i="14"/>
  <c r="CG228" i="14"/>
  <c r="CI227" i="14"/>
  <c r="CG227" i="14"/>
  <c r="CI226" i="14"/>
  <c r="CH226" i="14"/>
  <c r="CG226" i="14"/>
  <c r="CF226" i="14" s="1"/>
  <c r="CI225" i="14"/>
  <c r="CH225" i="14"/>
  <c r="CG225" i="14"/>
  <c r="CI224" i="14"/>
  <c r="CH224" i="14"/>
  <c r="CG224" i="14"/>
  <c r="CF224" i="14" s="1"/>
  <c r="CI223" i="14"/>
  <c r="CG223" i="14"/>
  <c r="CI222" i="14"/>
  <c r="CH222" i="14"/>
  <c r="CG222" i="14"/>
  <c r="CI221" i="14"/>
  <c r="CH221" i="14"/>
  <c r="CG221" i="14"/>
  <c r="CF221" i="14" s="1"/>
  <c r="CI219" i="14"/>
  <c r="CG219" i="14"/>
  <c r="CI218" i="14"/>
  <c r="CG218" i="14"/>
  <c r="CI217" i="14"/>
  <c r="CG217" i="14"/>
  <c r="CI216" i="14"/>
  <c r="CG216" i="14"/>
  <c r="CI215" i="14"/>
  <c r="CG215" i="14"/>
  <c r="CI214" i="14"/>
  <c r="CG214" i="14"/>
  <c r="CI213" i="14"/>
  <c r="CG213" i="14"/>
  <c r="CI212" i="14"/>
  <c r="CH212" i="14"/>
  <c r="CG212" i="14"/>
  <c r="CI211" i="14"/>
  <c r="CG211" i="14"/>
  <c r="CI210" i="14"/>
  <c r="CG210" i="14"/>
  <c r="CI209" i="14"/>
  <c r="CG209" i="14"/>
  <c r="CI208" i="14"/>
  <c r="CH208" i="14"/>
  <c r="CG208" i="14"/>
  <c r="CF208" i="14" s="1"/>
  <c r="CI207" i="14"/>
  <c r="CH207" i="14"/>
  <c r="CG207" i="14"/>
  <c r="CI206" i="14"/>
  <c r="CG206" i="14"/>
  <c r="CI205" i="14"/>
  <c r="CH205" i="14"/>
  <c r="CG205" i="14"/>
  <c r="CF205" i="14" s="1"/>
  <c r="CI204" i="14"/>
  <c r="CH204" i="14"/>
  <c r="CG204" i="14"/>
  <c r="CI202" i="14"/>
  <c r="CG202" i="14"/>
  <c r="CI201" i="14"/>
  <c r="CH201" i="14"/>
  <c r="CG201" i="14"/>
  <c r="CF201" i="14" s="1"/>
  <c r="CI200" i="14"/>
  <c r="CG200" i="14"/>
  <c r="CI199" i="14"/>
  <c r="CG199" i="14"/>
  <c r="CI198" i="14"/>
  <c r="CH198" i="14"/>
  <c r="CG198" i="14"/>
  <c r="CI197" i="14"/>
  <c r="CH197" i="14"/>
  <c r="CG197" i="14"/>
  <c r="CF197" i="14" s="1"/>
  <c r="CI196" i="14"/>
  <c r="CH196" i="14"/>
  <c r="CG196" i="14"/>
  <c r="CF196" i="14"/>
  <c r="CI194" i="14"/>
  <c r="CH194" i="14"/>
  <c r="CG194" i="14"/>
  <c r="CF194" i="14"/>
  <c r="CI193" i="14"/>
  <c r="CG193" i="14"/>
  <c r="CI192" i="14"/>
  <c r="CG192" i="14"/>
  <c r="CI191" i="14"/>
  <c r="CH191" i="14"/>
  <c r="CG191" i="14"/>
  <c r="CF191" i="14"/>
  <c r="CI190" i="14"/>
  <c r="CG190" i="14"/>
  <c r="CI189" i="14"/>
  <c r="CG189" i="14"/>
  <c r="CI188" i="14"/>
  <c r="CG188" i="14"/>
  <c r="CI187" i="14"/>
  <c r="CG187" i="14"/>
  <c r="CI186" i="14"/>
  <c r="CH186" i="14"/>
  <c r="CG186" i="14"/>
  <c r="CF186" i="14"/>
  <c r="CI185" i="14"/>
  <c r="CG185" i="14"/>
  <c r="CG184" i="14"/>
  <c r="CI183" i="14"/>
  <c r="CG183" i="14"/>
  <c r="CI182" i="14"/>
  <c r="CG182" i="14"/>
  <c r="CI181" i="14"/>
  <c r="CH181" i="14"/>
  <c r="CG181" i="14"/>
  <c r="CF181" i="14" s="1"/>
  <c r="CI180" i="14"/>
  <c r="CG180" i="14"/>
  <c r="CI179" i="14"/>
  <c r="CH179" i="14"/>
  <c r="CG179" i="14"/>
  <c r="CI178" i="14"/>
  <c r="CG178" i="14"/>
  <c r="CI176" i="14"/>
  <c r="CG176" i="14"/>
  <c r="CI175" i="14"/>
  <c r="CG175" i="14"/>
  <c r="CI174" i="14"/>
  <c r="CH174" i="14"/>
  <c r="CG174" i="14"/>
  <c r="CF174" i="14" s="1"/>
  <c r="CI173" i="14"/>
  <c r="CG173" i="14"/>
  <c r="CI172" i="14"/>
  <c r="CH172" i="14"/>
  <c r="CG172" i="14"/>
  <c r="CI171" i="14"/>
  <c r="CG171" i="14"/>
  <c r="CI170" i="14"/>
  <c r="CG170" i="14"/>
  <c r="CH169" i="14"/>
  <c r="CG169" i="14"/>
  <c r="CI168" i="14"/>
  <c r="CG168" i="14"/>
  <c r="CI167" i="14"/>
  <c r="CH167" i="14"/>
  <c r="CG167" i="14"/>
  <c r="CF167" i="14" s="1"/>
  <c r="CI166" i="14"/>
  <c r="CG166" i="14"/>
  <c r="CI165" i="14"/>
  <c r="CG165" i="14"/>
  <c r="CI164" i="14"/>
  <c r="CH164" i="14"/>
  <c r="CG164" i="14"/>
  <c r="CI163" i="14"/>
  <c r="CH163" i="14"/>
  <c r="CG163" i="14"/>
  <c r="CI162" i="14"/>
  <c r="CG162" i="14"/>
  <c r="CI161" i="14"/>
  <c r="CH161" i="14"/>
  <c r="CG161" i="14"/>
  <c r="CI160" i="14"/>
  <c r="CG160" i="14"/>
  <c r="CI158" i="14"/>
  <c r="CH158" i="14"/>
  <c r="CG158" i="14"/>
  <c r="CI157" i="14"/>
  <c r="CG157" i="14"/>
  <c r="CI156" i="14"/>
  <c r="CG156" i="14"/>
  <c r="CI155" i="14"/>
  <c r="CG155" i="14"/>
  <c r="CI154" i="14"/>
  <c r="CH154" i="14"/>
  <c r="CG154" i="14"/>
  <c r="CI153" i="14"/>
  <c r="CH153" i="14"/>
  <c r="CG153" i="14"/>
  <c r="CI152" i="14"/>
  <c r="CH152" i="14"/>
  <c r="CG152" i="14"/>
  <c r="CI150" i="14"/>
  <c r="CH150" i="14"/>
  <c r="CG150" i="14"/>
  <c r="CI149" i="14"/>
  <c r="CH149" i="14"/>
  <c r="CG149" i="14"/>
  <c r="CI148" i="14"/>
  <c r="CG148" i="14"/>
  <c r="CI147" i="14"/>
  <c r="CH147" i="14"/>
  <c r="CG147" i="14"/>
  <c r="CI146" i="14"/>
  <c r="CH146" i="14"/>
  <c r="CG146" i="14"/>
  <c r="CI145" i="14"/>
  <c r="CH145" i="14"/>
  <c r="CG145" i="14"/>
  <c r="CI144" i="14"/>
  <c r="CG144" i="14"/>
  <c r="CI143" i="14"/>
  <c r="CG143" i="14"/>
  <c r="CI142" i="14"/>
  <c r="CG142" i="14"/>
  <c r="CG141" i="14"/>
  <c r="CI140" i="14"/>
  <c r="CG140" i="14"/>
  <c r="CI139" i="14"/>
  <c r="CH139" i="14"/>
  <c r="CG139" i="14"/>
  <c r="CI138" i="14"/>
  <c r="CH138" i="14"/>
  <c r="CG138" i="14"/>
  <c r="CI136" i="14"/>
  <c r="CG136" i="14"/>
  <c r="CI135" i="14"/>
  <c r="CG135" i="14"/>
  <c r="CI134" i="14"/>
  <c r="CG134" i="14"/>
  <c r="CH133" i="14"/>
  <c r="CG133" i="14"/>
  <c r="CI132" i="14"/>
  <c r="CG132" i="14"/>
  <c r="CI131" i="14"/>
  <c r="CG131" i="14"/>
  <c r="CI130" i="14"/>
  <c r="CH130" i="14"/>
  <c r="CG130" i="14"/>
  <c r="CI129" i="14"/>
  <c r="CH129" i="14"/>
  <c r="CG129" i="14"/>
  <c r="CI127" i="14"/>
  <c r="CG127" i="14"/>
  <c r="CI126" i="14"/>
  <c r="CG126" i="14"/>
  <c r="CI125" i="14"/>
  <c r="CG125" i="14"/>
  <c r="CG124" i="14"/>
  <c r="CI123" i="14"/>
  <c r="CG123" i="14"/>
  <c r="CI122" i="14"/>
  <c r="CH122" i="14"/>
  <c r="CG122" i="14"/>
  <c r="CG121" i="14"/>
  <c r="CI120" i="14"/>
  <c r="CG120" i="14"/>
  <c r="CI119" i="14"/>
  <c r="CG119" i="14"/>
  <c r="CI118" i="14"/>
  <c r="CH118" i="14"/>
  <c r="CG118" i="14"/>
  <c r="CI117" i="14"/>
  <c r="CH117" i="14"/>
  <c r="CG117" i="14"/>
  <c r="CI116" i="14"/>
  <c r="CH116" i="14"/>
  <c r="CG116" i="14"/>
  <c r="CI115" i="14"/>
  <c r="CG115" i="14"/>
  <c r="CI113" i="14"/>
  <c r="CH113" i="14"/>
  <c r="CG113" i="14"/>
  <c r="CI112" i="14"/>
  <c r="CG112" i="14"/>
  <c r="CI111" i="14"/>
  <c r="CH111" i="14"/>
  <c r="CG111" i="14"/>
  <c r="CI110" i="14"/>
  <c r="CG110" i="14"/>
  <c r="CI109" i="14"/>
  <c r="CH109" i="14"/>
  <c r="CG109" i="14"/>
  <c r="CI108" i="14"/>
  <c r="CG108" i="14"/>
  <c r="CI107" i="14"/>
  <c r="CG107" i="14"/>
  <c r="CI106" i="14"/>
  <c r="CH106" i="14"/>
  <c r="CG106" i="14"/>
  <c r="CI105" i="14"/>
  <c r="CH105" i="14"/>
  <c r="CG105" i="14"/>
  <c r="CI104" i="14"/>
  <c r="CG104" i="14"/>
  <c r="CI103" i="14"/>
  <c r="CH103" i="14"/>
  <c r="CG103" i="14"/>
  <c r="CI102" i="14"/>
  <c r="CG102" i="14"/>
  <c r="CI100" i="14"/>
  <c r="CG100" i="14"/>
  <c r="CI99" i="14"/>
  <c r="CG99" i="14"/>
  <c r="CI98" i="14"/>
  <c r="CH98" i="14"/>
  <c r="CG98" i="14"/>
  <c r="CI97" i="14"/>
  <c r="CG97" i="14"/>
  <c r="CI96" i="14"/>
  <c r="CH96" i="14"/>
  <c r="CG96" i="14"/>
  <c r="CI95" i="14"/>
  <c r="CH95" i="14"/>
  <c r="CI93" i="14"/>
  <c r="CG93" i="14"/>
  <c r="CI92" i="14"/>
  <c r="CG92" i="14"/>
  <c r="CI91" i="14"/>
  <c r="CG91" i="14"/>
  <c r="CG90" i="14"/>
  <c r="CH89" i="14"/>
  <c r="CG89" i="14"/>
  <c r="CI88" i="14"/>
  <c r="CG88" i="14"/>
  <c r="CI87" i="14"/>
  <c r="CG87" i="14"/>
  <c r="CI86" i="14"/>
  <c r="CH86" i="14"/>
  <c r="CG86" i="14"/>
  <c r="CI85" i="14"/>
  <c r="CG85" i="14"/>
  <c r="CI84" i="14"/>
  <c r="CG84" i="14"/>
  <c r="CI83" i="14"/>
  <c r="CH83" i="14"/>
  <c r="CG83" i="14"/>
  <c r="CG82" i="14"/>
  <c r="CI81" i="14"/>
  <c r="CH81" i="14"/>
  <c r="CG81" i="14"/>
  <c r="CI80" i="14"/>
  <c r="CH80" i="14"/>
  <c r="CG80" i="14"/>
  <c r="CI78" i="14"/>
  <c r="CH78" i="14"/>
  <c r="CG78" i="14"/>
  <c r="CI77" i="14"/>
  <c r="CH77" i="14"/>
  <c r="CG77" i="14"/>
  <c r="CI76" i="14"/>
  <c r="CG76" i="14"/>
  <c r="CI75" i="14"/>
  <c r="CG75" i="14"/>
  <c r="CG74" i="14"/>
  <c r="CI73" i="14"/>
  <c r="CG73" i="14"/>
  <c r="CI72" i="14"/>
  <c r="CH72" i="14"/>
  <c r="CG72" i="14"/>
  <c r="CI71" i="14"/>
  <c r="CH71" i="14"/>
  <c r="CG71" i="14"/>
  <c r="CI70" i="14"/>
  <c r="CH70" i="14"/>
  <c r="CG70" i="14"/>
  <c r="CI69" i="14"/>
  <c r="CH69" i="14"/>
  <c r="CG69" i="14"/>
  <c r="CI68" i="14"/>
  <c r="CH68" i="14"/>
  <c r="CG68" i="14"/>
  <c r="CI67" i="14"/>
  <c r="CH67" i="14"/>
  <c r="CG67" i="14"/>
  <c r="CI66" i="14"/>
  <c r="CG66" i="14"/>
  <c r="CG65" i="14"/>
  <c r="CI64" i="14"/>
  <c r="CH64" i="14"/>
  <c r="CG64" i="14"/>
  <c r="CI63" i="14"/>
  <c r="CG63" i="14"/>
  <c r="CI62" i="14"/>
  <c r="CG62" i="14"/>
  <c r="CI61" i="14"/>
  <c r="CH61" i="14"/>
  <c r="CG61" i="14"/>
  <c r="CI60" i="14"/>
  <c r="CG60" i="14"/>
  <c r="CI59" i="14"/>
  <c r="CH59" i="14"/>
  <c r="CG59" i="14"/>
  <c r="CI58" i="14"/>
  <c r="CH58" i="14"/>
  <c r="CG58" i="14"/>
  <c r="CI56" i="14"/>
  <c r="CG56" i="14"/>
  <c r="CI55" i="14"/>
  <c r="CH55" i="14"/>
  <c r="CG55" i="14"/>
  <c r="CG54" i="14"/>
  <c r="CI53" i="14"/>
  <c r="CG53" i="14"/>
  <c r="CI52" i="14"/>
  <c r="CG52" i="14"/>
  <c r="CI51" i="14"/>
  <c r="CI50" i="14"/>
  <c r="CG50" i="14"/>
  <c r="CI49" i="14"/>
  <c r="CG49" i="14"/>
  <c r="CH48" i="14"/>
  <c r="CG48" i="14"/>
  <c r="CI47" i="14"/>
  <c r="CG47" i="14"/>
  <c r="CI46" i="14"/>
  <c r="CG46" i="14"/>
  <c r="CI45" i="14"/>
  <c r="CG45" i="14"/>
  <c r="CI44" i="14"/>
  <c r="CG44" i="14"/>
  <c r="CI43" i="14"/>
  <c r="CH43" i="14"/>
  <c r="CG43" i="14"/>
  <c r="CI42" i="14"/>
  <c r="CG42" i="14"/>
  <c r="CI41" i="14"/>
  <c r="CH41" i="14"/>
  <c r="CG41" i="14"/>
  <c r="CI40" i="14"/>
  <c r="CH40" i="14"/>
  <c r="CG40" i="14"/>
  <c r="CI38" i="14"/>
  <c r="CH38" i="14"/>
  <c r="CG38" i="14"/>
  <c r="CI37" i="14"/>
  <c r="CH37" i="14"/>
  <c r="CG37" i="14"/>
  <c r="CI36" i="14"/>
  <c r="CG36" i="14"/>
  <c r="CI35" i="14"/>
  <c r="CG35" i="14"/>
  <c r="CI34" i="14"/>
  <c r="CG34" i="14"/>
  <c r="CI33" i="14"/>
  <c r="CG33" i="14"/>
  <c r="CI32" i="14"/>
  <c r="CG32" i="14"/>
  <c r="CI31" i="14"/>
  <c r="CG31" i="14"/>
  <c r="CI30" i="14"/>
  <c r="CG30" i="14"/>
  <c r="CI29" i="14"/>
  <c r="CG29" i="14"/>
  <c r="CI28" i="14"/>
  <c r="CH28" i="14"/>
  <c r="CG28" i="14"/>
  <c r="CF28" i="14" s="1"/>
  <c r="CI27" i="14"/>
  <c r="CG27" i="14"/>
  <c r="CI26" i="14"/>
  <c r="CH26" i="14"/>
  <c r="CG26" i="14"/>
  <c r="CI25" i="14"/>
  <c r="CG25" i="14"/>
  <c r="CI24" i="14"/>
  <c r="CH24" i="14"/>
  <c r="CG24" i="14"/>
  <c r="CF24" i="14" s="1"/>
  <c r="CI23" i="14"/>
  <c r="CG23" i="14"/>
  <c r="CI22" i="14"/>
  <c r="CH22" i="14"/>
  <c r="CG22" i="14"/>
  <c r="CI21" i="14"/>
  <c r="CG21" i="14"/>
  <c r="CI19" i="14"/>
  <c r="CG19" i="14"/>
  <c r="CI18" i="14"/>
  <c r="CG18" i="14"/>
  <c r="CI17" i="14"/>
  <c r="CG17" i="14"/>
  <c r="CI16" i="14"/>
  <c r="CG16" i="14"/>
  <c r="CI15" i="14"/>
  <c r="CH15" i="14"/>
  <c r="CG15" i="14"/>
  <c r="CF15" i="14" s="1"/>
  <c r="CI14" i="14"/>
  <c r="CG14" i="14"/>
  <c r="CI13" i="14"/>
  <c r="CH13" i="14"/>
  <c r="CG13" i="14"/>
  <c r="CI12" i="14"/>
  <c r="CH12" i="14"/>
  <c r="CG12" i="14"/>
  <c r="CF12" i="14" s="1"/>
  <c r="CI11" i="14"/>
  <c r="CH11" i="14"/>
  <c r="CG11" i="14"/>
  <c r="CI10" i="14"/>
  <c r="CH10" i="14"/>
  <c r="CG10" i="14"/>
  <c r="CI9" i="14"/>
  <c r="CH9" i="14"/>
  <c r="CG9" i="14"/>
  <c r="CD257" i="14"/>
  <c r="CB257" i="14"/>
  <c r="CD256" i="14"/>
  <c r="CB256" i="14"/>
  <c r="CD255" i="14"/>
  <c r="CB255" i="14"/>
  <c r="CD254" i="14"/>
  <c r="CC254" i="14"/>
  <c r="CB254" i="14"/>
  <c r="CD253" i="14"/>
  <c r="CC253" i="14"/>
  <c r="CB253" i="14"/>
  <c r="CD252" i="14"/>
  <c r="CB252" i="14"/>
  <c r="CD251" i="14"/>
  <c r="CC251" i="14"/>
  <c r="CB251" i="14"/>
  <c r="CA251" i="14" s="1"/>
  <c r="CD250" i="14"/>
  <c r="CC250" i="14"/>
  <c r="CB250" i="14"/>
  <c r="CD249" i="14"/>
  <c r="CB249" i="14"/>
  <c r="CD248" i="14"/>
  <c r="CC248" i="14"/>
  <c r="CB248" i="14"/>
  <c r="CD247" i="14"/>
  <c r="CD246" i="14"/>
  <c r="CC246" i="14"/>
  <c r="CB246" i="14"/>
  <c r="CC245" i="14"/>
  <c r="CB245" i="14"/>
  <c r="CD244" i="14"/>
  <c r="CC244" i="14"/>
  <c r="CB244" i="14"/>
  <c r="CD243" i="14"/>
  <c r="CC243" i="14"/>
  <c r="CB243" i="14"/>
  <c r="CA243" i="14" s="1"/>
  <c r="CD241" i="14"/>
  <c r="CC241" i="14"/>
  <c r="CB241" i="14"/>
  <c r="CD240" i="14"/>
  <c r="CB240" i="14"/>
  <c r="CD239" i="14"/>
  <c r="CD238" i="14"/>
  <c r="CC238" i="14"/>
  <c r="CB238" i="14"/>
  <c r="CD237" i="14"/>
  <c r="CC237" i="14"/>
  <c r="CB237" i="14"/>
  <c r="CD236" i="14"/>
  <c r="CC236" i="14"/>
  <c r="CB236" i="14"/>
  <c r="CD235" i="14"/>
  <c r="CC235" i="14"/>
  <c r="CB235" i="14"/>
  <c r="CA235" i="14" s="1"/>
  <c r="CD234" i="14"/>
  <c r="CB234" i="14"/>
  <c r="CD233" i="14"/>
  <c r="CC233" i="14"/>
  <c r="CB233" i="14"/>
  <c r="CD232" i="14"/>
  <c r="CC232" i="14"/>
  <c r="CB232" i="14"/>
  <c r="CD231" i="14"/>
  <c r="CB231" i="14"/>
  <c r="CD229" i="14"/>
  <c r="CB229" i="14"/>
  <c r="CD228" i="14"/>
  <c r="CB228" i="14"/>
  <c r="CD227" i="14"/>
  <c r="CC227" i="14"/>
  <c r="CB227" i="14"/>
  <c r="CD226" i="14"/>
  <c r="CC226" i="14"/>
  <c r="CB226" i="14"/>
  <c r="CD225" i="14"/>
  <c r="CC225" i="14"/>
  <c r="CB225" i="14"/>
  <c r="CD224" i="14"/>
  <c r="CC224" i="14"/>
  <c r="CB224" i="14"/>
  <c r="CD223" i="14"/>
  <c r="CB223" i="14"/>
  <c r="CD222" i="14"/>
  <c r="CC222" i="14"/>
  <c r="CB222" i="14"/>
  <c r="CD221" i="14"/>
  <c r="CC221" i="14"/>
  <c r="CB221" i="14"/>
  <c r="CD219" i="14"/>
  <c r="CB219" i="14"/>
  <c r="CD218" i="14"/>
  <c r="CC218" i="14"/>
  <c r="CB218" i="14"/>
  <c r="CD217" i="14"/>
  <c r="CC217" i="14"/>
  <c r="CB217" i="14"/>
  <c r="CD216" i="14"/>
  <c r="CB216" i="14"/>
  <c r="CD215" i="14"/>
  <c r="CB215" i="14"/>
  <c r="CD214" i="14"/>
  <c r="CB214" i="14"/>
  <c r="CD213" i="14"/>
  <c r="CC213" i="14"/>
  <c r="CB213" i="14"/>
  <c r="CD212" i="14"/>
  <c r="CC212" i="14"/>
  <c r="CB212" i="14"/>
  <c r="CD211" i="14"/>
  <c r="CC211" i="14"/>
  <c r="CB211" i="14"/>
  <c r="CD210" i="14"/>
  <c r="CC210" i="14"/>
  <c r="CB210" i="14"/>
  <c r="CD209" i="14"/>
  <c r="CB209" i="14"/>
  <c r="CD208" i="14"/>
  <c r="CC208" i="14"/>
  <c r="CB208" i="14"/>
  <c r="CD207" i="14"/>
  <c r="CC207" i="14"/>
  <c r="CB207" i="14"/>
  <c r="CA207" i="14" s="1"/>
  <c r="CD206" i="14"/>
  <c r="CB206" i="14"/>
  <c r="CD205" i="14"/>
  <c r="CC205" i="14"/>
  <c r="CB205" i="14"/>
  <c r="CD204" i="14"/>
  <c r="CC204" i="14"/>
  <c r="CB204" i="14"/>
  <c r="CD202" i="14"/>
  <c r="CB202" i="14"/>
  <c r="CD201" i="14"/>
  <c r="CC201" i="14"/>
  <c r="CB201" i="14"/>
  <c r="CD200" i="14"/>
  <c r="CB200" i="14"/>
  <c r="CD199" i="14"/>
  <c r="CB199" i="14"/>
  <c r="CD198" i="14"/>
  <c r="CC198" i="14"/>
  <c r="CB198" i="14"/>
  <c r="CD197" i="14"/>
  <c r="CC197" i="14"/>
  <c r="CB197" i="14"/>
  <c r="CD196" i="14"/>
  <c r="CC196" i="14"/>
  <c r="CB196" i="14"/>
  <c r="CD194" i="14"/>
  <c r="CB194" i="14"/>
  <c r="CD193" i="14"/>
  <c r="CB193" i="14"/>
  <c r="CD192" i="14"/>
  <c r="CB192" i="14"/>
  <c r="CD191" i="14"/>
  <c r="CC191" i="14"/>
  <c r="CB191" i="14"/>
  <c r="CD190" i="14"/>
  <c r="CC190" i="14"/>
  <c r="CB190" i="14"/>
  <c r="CD189" i="14"/>
  <c r="CC189" i="14"/>
  <c r="CB189" i="14"/>
  <c r="CD188" i="14"/>
  <c r="CB188" i="14"/>
  <c r="CD187" i="14"/>
  <c r="CB187" i="14"/>
  <c r="CD186" i="14"/>
  <c r="CC186" i="14"/>
  <c r="CB186" i="14"/>
  <c r="CD185" i="14"/>
  <c r="CB185" i="14"/>
  <c r="CB184" i="14"/>
  <c r="CD183" i="14"/>
  <c r="CB183" i="14"/>
  <c r="CD182" i="14"/>
  <c r="CB182" i="14"/>
  <c r="CD181" i="14"/>
  <c r="CC181" i="14"/>
  <c r="CB181" i="14"/>
  <c r="CD180" i="14"/>
  <c r="CB180" i="14"/>
  <c r="CD179" i="14"/>
  <c r="CC179" i="14"/>
  <c r="CB179" i="14"/>
  <c r="CD178" i="14"/>
  <c r="CB178" i="14"/>
  <c r="CD176" i="14"/>
  <c r="CB176" i="14"/>
  <c r="CD175" i="14"/>
  <c r="CB175" i="14"/>
  <c r="CD174" i="14"/>
  <c r="CC174" i="14"/>
  <c r="CB174" i="14"/>
  <c r="CD173" i="14"/>
  <c r="CB173" i="14"/>
  <c r="CD172" i="14"/>
  <c r="CC172" i="14"/>
  <c r="CB172" i="14"/>
  <c r="CD171" i="14"/>
  <c r="CB171" i="14"/>
  <c r="CD170" i="14"/>
  <c r="CC170" i="14"/>
  <c r="CB170" i="14"/>
  <c r="CC169" i="14"/>
  <c r="CB169" i="14"/>
  <c r="CD168" i="14"/>
  <c r="CB168" i="14"/>
  <c r="CD167" i="14"/>
  <c r="CC167" i="14"/>
  <c r="CB167" i="14"/>
  <c r="CD166" i="14"/>
  <c r="CB166" i="14"/>
  <c r="CD165" i="14"/>
  <c r="CC165" i="14"/>
  <c r="CB165" i="14"/>
  <c r="CD164" i="14"/>
  <c r="CC164" i="14"/>
  <c r="CB164" i="14"/>
  <c r="CD163" i="14"/>
  <c r="CC163" i="14"/>
  <c r="CB163" i="14"/>
  <c r="CD162" i="14"/>
  <c r="CB162" i="14"/>
  <c r="CD161" i="14"/>
  <c r="CC161" i="14"/>
  <c r="CB161" i="14"/>
  <c r="CD160" i="14"/>
  <c r="CC160" i="14"/>
  <c r="CB160" i="14"/>
  <c r="CD158" i="14"/>
  <c r="CC158" i="14"/>
  <c r="CB158" i="14"/>
  <c r="CD157" i="14"/>
  <c r="CB157" i="14"/>
  <c r="CD156" i="14"/>
  <c r="CB156" i="14"/>
  <c r="CD155" i="14"/>
  <c r="CB155" i="14"/>
  <c r="CD154" i="14"/>
  <c r="CC154" i="14"/>
  <c r="CB154" i="14"/>
  <c r="CD153" i="14"/>
  <c r="CC153" i="14"/>
  <c r="CB153" i="14"/>
  <c r="CD152" i="14"/>
  <c r="CC152" i="14"/>
  <c r="CB152" i="14"/>
  <c r="CD150" i="14"/>
  <c r="CC150" i="14"/>
  <c r="CB150" i="14"/>
  <c r="CD149" i="14"/>
  <c r="CC149" i="14"/>
  <c r="CB149" i="14"/>
  <c r="CD148" i="14"/>
  <c r="CB148" i="14"/>
  <c r="CD147" i="14"/>
  <c r="CC147" i="14"/>
  <c r="CB147" i="14"/>
  <c r="CD146" i="14"/>
  <c r="CC146" i="14"/>
  <c r="CB146" i="14"/>
  <c r="CD145" i="14"/>
  <c r="CC145" i="14"/>
  <c r="CB145" i="14"/>
  <c r="CD144" i="14"/>
  <c r="CB144" i="14"/>
  <c r="CD143" i="14"/>
  <c r="CC143" i="14"/>
  <c r="CB143" i="14"/>
  <c r="CD142" i="14"/>
  <c r="CB142" i="14"/>
  <c r="CB141" i="14"/>
  <c r="CD140" i="14"/>
  <c r="CB140" i="14"/>
  <c r="CD139" i="14"/>
  <c r="CC139" i="14"/>
  <c r="CB139" i="14"/>
  <c r="CD138" i="14"/>
  <c r="CC138" i="14"/>
  <c r="CB138" i="14"/>
  <c r="CD136" i="14"/>
  <c r="CB136" i="14"/>
  <c r="CD135" i="14"/>
  <c r="CB135" i="14"/>
  <c r="CD134" i="14"/>
  <c r="CB134" i="14"/>
  <c r="CC133" i="14"/>
  <c r="CB133" i="14"/>
  <c r="CD132" i="14"/>
  <c r="CB132" i="14"/>
  <c r="CD131" i="14"/>
  <c r="CB131" i="14"/>
  <c r="CD130" i="14"/>
  <c r="CC130" i="14"/>
  <c r="CB130" i="14"/>
  <c r="CD129" i="14"/>
  <c r="CC129" i="14"/>
  <c r="CB129" i="14"/>
  <c r="CD127" i="14"/>
  <c r="CB127" i="14"/>
  <c r="CD126" i="14"/>
  <c r="CC126" i="14"/>
  <c r="CB126" i="14"/>
  <c r="CD125" i="14"/>
  <c r="CB125" i="14"/>
  <c r="CB124" i="14"/>
  <c r="CD123" i="14"/>
  <c r="CB123" i="14"/>
  <c r="CD122" i="14"/>
  <c r="CC122" i="14"/>
  <c r="CB122" i="14"/>
  <c r="CB121" i="14"/>
  <c r="CD120" i="14"/>
  <c r="CB120" i="14"/>
  <c r="CD119" i="14"/>
  <c r="CC119" i="14"/>
  <c r="CB119" i="14"/>
  <c r="CD118" i="14"/>
  <c r="CC118" i="14"/>
  <c r="CB118" i="14"/>
  <c r="CD117" i="14"/>
  <c r="CC117" i="14"/>
  <c r="CB117" i="14"/>
  <c r="CD116" i="14"/>
  <c r="CC116" i="14"/>
  <c r="CB116" i="14"/>
  <c r="CD115" i="14"/>
  <c r="CB115" i="14"/>
  <c r="CD113" i="14"/>
  <c r="CC113" i="14"/>
  <c r="CB113" i="14"/>
  <c r="CD112" i="14"/>
  <c r="CB112" i="14"/>
  <c r="CD111" i="14"/>
  <c r="CC111" i="14"/>
  <c r="CB111" i="14"/>
  <c r="CD110" i="14"/>
  <c r="CB110" i="14"/>
  <c r="CD109" i="14"/>
  <c r="CC109" i="14"/>
  <c r="CB109" i="14"/>
  <c r="CD108" i="14"/>
  <c r="CB108" i="14"/>
  <c r="CD107" i="14"/>
  <c r="CC107" i="14"/>
  <c r="CB107" i="14"/>
  <c r="CD106" i="14"/>
  <c r="CC106" i="14"/>
  <c r="CB106" i="14"/>
  <c r="CD105" i="14"/>
  <c r="CC105" i="14"/>
  <c r="CB105" i="14"/>
  <c r="CD104" i="14"/>
  <c r="CB104" i="14"/>
  <c r="CD103" i="14"/>
  <c r="CC103" i="14"/>
  <c r="CB103" i="14"/>
  <c r="CD102" i="14"/>
  <c r="CB102" i="14"/>
  <c r="CD100" i="14"/>
  <c r="CB100" i="14"/>
  <c r="CD99" i="14"/>
  <c r="CC99" i="14"/>
  <c r="CB99" i="14"/>
  <c r="CD98" i="14"/>
  <c r="CB98" i="14"/>
  <c r="CD97" i="14"/>
  <c r="CB97" i="14"/>
  <c r="CD96" i="14"/>
  <c r="CC96" i="14"/>
  <c r="CB96" i="14"/>
  <c r="CD95" i="14"/>
  <c r="CC95" i="14"/>
  <c r="CD93" i="14"/>
  <c r="CB93" i="14"/>
  <c r="CD92" i="14"/>
  <c r="CB92" i="14"/>
  <c r="CD91" i="14"/>
  <c r="CB91" i="14"/>
  <c r="CB90" i="14"/>
  <c r="CC89" i="14"/>
  <c r="CB89" i="14"/>
  <c r="CD88" i="14"/>
  <c r="CC88" i="14"/>
  <c r="CB88" i="14"/>
  <c r="CD87" i="14"/>
  <c r="CB87" i="14"/>
  <c r="CD86" i="14"/>
  <c r="CC86" i="14"/>
  <c r="CB86" i="14"/>
  <c r="CD85" i="14"/>
  <c r="CB85" i="14"/>
  <c r="CD84" i="14"/>
  <c r="CB84" i="14"/>
  <c r="CD83" i="14"/>
  <c r="CC83" i="14"/>
  <c r="CB83" i="14"/>
  <c r="CC82" i="14"/>
  <c r="CB82" i="14"/>
  <c r="CD81" i="14"/>
  <c r="CC81" i="14"/>
  <c r="CB81" i="14"/>
  <c r="CD80" i="14"/>
  <c r="CC80" i="14"/>
  <c r="CB80" i="14"/>
  <c r="CD78" i="14"/>
  <c r="CC78" i="14"/>
  <c r="CB78" i="14"/>
  <c r="CD77" i="14"/>
  <c r="CC77" i="14"/>
  <c r="CB77" i="14"/>
  <c r="CD76" i="14"/>
  <c r="CB76" i="14"/>
  <c r="CD75" i="14"/>
  <c r="CB75" i="14"/>
  <c r="CB74" i="14"/>
  <c r="CD73" i="14"/>
  <c r="CB73" i="14"/>
  <c r="CD72" i="14"/>
  <c r="CC72" i="14"/>
  <c r="CB72" i="14"/>
  <c r="CD71" i="14"/>
  <c r="CC71" i="14"/>
  <c r="CB71" i="14"/>
  <c r="CD70" i="14"/>
  <c r="CC70" i="14"/>
  <c r="CB70" i="14"/>
  <c r="CD69" i="14"/>
  <c r="CC69" i="14"/>
  <c r="CB69" i="14"/>
  <c r="CD68" i="14"/>
  <c r="CC68" i="14"/>
  <c r="CB68" i="14"/>
  <c r="CD67" i="14"/>
  <c r="CC67" i="14"/>
  <c r="CB67" i="14"/>
  <c r="CD66" i="14"/>
  <c r="CB66" i="14"/>
  <c r="CB65" i="14"/>
  <c r="CD64" i="14"/>
  <c r="CC64" i="14"/>
  <c r="CB64" i="14"/>
  <c r="CD63" i="14"/>
  <c r="CB63" i="14"/>
  <c r="CD62" i="14"/>
  <c r="CB62" i="14"/>
  <c r="CD61" i="14"/>
  <c r="CC61" i="14"/>
  <c r="CB61" i="14"/>
  <c r="CD60" i="14"/>
  <c r="CB60" i="14"/>
  <c r="CD59" i="14"/>
  <c r="CC59" i="14"/>
  <c r="CB59" i="14"/>
  <c r="CD58" i="14"/>
  <c r="CC58" i="14"/>
  <c r="CB58" i="14"/>
  <c r="CD56" i="14"/>
  <c r="CC56" i="14"/>
  <c r="CB56" i="14"/>
  <c r="CD55" i="14"/>
  <c r="CC55" i="14"/>
  <c r="CB55" i="14"/>
  <c r="CB54" i="14"/>
  <c r="CD53" i="14"/>
  <c r="CB53" i="14"/>
  <c r="CD52" i="14"/>
  <c r="CC52" i="14"/>
  <c r="CB52" i="14"/>
  <c r="CD51" i="14"/>
  <c r="CD50" i="14"/>
  <c r="CB50" i="14"/>
  <c r="CD49" i="14"/>
  <c r="CB49" i="14"/>
  <c r="CC48" i="14"/>
  <c r="CB48" i="14"/>
  <c r="CD47" i="14"/>
  <c r="CB47" i="14"/>
  <c r="CD46" i="14"/>
  <c r="CB46" i="14"/>
  <c r="CD45" i="14"/>
  <c r="CB45" i="14"/>
  <c r="CD44" i="14"/>
  <c r="CC44" i="14"/>
  <c r="CB44" i="14"/>
  <c r="CD43" i="14"/>
  <c r="CC43" i="14"/>
  <c r="CB43" i="14"/>
  <c r="CD42" i="14"/>
  <c r="CC42" i="14"/>
  <c r="CB42" i="14"/>
  <c r="CD41" i="14"/>
  <c r="CC41" i="14"/>
  <c r="CB41" i="14"/>
  <c r="CD40" i="14"/>
  <c r="CC40" i="14"/>
  <c r="CB40" i="14"/>
  <c r="CD38" i="14"/>
  <c r="CC38" i="14"/>
  <c r="CB38" i="14"/>
  <c r="CD37" i="14"/>
  <c r="CC37" i="14"/>
  <c r="CB37" i="14"/>
  <c r="CD36" i="14"/>
  <c r="CB36" i="14"/>
  <c r="CD35" i="14"/>
  <c r="CB35" i="14"/>
  <c r="CD34" i="14"/>
  <c r="CB34" i="14"/>
  <c r="CD33" i="14"/>
  <c r="CC33" i="14"/>
  <c r="CB33" i="14"/>
  <c r="CD32" i="14"/>
  <c r="CB32" i="14"/>
  <c r="CD31" i="14"/>
  <c r="CC31" i="14"/>
  <c r="CB31" i="14"/>
  <c r="CD30" i="14"/>
  <c r="CB30" i="14"/>
  <c r="CD29" i="14"/>
  <c r="CB29" i="14"/>
  <c r="CD28" i="14"/>
  <c r="CC28" i="14"/>
  <c r="CB28" i="14"/>
  <c r="CD27" i="14"/>
  <c r="CB27" i="14"/>
  <c r="CD26" i="14"/>
  <c r="CC26" i="14"/>
  <c r="CB26" i="14"/>
  <c r="CD25" i="14"/>
  <c r="CB25" i="14"/>
  <c r="CD24" i="14"/>
  <c r="CC24" i="14"/>
  <c r="CB24" i="14"/>
  <c r="CD23" i="14"/>
  <c r="CC23" i="14"/>
  <c r="CB23" i="14"/>
  <c r="CD22" i="14"/>
  <c r="CC22" i="14"/>
  <c r="CB22" i="14"/>
  <c r="CD21" i="14"/>
  <c r="CB21" i="14"/>
  <c r="CD19" i="14"/>
  <c r="CB19" i="14"/>
  <c r="CD18" i="14"/>
  <c r="CB18" i="14"/>
  <c r="CD17" i="14"/>
  <c r="CB17" i="14"/>
  <c r="CD16" i="14"/>
  <c r="CB16" i="14"/>
  <c r="CD15" i="14"/>
  <c r="CC15" i="14"/>
  <c r="CB15" i="14"/>
  <c r="CD14" i="14"/>
  <c r="CC14" i="14"/>
  <c r="CB14" i="14"/>
  <c r="CD13" i="14"/>
  <c r="CC13" i="14"/>
  <c r="CB13" i="14"/>
  <c r="CD12" i="14"/>
  <c r="CC12" i="14"/>
  <c r="CB12" i="14"/>
  <c r="CD11" i="14"/>
  <c r="CC11" i="14"/>
  <c r="CB11" i="14"/>
  <c r="CD10" i="14"/>
  <c r="CC10" i="14"/>
  <c r="CB10" i="14"/>
  <c r="CD9" i="14"/>
  <c r="CC9" i="14"/>
  <c r="CB9" i="14"/>
  <c r="CC7" i="14"/>
  <c r="BW257" i="14"/>
  <c r="BW256" i="14"/>
  <c r="BW255" i="14"/>
  <c r="BW252" i="14"/>
  <c r="BW249" i="14"/>
  <c r="CC249" i="14" s="1"/>
  <c r="BW247" i="14"/>
  <c r="BX245" i="14"/>
  <c r="BX242" i="14" s="1"/>
  <c r="BV242" i="14"/>
  <c r="BW240" i="14"/>
  <c r="BW239" i="14"/>
  <c r="BV239" i="14"/>
  <c r="BW234" i="14"/>
  <c r="BW231" i="14"/>
  <c r="BW230" i="14" s="1"/>
  <c r="BX230" i="14"/>
  <c r="BV230" i="14"/>
  <c r="BW229" i="14"/>
  <c r="BW228" i="14"/>
  <c r="BW220" i="14" s="1"/>
  <c r="BW223" i="14"/>
  <c r="BX220" i="14"/>
  <c r="BV220" i="14"/>
  <c r="BW219" i="14"/>
  <c r="BW216" i="14"/>
  <c r="CC216" i="14" s="1"/>
  <c r="BW215" i="14"/>
  <c r="BW214" i="14"/>
  <c r="BW209" i="14"/>
  <c r="CC209" i="14" s="1"/>
  <c r="BW206" i="14"/>
  <c r="BX203" i="14"/>
  <c r="BV203" i="14"/>
  <c r="BW202" i="14"/>
  <c r="BW200" i="14"/>
  <c r="BW199" i="14"/>
  <c r="BX195" i="14"/>
  <c r="BV195" i="14"/>
  <c r="BW194" i="14"/>
  <c r="CC194" i="14" s="1"/>
  <c r="BW193" i="14"/>
  <c r="BW192" i="14"/>
  <c r="BW188" i="14"/>
  <c r="BW187" i="14"/>
  <c r="BW185" i="14"/>
  <c r="BX184" i="14"/>
  <c r="BX177" i="14" s="1"/>
  <c r="BW184" i="14"/>
  <c r="BW183" i="14"/>
  <c r="BW182" i="14"/>
  <c r="BW180" i="14"/>
  <c r="BW178" i="14"/>
  <c r="BV177" i="14"/>
  <c r="BW176" i="14"/>
  <c r="BW175" i="14"/>
  <c r="BW173" i="14"/>
  <c r="BW171" i="14"/>
  <c r="BX169" i="14"/>
  <c r="BX159" i="14" s="1"/>
  <c r="BW168" i="14"/>
  <c r="BW162" i="14"/>
  <c r="BV159" i="14"/>
  <c r="BW157" i="14"/>
  <c r="BW156" i="14"/>
  <c r="BW155" i="14"/>
  <c r="BW151" i="14" s="1"/>
  <c r="BX151" i="14"/>
  <c r="BV151" i="14"/>
  <c r="BW148" i="14"/>
  <c r="BW144" i="14"/>
  <c r="BW142" i="14"/>
  <c r="BX141" i="14"/>
  <c r="BX137" i="14" s="1"/>
  <c r="BW141" i="14"/>
  <c r="BW140" i="14"/>
  <c r="BV137" i="14"/>
  <c r="BW136" i="14"/>
  <c r="BW135" i="14"/>
  <c r="BW134" i="14"/>
  <c r="BW132" i="14"/>
  <c r="BW131" i="14"/>
  <c r="BX128" i="14"/>
  <c r="BV128" i="14"/>
  <c r="BW127" i="14"/>
  <c r="BW125" i="14"/>
  <c r="BX124" i="14"/>
  <c r="BW124" i="14"/>
  <c r="BW123" i="14"/>
  <c r="BX121" i="14"/>
  <c r="BW121" i="14"/>
  <c r="BW120" i="14"/>
  <c r="BW114" i="14" s="1"/>
  <c r="BW115" i="14"/>
  <c r="BV114" i="14"/>
  <c r="BW112" i="14"/>
  <c r="BW110" i="14"/>
  <c r="BW108" i="14"/>
  <c r="BW104" i="14"/>
  <c r="BW102" i="14"/>
  <c r="BX101" i="14"/>
  <c r="BX94" i="14" s="1"/>
  <c r="BW101" i="14"/>
  <c r="BV101" i="14"/>
  <c r="BW100" i="14"/>
  <c r="BW98" i="14"/>
  <c r="CC98" i="14" s="1"/>
  <c r="BW97" i="14"/>
  <c r="BV95" i="14"/>
  <c r="BV94" i="14" s="1"/>
  <c r="BW93" i="14"/>
  <c r="BW92" i="14"/>
  <c r="BW91" i="14"/>
  <c r="BX90" i="14"/>
  <c r="BW90" i="14"/>
  <c r="BX89" i="14"/>
  <c r="BW87" i="14"/>
  <c r="BW85" i="14"/>
  <c r="BW84" i="14"/>
  <c r="BX82" i="14"/>
  <c r="BV79" i="14"/>
  <c r="BW76" i="14"/>
  <c r="BW75" i="14"/>
  <c r="BX74" i="14"/>
  <c r="BW74" i="14"/>
  <c r="BW73" i="14"/>
  <c r="BW66" i="14"/>
  <c r="BX65" i="14"/>
  <c r="BW63" i="14"/>
  <c r="BW62" i="14"/>
  <c r="BW57" i="14" s="1"/>
  <c r="BW60" i="14"/>
  <c r="BX57" i="14"/>
  <c r="BV57" i="14"/>
  <c r="BX54" i="14"/>
  <c r="BX39" i="14" s="1"/>
  <c r="BW54" i="14"/>
  <c r="BW53" i="14"/>
  <c r="BW51" i="14"/>
  <c r="BV51" i="14"/>
  <c r="BV39" i="14" s="1"/>
  <c r="BW50" i="14"/>
  <c r="BW49" i="14"/>
  <c r="BX48" i="14"/>
  <c r="BW47" i="14"/>
  <c r="BW46" i="14"/>
  <c r="BW45" i="14"/>
  <c r="BW36" i="14"/>
  <c r="BW35" i="14"/>
  <c r="BW34" i="14"/>
  <c r="BW32" i="14"/>
  <c r="CC32" i="14" s="1"/>
  <c r="BW30" i="14"/>
  <c r="BW29" i="14"/>
  <c r="BW27" i="14"/>
  <c r="BW25" i="14"/>
  <c r="BX20" i="14"/>
  <c r="BV20" i="14"/>
  <c r="BW19" i="14"/>
  <c r="BW18" i="14"/>
  <c r="BW17" i="14"/>
  <c r="BW16" i="14"/>
  <c r="BX8" i="14"/>
  <c r="BV8" i="14"/>
  <c r="BX7" i="14"/>
  <c r="BX6" i="14" s="1"/>
  <c r="BV7" i="14"/>
  <c r="BV6" i="14" s="1"/>
  <c r="BW6" i="14"/>
  <c r="CF11" i="14" l="1"/>
  <c r="CF13" i="14"/>
  <c r="CF22" i="14"/>
  <c r="CF26" i="14"/>
  <c r="CF9" i="14"/>
  <c r="CF37" i="14"/>
  <c r="CF40" i="14"/>
  <c r="CF43" i="14"/>
  <c r="CF58" i="14"/>
  <c r="CF61" i="14"/>
  <c r="CF68" i="14"/>
  <c r="CF70" i="14"/>
  <c r="CF72" i="14"/>
  <c r="CF77" i="14"/>
  <c r="CF80" i="14"/>
  <c r="CF86" i="14"/>
  <c r="CF103" i="14"/>
  <c r="CF106" i="14"/>
  <c r="CF111" i="14"/>
  <c r="CF116" i="14"/>
  <c r="CF118" i="14"/>
  <c r="CF122" i="14"/>
  <c r="CF129" i="14"/>
  <c r="CF138" i="14"/>
  <c r="CF146" i="14"/>
  <c r="CF149" i="14"/>
  <c r="CF152" i="14"/>
  <c r="CF154" i="14"/>
  <c r="CF161" i="14"/>
  <c r="CF164" i="14"/>
  <c r="CF172" i="14"/>
  <c r="CF179" i="14"/>
  <c r="CF198" i="14"/>
  <c r="CF204" i="14"/>
  <c r="CF207" i="14"/>
  <c r="CF212" i="14"/>
  <c r="CF222" i="14"/>
  <c r="CF225" i="14"/>
  <c r="CF232" i="14"/>
  <c r="CF235" i="14"/>
  <c r="CF237" i="14"/>
  <c r="BW8" i="14"/>
  <c r="BW159" i="14"/>
  <c r="BW195" i="14"/>
  <c r="BW203" i="14"/>
  <c r="CA179" i="14"/>
  <c r="CA191" i="14"/>
  <c r="CA211" i="14"/>
  <c r="CA227" i="14"/>
  <c r="CF10" i="14"/>
  <c r="CF38" i="14"/>
  <c r="CF41" i="14"/>
  <c r="CF55" i="14"/>
  <c r="CF59" i="14"/>
  <c r="CF64" i="14"/>
  <c r="CF67" i="14"/>
  <c r="CF69" i="14"/>
  <c r="CF71" i="14"/>
  <c r="CF78" i="14"/>
  <c r="CF81" i="14"/>
  <c r="CF83" i="14"/>
  <c r="CF98" i="14"/>
  <c r="CF105" i="14"/>
  <c r="CF109" i="14"/>
  <c r="CF113" i="14"/>
  <c r="CF117" i="14"/>
  <c r="CF139" i="14"/>
  <c r="CF145" i="14"/>
  <c r="CF147" i="14"/>
  <c r="CF150" i="14"/>
  <c r="CF153" i="14"/>
  <c r="CF158" i="14"/>
  <c r="CF163" i="14"/>
  <c r="CF272" i="14"/>
  <c r="CF275" i="14"/>
  <c r="CF278" i="14"/>
  <c r="CF284" i="14"/>
  <c r="CF288" i="14"/>
  <c r="CF300" i="14"/>
  <c r="CF303" i="14"/>
  <c r="CF305" i="14"/>
  <c r="CF130" i="14"/>
  <c r="CF96" i="14"/>
  <c r="BX79" i="14"/>
  <c r="BW20" i="14"/>
  <c r="BW39" i="14"/>
  <c r="BW79" i="14"/>
  <c r="BW94" i="14"/>
  <c r="BX114" i="14"/>
  <c r="BW128" i="14"/>
  <c r="BW137" i="14"/>
  <c r="BW177" i="14"/>
  <c r="BW242" i="14"/>
  <c r="CA9" i="14"/>
  <c r="CA11" i="14"/>
  <c r="CA13" i="14"/>
  <c r="CA15" i="14"/>
  <c r="CA23" i="14"/>
  <c r="CA31" i="14"/>
  <c r="CA33" i="14"/>
  <c r="CA37" i="14"/>
  <c r="CA41" i="14"/>
  <c r="CA43" i="14"/>
  <c r="CA55" i="14"/>
  <c r="CA59" i="14"/>
  <c r="CA61" i="14"/>
  <c r="CA67" i="14"/>
  <c r="CA69" i="14"/>
  <c r="CA71" i="14"/>
  <c r="CA77" i="14"/>
  <c r="CA81" i="14"/>
  <c r="CA83" i="14"/>
  <c r="CA99" i="14"/>
  <c r="CA103" i="14"/>
  <c r="CA105" i="14"/>
  <c r="CA107" i="14"/>
  <c r="CA109" i="14"/>
  <c r="CA111" i="14"/>
  <c r="CA113" i="14"/>
  <c r="CA117" i="14"/>
  <c r="CA119" i="14"/>
  <c r="CA129" i="14"/>
  <c r="CA139" i="14"/>
  <c r="CA143" i="14"/>
  <c r="CA145" i="14"/>
  <c r="CA147" i="14"/>
  <c r="CA149" i="14"/>
  <c r="CA153" i="14"/>
  <c r="CA161" i="14"/>
  <c r="CA163" i="14"/>
  <c r="CA165" i="14"/>
  <c r="CA167" i="14"/>
  <c r="CA10" i="14"/>
  <c r="CA12" i="14"/>
  <c r="CA14" i="14"/>
  <c r="CA22" i="14"/>
  <c r="CA24" i="14"/>
  <c r="CA26" i="14"/>
  <c r="CA28" i="14"/>
  <c r="CA32" i="14"/>
  <c r="CA38" i="14"/>
  <c r="CA40" i="14"/>
  <c r="CA42" i="14"/>
  <c r="CA44" i="14"/>
  <c r="CA52" i="14"/>
  <c r="CA56" i="14"/>
  <c r="CA58" i="14"/>
  <c r="CA64" i="14"/>
  <c r="CA68" i="14"/>
  <c r="CA70" i="14"/>
  <c r="CA72" i="14"/>
  <c r="CA78" i="14"/>
  <c r="CA80" i="14"/>
  <c r="CA86" i="14"/>
  <c r="CA88" i="14"/>
  <c r="CA96" i="14"/>
  <c r="CA98" i="14"/>
  <c r="CA106" i="14"/>
  <c r="CA116" i="14"/>
  <c r="CA118" i="14"/>
  <c r="CA122" i="14"/>
  <c r="CA126" i="14"/>
  <c r="CA130" i="14"/>
  <c r="CA138" i="14"/>
  <c r="CA146" i="14"/>
  <c r="CA150" i="14"/>
  <c r="CA152" i="14"/>
  <c r="CA154" i="14"/>
  <c r="CA158" i="14"/>
  <c r="CA160" i="14"/>
  <c r="CA164" i="14"/>
  <c r="CA170" i="14"/>
  <c r="CA172" i="14"/>
  <c r="CA174" i="14"/>
  <c r="CA186" i="14"/>
  <c r="CA190" i="14"/>
  <c r="CA194" i="14"/>
  <c r="CA198" i="14"/>
  <c r="CA210" i="14"/>
  <c r="CA218" i="14"/>
  <c r="CA222" i="14"/>
  <c r="CA226" i="14"/>
  <c r="CA238" i="14"/>
  <c r="CA246" i="14"/>
  <c r="CA250" i="14"/>
  <c r="CA254" i="14"/>
  <c r="CF309" i="14"/>
  <c r="CF311" i="14"/>
  <c r="CF313" i="14"/>
  <c r="CF319" i="14"/>
  <c r="CF322" i="14"/>
  <c r="CF324" i="14"/>
  <c r="CF326" i="14"/>
  <c r="CF329" i="14"/>
  <c r="CF334" i="14"/>
  <c r="CF336" i="14"/>
  <c r="CF338" i="14"/>
  <c r="CF340" i="14"/>
  <c r="CF342" i="14"/>
  <c r="CF344" i="14"/>
  <c r="CF347" i="14"/>
  <c r="CF352" i="14"/>
  <c r="CA181" i="14"/>
  <c r="CA189" i="14"/>
  <c r="CA197" i="14"/>
  <c r="CA201" i="14"/>
  <c r="CA205" i="14"/>
  <c r="CA209" i="14"/>
  <c r="CA213" i="14"/>
  <c r="CA217" i="14"/>
  <c r="CA221" i="14"/>
  <c r="CA225" i="14"/>
  <c r="CA233" i="14"/>
  <c r="CA237" i="14"/>
  <c r="CA241" i="14"/>
  <c r="CA249" i="14"/>
  <c r="CA253" i="14"/>
  <c r="CA196" i="14"/>
  <c r="CA204" i="14"/>
  <c r="CA208" i="14"/>
  <c r="CA212" i="14"/>
  <c r="CA216" i="14"/>
  <c r="CA224" i="14"/>
  <c r="CA232" i="14"/>
  <c r="CA236" i="14"/>
  <c r="CA244" i="14"/>
  <c r="CA248" i="14"/>
  <c r="AY293" i="14" l="1"/>
  <c r="AX293" i="14"/>
  <c r="AY291" i="14"/>
  <c r="AX291" i="14"/>
  <c r="AW291" i="14"/>
  <c r="AY290" i="14"/>
  <c r="AX290" i="14"/>
  <c r="AW290" i="14"/>
  <c r="AY289" i="14"/>
  <c r="AX289" i="14"/>
  <c r="AY288" i="14"/>
  <c r="AX288" i="14"/>
  <c r="AY287" i="14"/>
  <c r="AX287" i="14"/>
  <c r="AW287" i="14"/>
  <c r="AY286" i="14"/>
  <c r="AX286" i="14"/>
  <c r="AY285" i="14"/>
  <c r="AX285" i="14"/>
  <c r="AW285" i="14"/>
  <c r="AY284" i="14"/>
  <c r="AX284" i="14"/>
  <c r="AW284" i="14"/>
  <c r="AY283" i="14"/>
  <c r="AX283" i="14"/>
  <c r="AY282" i="14"/>
  <c r="AX282" i="14"/>
  <c r="AW282" i="14"/>
  <c r="AY281" i="14"/>
  <c r="AX281" i="14"/>
  <c r="AW281" i="14"/>
  <c r="AY280" i="14"/>
  <c r="AX280" i="14"/>
  <c r="AY279" i="14"/>
  <c r="AX279" i="14"/>
  <c r="AW279" i="14"/>
  <c r="AY278" i="14"/>
  <c r="AX278" i="14"/>
  <c r="AW278" i="14"/>
  <c r="AY277" i="14"/>
  <c r="AX277" i="14"/>
  <c r="AY276" i="14"/>
  <c r="AX276" i="14"/>
  <c r="AW276" i="14"/>
  <c r="AY275" i="14"/>
  <c r="AX275" i="14"/>
  <c r="AW275" i="14"/>
  <c r="AY274" i="14"/>
  <c r="AX274" i="14"/>
  <c r="AY273" i="14"/>
  <c r="AX273" i="14"/>
  <c r="AW273" i="14"/>
  <c r="AY272" i="14"/>
  <c r="AX272" i="14"/>
  <c r="AW272" i="14"/>
  <c r="AY271" i="14"/>
  <c r="AX271" i="14"/>
  <c r="AY270" i="14"/>
  <c r="AX270" i="14"/>
  <c r="AY269" i="14"/>
  <c r="AX269" i="14"/>
  <c r="AY268" i="14"/>
  <c r="AX268" i="14"/>
  <c r="AY267" i="14"/>
  <c r="AX267" i="14"/>
  <c r="AY266" i="14"/>
  <c r="AX266" i="14"/>
  <c r="AY265" i="14"/>
  <c r="AX265" i="14"/>
  <c r="AY259" i="14"/>
  <c r="AX259" i="14"/>
  <c r="AW259" i="14"/>
  <c r="AY257" i="14"/>
  <c r="AW257" i="14"/>
  <c r="AY256" i="14"/>
  <c r="AW256" i="14"/>
  <c r="AY255" i="14"/>
  <c r="AW255" i="14"/>
  <c r="AY254" i="14"/>
  <c r="AX254" i="14"/>
  <c r="AW254" i="14"/>
  <c r="AY253" i="14"/>
  <c r="AX253" i="14"/>
  <c r="AW253" i="14"/>
  <c r="AY252" i="14"/>
  <c r="AW252" i="14"/>
  <c r="AY251" i="14"/>
  <c r="AX251" i="14"/>
  <c r="AW251" i="14"/>
  <c r="AY250" i="14"/>
  <c r="AX250" i="14"/>
  <c r="AW250" i="14"/>
  <c r="AY249" i="14"/>
  <c r="AW249" i="14"/>
  <c r="AY248" i="14"/>
  <c r="AX248" i="14"/>
  <c r="AW248" i="14"/>
  <c r="AY247" i="14"/>
  <c r="AW247" i="14"/>
  <c r="AY246" i="14"/>
  <c r="AW246" i="14"/>
  <c r="AY245" i="14"/>
  <c r="AW245" i="14"/>
  <c r="AY244" i="14"/>
  <c r="AX244" i="14"/>
  <c r="AW244" i="14"/>
  <c r="AY243" i="14"/>
  <c r="AX243" i="14"/>
  <c r="AW243" i="14"/>
  <c r="AY241" i="14"/>
  <c r="AX241" i="14"/>
  <c r="AW241" i="14"/>
  <c r="AY240" i="14"/>
  <c r="AW240" i="14"/>
  <c r="AY239" i="14"/>
  <c r="AW239" i="14"/>
  <c r="AY238" i="14"/>
  <c r="AX238" i="14"/>
  <c r="AW238" i="14"/>
  <c r="AY237" i="14"/>
  <c r="AX237" i="14"/>
  <c r="AW237" i="14"/>
  <c r="AY236" i="14"/>
  <c r="AX236" i="14"/>
  <c r="AW236" i="14"/>
  <c r="AY235" i="14"/>
  <c r="AX235" i="14"/>
  <c r="AW235" i="14"/>
  <c r="AY234" i="14"/>
  <c r="AW234" i="14"/>
  <c r="AY233" i="14"/>
  <c r="AX233" i="14"/>
  <c r="AW233" i="14"/>
  <c r="AY232" i="14"/>
  <c r="AX232" i="14"/>
  <c r="AW232" i="14"/>
  <c r="AY231" i="14"/>
  <c r="AW231" i="14"/>
  <c r="AY229" i="14"/>
  <c r="AW229" i="14"/>
  <c r="AY228" i="14"/>
  <c r="AX228" i="14"/>
  <c r="AW228" i="14"/>
  <c r="AY227" i="14"/>
  <c r="AW227" i="14"/>
  <c r="AY226" i="14"/>
  <c r="AX226" i="14"/>
  <c r="AW226" i="14"/>
  <c r="AY225" i="14"/>
  <c r="AX225" i="14"/>
  <c r="AW225" i="14"/>
  <c r="AY224" i="14"/>
  <c r="AX224" i="14"/>
  <c r="AW224" i="14"/>
  <c r="AY223" i="14"/>
  <c r="AW223" i="14"/>
  <c r="AY222" i="14"/>
  <c r="AX222" i="14"/>
  <c r="AW222" i="14"/>
  <c r="AY221" i="14"/>
  <c r="AX221" i="14"/>
  <c r="AW221" i="14"/>
  <c r="AY219" i="14"/>
  <c r="AW219" i="14"/>
  <c r="AY218" i="14"/>
  <c r="AW218" i="14"/>
  <c r="AY217" i="14"/>
  <c r="AW217" i="14"/>
  <c r="AY216" i="14"/>
  <c r="AW216" i="14"/>
  <c r="AY215" i="14"/>
  <c r="AW215" i="14"/>
  <c r="AY214" i="14"/>
  <c r="AX214" i="14"/>
  <c r="AW214" i="14"/>
  <c r="AY213" i="14"/>
  <c r="AW213" i="14"/>
  <c r="AY212" i="14"/>
  <c r="AX212" i="14"/>
  <c r="AW212" i="14"/>
  <c r="AY211" i="14"/>
  <c r="AW211" i="14"/>
  <c r="AY210" i="14"/>
  <c r="AW210" i="14"/>
  <c r="AY209" i="14"/>
  <c r="AW209" i="14"/>
  <c r="AY208" i="14"/>
  <c r="AX208" i="14"/>
  <c r="AW208" i="14"/>
  <c r="AY207" i="14"/>
  <c r="AX207" i="14"/>
  <c r="AW207" i="14"/>
  <c r="AY206" i="14"/>
  <c r="AX206" i="14"/>
  <c r="AW206" i="14"/>
  <c r="AY205" i="14"/>
  <c r="AX205" i="14"/>
  <c r="AW205" i="14"/>
  <c r="AY204" i="14"/>
  <c r="AX204" i="14"/>
  <c r="AW204" i="14"/>
  <c r="AY202" i="14"/>
  <c r="AX202" i="14"/>
  <c r="AW202" i="14"/>
  <c r="AY201" i="14"/>
  <c r="AX201" i="14"/>
  <c r="AW201" i="14"/>
  <c r="AY200" i="14"/>
  <c r="AX200" i="14"/>
  <c r="AW200" i="14"/>
  <c r="AY199" i="14"/>
  <c r="AW199" i="14"/>
  <c r="AY198" i="14"/>
  <c r="AX198" i="14"/>
  <c r="AW198" i="14"/>
  <c r="AY197" i="14"/>
  <c r="AX197" i="14"/>
  <c r="AW197" i="14"/>
  <c r="AY196" i="14"/>
  <c r="AX196" i="14"/>
  <c r="AW196" i="14"/>
  <c r="AY194" i="14"/>
  <c r="AX194" i="14"/>
  <c r="AW194" i="14"/>
  <c r="AY193" i="14"/>
  <c r="AW193" i="14"/>
  <c r="AY192" i="14"/>
  <c r="AX192" i="14"/>
  <c r="AW192" i="14"/>
  <c r="AY191" i="14"/>
  <c r="AX191" i="14"/>
  <c r="AW191" i="14"/>
  <c r="AY190" i="14"/>
  <c r="AW190" i="14"/>
  <c r="AY189" i="14"/>
  <c r="AW189" i="14"/>
  <c r="AY188" i="14"/>
  <c r="AX188" i="14"/>
  <c r="AW188" i="14"/>
  <c r="AY187" i="14"/>
  <c r="AW187" i="14"/>
  <c r="AY186" i="14"/>
  <c r="AX186" i="14"/>
  <c r="AW186" i="14"/>
  <c r="AY185" i="14"/>
  <c r="AX185" i="14"/>
  <c r="AW185" i="14"/>
  <c r="AW184" i="14"/>
  <c r="AY183" i="14"/>
  <c r="AW183" i="14"/>
  <c r="AY182" i="14"/>
  <c r="AW182" i="14"/>
  <c r="AY181" i="14"/>
  <c r="AX181" i="14"/>
  <c r="AW181" i="14"/>
  <c r="AY180" i="14"/>
  <c r="AX180" i="14"/>
  <c r="AW180" i="14"/>
  <c r="AY179" i="14"/>
  <c r="AX179" i="14"/>
  <c r="AW179" i="14"/>
  <c r="AY178" i="14"/>
  <c r="AX178" i="14"/>
  <c r="AW178" i="14"/>
  <c r="AY176" i="14"/>
  <c r="AW176" i="14"/>
  <c r="AY175" i="14"/>
  <c r="AW175" i="14"/>
  <c r="AY174" i="14"/>
  <c r="AX174" i="14"/>
  <c r="AW174" i="14"/>
  <c r="AY173" i="14"/>
  <c r="AW173" i="14"/>
  <c r="AY172" i="14"/>
  <c r="AX172" i="14"/>
  <c r="AW172" i="14"/>
  <c r="AY171" i="14"/>
  <c r="AW171" i="14"/>
  <c r="AY170" i="14"/>
  <c r="AW170" i="14"/>
  <c r="AX169" i="14"/>
  <c r="AW169" i="14"/>
  <c r="AY168" i="14"/>
  <c r="AW168" i="14"/>
  <c r="AY167" i="14"/>
  <c r="AX167" i="14"/>
  <c r="AW167" i="14"/>
  <c r="AY166" i="14"/>
  <c r="AX166" i="14"/>
  <c r="AW166" i="14"/>
  <c r="AY165" i="14"/>
  <c r="AW165" i="14"/>
  <c r="AY164" i="14"/>
  <c r="AX164" i="14"/>
  <c r="AW164" i="14"/>
  <c r="AY163" i="14"/>
  <c r="AX163" i="14"/>
  <c r="AW163" i="14"/>
  <c r="AY162" i="14"/>
  <c r="AX162" i="14"/>
  <c r="AW162" i="14"/>
  <c r="AY161" i="14"/>
  <c r="AX161" i="14"/>
  <c r="AW161" i="14"/>
  <c r="AY160" i="14"/>
  <c r="AW160" i="14"/>
  <c r="AY158" i="14"/>
  <c r="AX158" i="14"/>
  <c r="AW158" i="14"/>
  <c r="AY157" i="14"/>
  <c r="AW157" i="14"/>
  <c r="AY156" i="14"/>
  <c r="AW156" i="14"/>
  <c r="AY155" i="14"/>
  <c r="AW155" i="14"/>
  <c r="AY154" i="14"/>
  <c r="AX154" i="14"/>
  <c r="AW154" i="14"/>
  <c r="AY153" i="14"/>
  <c r="AX153" i="14"/>
  <c r="AW153" i="14"/>
  <c r="AY152" i="14"/>
  <c r="AX152" i="14"/>
  <c r="AW152" i="14"/>
  <c r="AY150" i="14"/>
  <c r="AX150" i="14"/>
  <c r="AW150" i="14"/>
  <c r="AY149" i="14"/>
  <c r="AX149" i="14"/>
  <c r="AW149" i="14"/>
  <c r="AY148" i="14"/>
  <c r="AW148" i="14"/>
  <c r="AY147" i="14"/>
  <c r="AX147" i="14"/>
  <c r="AW147" i="14"/>
  <c r="AY146" i="14"/>
  <c r="AX146" i="14"/>
  <c r="AW146" i="14"/>
  <c r="AY145" i="14"/>
  <c r="AX145" i="14"/>
  <c r="AW145" i="14"/>
  <c r="AY144" i="14"/>
  <c r="AW144" i="14"/>
  <c r="AY143" i="14"/>
  <c r="AW143" i="14"/>
  <c r="AY142" i="14"/>
  <c r="AX142" i="14"/>
  <c r="AW142" i="14"/>
  <c r="AY141" i="14"/>
  <c r="AW141" i="14"/>
  <c r="AY140" i="14"/>
  <c r="AW140" i="14"/>
  <c r="AY139" i="14"/>
  <c r="AX139" i="14"/>
  <c r="AW139" i="14"/>
  <c r="AY138" i="14"/>
  <c r="AX138" i="14"/>
  <c r="AW138" i="14"/>
  <c r="AY136" i="14"/>
  <c r="AW136" i="14"/>
  <c r="AY135" i="14"/>
  <c r="AW135" i="14"/>
  <c r="AY134" i="14"/>
  <c r="AW134" i="14"/>
  <c r="AY133" i="14"/>
  <c r="AX133" i="14"/>
  <c r="AW133" i="14"/>
  <c r="AY132" i="14"/>
  <c r="AW132" i="14"/>
  <c r="AY131" i="14"/>
  <c r="AX131" i="14"/>
  <c r="AW131" i="14"/>
  <c r="AY130" i="14"/>
  <c r="AX130" i="14"/>
  <c r="AW130" i="14"/>
  <c r="AY129" i="14"/>
  <c r="AX129" i="14"/>
  <c r="AW129" i="14"/>
  <c r="AY127" i="14"/>
  <c r="AW127" i="14"/>
  <c r="AY126" i="14"/>
  <c r="AW126" i="14"/>
  <c r="AY125" i="14"/>
  <c r="AW125" i="14"/>
  <c r="AW124" i="14"/>
  <c r="AY123" i="14"/>
  <c r="AW123" i="14"/>
  <c r="AY122" i="14"/>
  <c r="AX122" i="14"/>
  <c r="AW122" i="14"/>
  <c r="AY121" i="14"/>
  <c r="AW121" i="14"/>
  <c r="AY120" i="14"/>
  <c r="AW120" i="14"/>
  <c r="AY119" i="14"/>
  <c r="AW119" i="14"/>
  <c r="AY118" i="14"/>
  <c r="AX118" i="14"/>
  <c r="AW118" i="14"/>
  <c r="AY117" i="14"/>
  <c r="AX117" i="14"/>
  <c r="AW117" i="14"/>
  <c r="AY116" i="14"/>
  <c r="AX116" i="14"/>
  <c r="AW116" i="14"/>
  <c r="AY115" i="14"/>
  <c r="AW115" i="14"/>
  <c r="AY113" i="14"/>
  <c r="AX113" i="14"/>
  <c r="AW113" i="14"/>
  <c r="AY112" i="14"/>
  <c r="AW112" i="14"/>
  <c r="AY111" i="14"/>
  <c r="AX111" i="14"/>
  <c r="AW111" i="14"/>
  <c r="AY110" i="14"/>
  <c r="AX110" i="14"/>
  <c r="AW110" i="14"/>
  <c r="AY109" i="14"/>
  <c r="AX109" i="14"/>
  <c r="AW109" i="14"/>
  <c r="AY108" i="14"/>
  <c r="AW108" i="14"/>
  <c r="AY107" i="14"/>
  <c r="AW107" i="14"/>
  <c r="AY106" i="14"/>
  <c r="AX106" i="14"/>
  <c r="AW106" i="14"/>
  <c r="AY105" i="14"/>
  <c r="AX105" i="14"/>
  <c r="AW105" i="14"/>
  <c r="AY104" i="14"/>
  <c r="AW104" i="14"/>
  <c r="AY103" i="14"/>
  <c r="AX103" i="14"/>
  <c r="AW103" i="14"/>
  <c r="AY102" i="14"/>
  <c r="AW102" i="14"/>
  <c r="AW101" i="14"/>
  <c r="AY100" i="14"/>
  <c r="AX100" i="14"/>
  <c r="AW100" i="14"/>
  <c r="AY99" i="14"/>
  <c r="AW99" i="14"/>
  <c r="AY98" i="14"/>
  <c r="AX98" i="14"/>
  <c r="AW98" i="14"/>
  <c r="AY97" i="14"/>
  <c r="AW97" i="14"/>
  <c r="AY96" i="14"/>
  <c r="AX96" i="14"/>
  <c r="AW96" i="14"/>
  <c r="AY95" i="14"/>
  <c r="AX95" i="14"/>
  <c r="AW95" i="14"/>
  <c r="AY93" i="14"/>
  <c r="AW93" i="14"/>
  <c r="AY92" i="14"/>
  <c r="AW92" i="14"/>
  <c r="AY91" i="14"/>
  <c r="AW91" i="14"/>
  <c r="AW90" i="14"/>
  <c r="AY89" i="14"/>
  <c r="AX89" i="14"/>
  <c r="AW89" i="14"/>
  <c r="AY88" i="14"/>
  <c r="AW88" i="14"/>
  <c r="AY87" i="14"/>
  <c r="AW87" i="14"/>
  <c r="AY86" i="14"/>
  <c r="AX86" i="14"/>
  <c r="AW86" i="14"/>
  <c r="AY85" i="14"/>
  <c r="AW85" i="14"/>
  <c r="AY84" i="14"/>
  <c r="AW84" i="14"/>
  <c r="AY83" i="14"/>
  <c r="AX83" i="14"/>
  <c r="AW83" i="14"/>
  <c r="AW82" i="14"/>
  <c r="AY81" i="14"/>
  <c r="AX81" i="14"/>
  <c r="AW81" i="14"/>
  <c r="AY80" i="14"/>
  <c r="AX80" i="14"/>
  <c r="AW80" i="14"/>
  <c r="AY78" i="14"/>
  <c r="AX78" i="14"/>
  <c r="AW78" i="14"/>
  <c r="AY77" i="14"/>
  <c r="AX77" i="14"/>
  <c r="AW77" i="14"/>
  <c r="AY76" i="14"/>
  <c r="AX76" i="14"/>
  <c r="AW76" i="14"/>
  <c r="AY75" i="14"/>
  <c r="AW75" i="14"/>
  <c r="AY74" i="14"/>
  <c r="AW74" i="14"/>
  <c r="AY73" i="14"/>
  <c r="AW73" i="14"/>
  <c r="AY72" i="14"/>
  <c r="AX72" i="14"/>
  <c r="AW72" i="14"/>
  <c r="AY71" i="14"/>
  <c r="AX71" i="14"/>
  <c r="AW71" i="14"/>
  <c r="AY70" i="14"/>
  <c r="AX70" i="14"/>
  <c r="AW70" i="14"/>
  <c r="AY69" i="14"/>
  <c r="AX69" i="14"/>
  <c r="AW69" i="14"/>
  <c r="AY68" i="14"/>
  <c r="AX68" i="14"/>
  <c r="AW68" i="14"/>
  <c r="AY67" i="14"/>
  <c r="AX67" i="14"/>
  <c r="AW67" i="14"/>
  <c r="AY66" i="14"/>
  <c r="AW66" i="14"/>
  <c r="AY65" i="14"/>
  <c r="AW65" i="14"/>
  <c r="AY64" i="14"/>
  <c r="AX64" i="14"/>
  <c r="AW64" i="14"/>
  <c r="AY63" i="14"/>
  <c r="AW63" i="14"/>
  <c r="AY62" i="14"/>
  <c r="AW62" i="14"/>
  <c r="AY61" i="14"/>
  <c r="AX61" i="14"/>
  <c r="AW61" i="14"/>
  <c r="AY60" i="14"/>
  <c r="AW60" i="14"/>
  <c r="AY59" i="14"/>
  <c r="AX59" i="14"/>
  <c r="AW59" i="14"/>
  <c r="AY58" i="14"/>
  <c r="AX58" i="14"/>
  <c r="AW58" i="14"/>
  <c r="AY56" i="14"/>
  <c r="AW56" i="14"/>
  <c r="AY55" i="14"/>
  <c r="AX55" i="14"/>
  <c r="AW55" i="14"/>
  <c r="AW54" i="14"/>
  <c r="AY53" i="14"/>
  <c r="AX53" i="14"/>
  <c r="AW53" i="14"/>
  <c r="AY52" i="14"/>
  <c r="AW52" i="14"/>
  <c r="AY51" i="14"/>
  <c r="AX51" i="14"/>
  <c r="AW51" i="14"/>
  <c r="AY50" i="14"/>
  <c r="AW50" i="14"/>
  <c r="AY49" i="14"/>
  <c r="AW49" i="14"/>
  <c r="AX48" i="14"/>
  <c r="AW48" i="14"/>
  <c r="AY47" i="14"/>
  <c r="AW47" i="14"/>
  <c r="AY46" i="14"/>
  <c r="AW46" i="14"/>
  <c r="AY45" i="14"/>
  <c r="AW45" i="14"/>
  <c r="AY44" i="14"/>
  <c r="AW44" i="14"/>
  <c r="AY43" i="14"/>
  <c r="AX43" i="14"/>
  <c r="AW43" i="14"/>
  <c r="AY42" i="14"/>
  <c r="AW42" i="14"/>
  <c r="AY41" i="14"/>
  <c r="AX41" i="14"/>
  <c r="AW41" i="14"/>
  <c r="AY40" i="14"/>
  <c r="AX40" i="14"/>
  <c r="AW40" i="14"/>
  <c r="AY38" i="14"/>
  <c r="AX38" i="14"/>
  <c r="AW38" i="14"/>
  <c r="AY37" i="14"/>
  <c r="AX37" i="14"/>
  <c r="AW37" i="14"/>
  <c r="AY36" i="14"/>
  <c r="AX36" i="14"/>
  <c r="AW36" i="14"/>
  <c r="AY35" i="14"/>
  <c r="AW35" i="14"/>
  <c r="AY34" i="14"/>
  <c r="AW34" i="14"/>
  <c r="AY33" i="14"/>
  <c r="AW33" i="14"/>
  <c r="AY32" i="14"/>
  <c r="AW32" i="14"/>
  <c r="AY31" i="14"/>
  <c r="AW31" i="14"/>
  <c r="AY30" i="14"/>
  <c r="AX30" i="14"/>
  <c r="AW30" i="14"/>
  <c r="AY29" i="14"/>
  <c r="AW29" i="14"/>
  <c r="AY28" i="14"/>
  <c r="AX28" i="14"/>
  <c r="AW28" i="14"/>
  <c r="AY27" i="14"/>
  <c r="AW27" i="14"/>
  <c r="AY26" i="14"/>
  <c r="AX26" i="14"/>
  <c r="AW26" i="14"/>
  <c r="AY25" i="14"/>
  <c r="AW25" i="14"/>
  <c r="AY24" i="14"/>
  <c r="AX24" i="14"/>
  <c r="AW24" i="14"/>
  <c r="AY23" i="14"/>
  <c r="AW23" i="14"/>
  <c r="AY22" i="14"/>
  <c r="AX22" i="14"/>
  <c r="AW22" i="14"/>
  <c r="AY21" i="14"/>
  <c r="AW21" i="14"/>
  <c r="AY19" i="14"/>
  <c r="AW19" i="14"/>
  <c r="AY18" i="14"/>
  <c r="AW18" i="14"/>
  <c r="AY17" i="14"/>
  <c r="AX17" i="14"/>
  <c r="AW17" i="14"/>
  <c r="AY16" i="14"/>
  <c r="AW16" i="14"/>
  <c r="AY15" i="14"/>
  <c r="AX15" i="14"/>
  <c r="AW15" i="14"/>
  <c r="AY14" i="14"/>
  <c r="AW14" i="14"/>
  <c r="AY13" i="14"/>
  <c r="AX13" i="14"/>
  <c r="AW13" i="14"/>
  <c r="AY12" i="14"/>
  <c r="AX12" i="14"/>
  <c r="AW12" i="14"/>
  <c r="AY11" i="14"/>
  <c r="AX11" i="14"/>
  <c r="AW11" i="14"/>
  <c r="AY10" i="14"/>
  <c r="AX10" i="14"/>
  <c r="AW10" i="14"/>
  <c r="AY9" i="14"/>
  <c r="AX9" i="14"/>
  <c r="AW9" i="14"/>
  <c r="AW7" i="14"/>
  <c r="AV235" i="14" l="1"/>
  <c r="AV282" i="14"/>
  <c r="AV290" i="14"/>
  <c r="AV37" i="14"/>
  <c r="AV61" i="14"/>
  <c r="AV67" i="14"/>
  <c r="AV69" i="14"/>
  <c r="AV243" i="14"/>
  <c r="AV251" i="14"/>
  <c r="AV278" i="14"/>
  <c r="AV9" i="14"/>
  <c r="AV11" i="14"/>
  <c r="AV13" i="14"/>
  <c r="AV15" i="14"/>
  <c r="AV17" i="14"/>
  <c r="AV41" i="14"/>
  <c r="AV43" i="14"/>
  <c r="AV51" i="14"/>
  <c r="AV53" i="14"/>
  <c r="AV59" i="14"/>
  <c r="AV10" i="14"/>
  <c r="AV12" i="14"/>
  <c r="AV22" i="14"/>
  <c r="AV24" i="14"/>
  <c r="AV26" i="14"/>
  <c r="AV28" i="14"/>
  <c r="AV30" i="14"/>
  <c r="AV36" i="14"/>
  <c r="AV38" i="14"/>
  <c r="AV40" i="14"/>
  <c r="AV55" i="14"/>
  <c r="AV81" i="14"/>
  <c r="AV71" i="14"/>
  <c r="AV77" i="14"/>
  <c r="AV83" i="14"/>
  <c r="AV89" i="14"/>
  <c r="AV95" i="14"/>
  <c r="AV103" i="14"/>
  <c r="AV105" i="14"/>
  <c r="AV109" i="14"/>
  <c r="AV111" i="14"/>
  <c r="AV113" i="14"/>
  <c r="AV117" i="14"/>
  <c r="AV129" i="14"/>
  <c r="AV131" i="14"/>
  <c r="AV133" i="14"/>
  <c r="AV139" i="14"/>
  <c r="AV145" i="14"/>
  <c r="AV147" i="14"/>
  <c r="AV149" i="14"/>
  <c r="AV153" i="14"/>
  <c r="AV161" i="14"/>
  <c r="AV163" i="14"/>
  <c r="AV167" i="14"/>
  <c r="AV179" i="14"/>
  <c r="AV181" i="14"/>
  <c r="AV185" i="14"/>
  <c r="AV191" i="14"/>
  <c r="AV197" i="14"/>
  <c r="AV201" i="14"/>
  <c r="AV205" i="14"/>
  <c r="AV207" i="14"/>
  <c r="AV58" i="14"/>
  <c r="AV64" i="14"/>
  <c r="AV68" i="14"/>
  <c r="AV70" i="14"/>
  <c r="AV72" i="14"/>
  <c r="AV76" i="14"/>
  <c r="AV78" i="14"/>
  <c r="AV80" i="14"/>
  <c r="AV86" i="14"/>
  <c r="AV96" i="14"/>
  <c r="AV98" i="14"/>
  <c r="AV100" i="14"/>
  <c r="AV106" i="14"/>
  <c r="AV110" i="14"/>
  <c r="AV116" i="14"/>
  <c r="AV118" i="14"/>
  <c r="AV122" i="14"/>
  <c r="AV130" i="14"/>
  <c r="AV138" i="14"/>
  <c r="AV142" i="14"/>
  <c r="AV146" i="14"/>
  <c r="AV150" i="14"/>
  <c r="AV152" i="14"/>
  <c r="AV154" i="14"/>
  <c r="AV158" i="14"/>
  <c r="AV162" i="14"/>
  <c r="AV164" i="14"/>
  <c r="AV166" i="14"/>
  <c r="AV172" i="14"/>
  <c r="AV174" i="14"/>
  <c r="AV178" i="14"/>
  <c r="AV180" i="14"/>
  <c r="AV186" i="14"/>
  <c r="AV188" i="14"/>
  <c r="AV192" i="14"/>
  <c r="AV194" i="14"/>
  <c r="AV196" i="14"/>
  <c r="AV198" i="14"/>
  <c r="AV200" i="14"/>
  <c r="AV202" i="14"/>
  <c r="AV204" i="14"/>
  <c r="AV206" i="14"/>
  <c r="AV208" i="14"/>
  <c r="AV214" i="14"/>
  <c r="AV222" i="14"/>
  <c r="AV226" i="14"/>
  <c r="AV238" i="14"/>
  <c r="AV250" i="14"/>
  <c r="AV254" i="14"/>
  <c r="AV275" i="14"/>
  <c r="AV279" i="14"/>
  <c r="AV287" i="14"/>
  <c r="AV291" i="14"/>
  <c r="AV259" i="14"/>
  <c r="AV221" i="14"/>
  <c r="AV225" i="14"/>
  <c r="AV233" i="14"/>
  <c r="AV237" i="14"/>
  <c r="AV241" i="14"/>
  <c r="AV253" i="14"/>
  <c r="AV273" i="14"/>
  <c r="AV281" i="14"/>
  <c r="AV285" i="14"/>
  <c r="AV212" i="14"/>
  <c r="AV224" i="14"/>
  <c r="AV228" i="14"/>
  <c r="AV232" i="14"/>
  <c r="AV236" i="14"/>
  <c r="AV244" i="14"/>
  <c r="AV248" i="14"/>
  <c r="AV272" i="14"/>
  <c r="AV276" i="14"/>
  <c r="AV284" i="14"/>
  <c r="DS257" i="14" l="1"/>
  <c r="DS256" i="14"/>
  <c r="DS255" i="14"/>
  <c r="DS252" i="14"/>
  <c r="DS247" i="14"/>
  <c r="DS242" i="14" s="1"/>
  <c r="DS240" i="14"/>
  <c r="DS239" i="14"/>
  <c r="DS234" i="14"/>
  <c r="DS231" i="14"/>
  <c r="DS229" i="14"/>
  <c r="DS228" i="14"/>
  <c r="DS223" i="14"/>
  <c r="DS219" i="14"/>
  <c r="DS215" i="14"/>
  <c r="DS214" i="14"/>
  <c r="DS206" i="14"/>
  <c r="DS202" i="14"/>
  <c r="DS200" i="14"/>
  <c r="DS199" i="14"/>
  <c r="DS195" i="14" s="1"/>
  <c r="DS193" i="14"/>
  <c r="DS192" i="14"/>
  <c r="DS188" i="14"/>
  <c r="DS187" i="14"/>
  <c r="DS185" i="14"/>
  <c r="DS184" i="14"/>
  <c r="DS183" i="14"/>
  <c r="DS182" i="14"/>
  <c r="DS180" i="14"/>
  <c r="DS178" i="14"/>
  <c r="DS176" i="14"/>
  <c r="DS175" i="14"/>
  <c r="DS173" i="14"/>
  <c r="DS171" i="14"/>
  <c r="DS168" i="14"/>
  <c r="DS166" i="14"/>
  <c r="DS162" i="14"/>
  <c r="DS157" i="14"/>
  <c r="DS156" i="14"/>
  <c r="DS155" i="14"/>
  <c r="DS151" i="14" s="1"/>
  <c r="DS148" i="14"/>
  <c r="DS144" i="14"/>
  <c r="DS142" i="14"/>
  <c r="DS141" i="14"/>
  <c r="DS140" i="14"/>
  <c r="DS136" i="14"/>
  <c r="DS135" i="14"/>
  <c r="DS134" i="14"/>
  <c r="DS132" i="14"/>
  <c r="DS131" i="14"/>
  <c r="DS127" i="14"/>
  <c r="DS125" i="14"/>
  <c r="DS124" i="14"/>
  <c r="DS123" i="14"/>
  <c r="DS121" i="14"/>
  <c r="DS120" i="14"/>
  <c r="DS115" i="14"/>
  <c r="DS112" i="14"/>
  <c r="DS110" i="14"/>
  <c r="DS108" i="14"/>
  <c r="DS104" i="14"/>
  <c r="DS102" i="14"/>
  <c r="DS101" i="14"/>
  <c r="DS100" i="14"/>
  <c r="DS97" i="14"/>
  <c r="DS93" i="14"/>
  <c r="DS92" i="14"/>
  <c r="DS91" i="14"/>
  <c r="DS90" i="14"/>
  <c r="DS87" i="14"/>
  <c r="DS85" i="14"/>
  <c r="DS84" i="14"/>
  <c r="DS79" i="14" s="1"/>
  <c r="DS76" i="14"/>
  <c r="DS75" i="14"/>
  <c r="DS74" i="14"/>
  <c r="DS73" i="14"/>
  <c r="DS66" i="14"/>
  <c r="DS65" i="14"/>
  <c r="DS63" i="14"/>
  <c r="DS62" i="14"/>
  <c r="DS60" i="14"/>
  <c r="DS54" i="14"/>
  <c r="DS53" i="14"/>
  <c r="DS51" i="14"/>
  <c r="DS50" i="14"/>
  <c r="DS49" i="14"/>
  <c r="DS47" i="14"/>
  <c r="DS46" i="14"/>
  <c r="DS45" i="14"/>
  <c r="DS36" i="14"/>
  <c r="DS35" i="14"/>
  <c r="DS34" i="14"/>
  <c r="DS30" i="14"/>
  <c r="DS29" i="14"/>
  <c r="DS27" i="14"/>
  <c r="DS25" i="14"/>
  <c r="DS21" i="14"/>
  <c r="DS19" i="14"/>
  <c r="DS18" i="14"/>
  <c r="DS17" i="14"/>
  <c r="DS16" i="14"/>
  <c r="DS6" i="14"/>
  <c r="DS8" i="14" l="1"/>
  <c r="DS57" i="14"/>
  <c r="DS137" i="14"/>
  <c r="DS20" i="14"/>
  <c r="DS39" i="14"/>
  <c r="DS128" i="14"/>
  <c r="DS177" i="14"/>
  <c r="DS230" i="14"/>
  <c r="DS94" i="14"/>
  <c r="DS114" i="14"/>
  <c r="DS159" i="14"/>
  <c r="DS203" i="14"/>
  <c r="DS220" i="14"/>
  <c r="BV269" i="14" l="1"/>
  <c r="BV287" i="14"/>
  <c r="BV290" i="14"/>
  <c r="DR270" i="14"/>
  <c r="DR269" i="14"/>
  <c r="DW7" i="14"/>
  <c r="BQ287" i="14" l="1"/>
  <c r="BQ270" i="14"/>
  <c r="BQ269" i="14"/>
  <c r="BR206" i="14" l="1"/>
  <c r="CH206" i="14" l="1"/>
  <c r="CF206" i="14" s="1"/>
  <c r="CC206" i="14"/>
  <c r="CA206" i="14" s="1"/>
  <c r="BQ282" i="14"/>
  <c r="BQ281" i="14"/>
  <c r="BS101" i="14"/>
  <c r="CD101" i="14" s="1"/>
  <c r="BQ290" i="14"/>
  <c r="BV281" i="14" l="1"/>
  <c r="BS82" i="14"/>
  <c r="CD82" i="14" s="1"/>
  <c r="CA82" i="14" s="1"/>
  <c r="BQ95" i="14"/>
  <c r="CB95" i="14" s="1"/>
  <c r="CA95" i="14" s="1"/>
  <c r="BR175" i="14"/>
  <c r="CC175" i="14" s="1"/>
  <c r="CA175" i="14" s="1"/>
  <c r="BR184" i="14"/>
  <c r="CC184" i="14" s="1"/>
  <c r="BQ239" i="14" l="1"/>
  <c r="CB239" i="14" s="1"/>
  <c r="BR231" i="14"/>
  <c r="CC231" i="14" s="1"/>
  <c r="CA231" i="14" s="1"/>
  <c r="BQ101" i="14"/>
  <c r="CB101" i="14" s="1"/>
  <c r="BS65" i="14"/>
  <c r="CI65" i="14" l="1"/>
  <c r="CD65" i="14"/>
  <c r="BR178" i="14"/>
  <c r="CH178" i="14" l="1"/>
  <c r="CF178" i="14" s="1"/>
  <c r="CC178" i="14"/>
  <c r="CA178" i="14" s="1"/>
  <c r="BQ51" i="14"/>
  <c r="CB51" i="14" s="1"/>
  <c r="BR51" i="14"/>
  <c r="BR173" i="14"/>
  <c r="CC173" i="14" s="1"/>
  <c r="CA173" i="14" s="1"/>
  <c r="BB270" i="14"/>
  <c r="BB269" i="14"/>
  <c r="BL269" i="14"/>
  <c r="CG269" i="14" s="1"/>
  <c r="CF269" i="14" s="1"/>
  <c r="BR85" i="14"/>
  <c r="CC85" i="14" s="1"/>
  <c r="CA85" i="14" s="1"/>
  <c r="BR162" i="14"/>
  <c r="CH162" i="14" l="1"/>
  <c r="CF162" i="14" s="1"/>
  <c r="CC162" i="14"/>
  <c r="CA162" i="14" s="1"/>
  <c r="CH51" i="14"/>
  <c r="CC51" i="14"/>
  <c r="CA51" i="14" s="1"/>
  <c r="BL270" i="14"/>
  <c r="CG270" i="14" s="1"/>
  <c r="CF270" i="14" s="1"/>
  <c r="BS121" i="14"/>
  <c r="BR121" i="14"/>
  <c r="CC121" i="14" s="1"/>
  <c r="BQ247" i="14"/>
  <c r="CB247" i="14" s="1"/>
  <c r="BR87" i="14"/>
  <c r="CC87" i="14" s="1"/>
  <c r="CA87" i="14" s="1"/>
  <c r="CI121" i="14" l="1"/>
  <c r="CD121" i="14"/>
  <c r="CA121" i="14" s="1"/>
  <c r="BR45" i="14"/>
  <c r="CC45" i="14" s="1"/>
  <c r="CA45" i="14" s="1"/>
  <c r="BR171" i="14" l="1"/>
  <c r="CC171" i="14" s="1"/>
  <c r="CA171" i="14" s="1"/>
  <c r="BR49" i="14"/>
  <c r="CC49" i="14" s="1"/>
  <c r="CA49" i="14" s="1"/>
  <c r="AT90" i="14"/>
  <c r="AY90" i="14" s="1"/>
  <c r="BS184" i="14"/>
  <c r="CD184" i="14" s="1"/>
  <c r="CA184" i="14" s="1"/>
  <c r="DR282" i="14"/>
  <c r="DR281" i="14"/>
  <c r="BL282" i="14"/>
  <c r="CG282" i="14" s="1"/>
  <c r="CF282" i="14" s="1"/>
  <c r="BL281" i="14"/>
  <c r="CG281" i="14" s="1"/>
  <c r="CF281" i="14" s="1"/>
  <c r="BR62" i="14"/>
  <c r="CC62" i="14" s="1"/>
  <c r="CA62" i="14" s="1"/>
  <c r="BB282" i="14"/>
  <c r="BB281" i="14"/>
  <c r="DW101" i="14"/>
  <c r="DR101" i="14"/>
  <c r="BL101" i="14"/>
  <c r="CG101" i="14" s="1"/>
  <c r="BB101" i="14"/>
  <c r="BR92" i="14" l="1"/>
  <c r="CC92" i="14" s="1"/>
  <c r="CA92" i="14" s="1"/>
  <c r="BR46" i="14"/>
  <c r="CC46" i="14" s="1"/>
  <c r="CA46" i="14" s="1"/>
  <c r="DR290" i="14"/>
  <c r="BL290" i="14"/>
  <c r="CG290" i="14" s="1"/>
  <c r="CF290" i="14" s="1"/>
  <c r="BB290" i="14"/>
  <c r="BR240" i="14"/>
  <c r="CC240" i="14" s="1"/>
  <c r="CA240" i="14" s="1"/>
  <c r="AS240" i="14"/>
  <c r="AX240" i="14" s="1"/>
  <c r="AV240" i="14" s="1"/>
  <c r="BL239" i="14"/>
  <c r="CG239" i="14" s="1"/>
  <c r="BB239" i="14"/>
  <c r="BR84" i="14" l="1"/>
  <c r="CC84" i="14" s="1"/>
  <c r="CA84" i="14" s="1"/>
  <c r="BR53" i="14" l="1"/>
  <c r="CH53" i="14" l="1"/>
  <c r="CF53" i="14" s="1"/>
  <c r="CC53" i="14"/>
  <c r="CA53" i="14" s="1"/>
  <c r="BS74" i="14"/>
  <c r="BR215" i="14"/>
  <c r="CC215" i="14" s="1"/>
  <c r="CA215" i="14" s="1"/>
  <c r="BR123" i="14"/>
  <c r="CC123" i="14" s="1"/>
  <c r="CA123" i="14" s="1"/>
  <c r="BS7" i="14"/>
  <c r="CD7" i="14" s="1"/>
  <c r="BR66" i="14"/>
  <c r="CC66" i="14" s="1"/>
  <c r="CA66" i="14" s="1"/>
  <c r="CI74" i="14" l="1"/>
  <c r="CD74" i="14"/>
  <c r="DR95" i="14"/>
  <c r="DW95" i="14"/>
  <c r="BL95" i="14"/>
  <c r="CG95" i="14" s="1"/>
  <c r="CF95" i="14" s="1"/>
  <c r="BB95" i="14"/>
  <c r="S312" i="14" l="1"/>
  <c r="R312" i="14"/>
  <c r="Q312" i="14"/>
  <c r="S311" i="14"/>
  <c r="R311" i="14"/>
  <c r="Q311" i="14"/>
  <c r="S310" i="14"/>
  <c r="R310" i="14"/>
  <c r="DR287" i="14"/>
  <c r="BL287" i="14"/>
  <c r="CG287" i="14" s="1"/>
  <c r="CF287" i="14" s="1"/>
  <c r="BB287" i="14"/>
  <c r="DW51" i="14"/>
  <c r="DR51" i="14"/>
  <c r="BL51" i="14"/>
  <c r="CG51" i="14" s="1"/>
  <c r="CF51" i="14" s="1"/>
  <c r="BB51" i="14"/>
  <c r="BS124" i="14" l="1"/>
  <c r="CD124" i="14" s="1"/>
  <c r="BS169" i="14" l="1"/>
  <c r="CD169" i="14" s="1"/>
  <c r="CA169" i="14" s="1"/>
  <c r="BS48" i="14" l="1"/>
  <c r="CD48" i="14" s="1"/>
  <c r="CA48" i="14" s="1"/>
  <c r="BR200" i="14" l="1"/>
  <c r="BR199" i="14"/>
  <c r="CC199" i="14" s="1"/>
  <c r="CA199" i="14" s="1"/>
  <c r="BR257" i="14"/>
  <c r="CC257" i="14" s="1"/>
  <c r="CA257" i="14" s="1"/>
  <c r="BR256" i="14"/>
  <c r="CC256" i="14" s="1"/>
  <c r="CA256" i="14" s="1"/>
  <c r="BR252" i="14"/>
  <c r="CC252" i="14" s="1"/>
  <c r="CA252" i="14" s="1"/>
  <c r="BR134" i="14"/>
  <c r="CC134" i="14" s="1"/>
  <c r="CA134" i="14" s="1"/>
  <c r="BR136" i="14"/>
  <c r="CC136" i="14" s="1"/>
  <c r="CA136" i="14" s="1"/>
  <c r="BR157" i="14"/>
  <c r="CC157" i="14" s="1"/>
  <c r="CA157" i="14" s="1"/>
  <c r="BR34" i="14"/>
  <c r="CC34" i="14" s="1"/>
  <c r="CA34" i="14" s="1"/>
  <c r="BR168" i="14"/>
  <c r="CC168" i="14" s="1"/>
  <c r="CA168" i="14" s="1"/>
  <c r="BR176" i="14"/>
  <c r="CC176" i="14" s="1"/>
  <c r="CA176" i="14" s="1"/>
  <c r="BR124" i="14"/>
  <c r="CC124" i="14" s="1"/>
  <c r="CA124" i="14" s="1"/>
  <c r="BR185" i="14"/>
  <c r="R192" i="14"/>
  <c r="BR192" i="14"/>
  <c r="S257" i="14"/>
  <c r="S256" i="14"/>
  <c r="S255" i="14"/>
  <c r="S254" i="14"/>
  <c r="S253" i="14"/>
  <c r="S252" i="14"/>
  <c r="S251" i="14"/>
  <c r="S250" i="14"/>
  <c r="S249" i="14"/>
  <c r="S248" i="14"/>
  <c r="S247" i="14"/>
  <c r="S246" i="14"/>
  <c r="S244" i="14"/>
  <c r="S243" i="14"/>
  <c r="S241" i="14"/>
  <c r="S240" i="14"/>
  <c r="S239" i="14"/>
  <c r="S238" i="14"/>
  <c r="S237" i="14"/>
  <c r="S236" i="14"/>
  <c r="S235" i="14"/>
  <c r="S234" i="14"/>
  <c r="S233" i="14"/>
  <c r="S232" i="14"/>
  <c r="S231" i="14"/>
  <c r="S229" i="14"/>
  <c r="S228" i="14"/>
  <c r="S227" i="14"/>
  <c r="S226" i="14"/>
  <c r="S225" i="14"/>
  <c r="S224" i="14"/>
  <c r="S223" i="14"/>
  <c r="S222" i="14"/>
  <c r="S221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5" i="14"/>
  <c r="S204" i="14"/>
  <c r="S202" i="14"/>
  <c r="S201" i="14"/>
  <c r="S200" i="14"/>
  <c r="S199" i="14"/>
  <c r="S198" i="14"/>
  <c r="S197" i="14"/>
  <c r="S196" i="14"/>
  <c r="S194" i="14"/>
  <c r="S193" i="14"/>
  <c r="S192" i="14"/>
  <c r="S191" i="14"/>
  <c r="S190" i="14"/>
  <c r="S189" i="14"/>
  <c r="S188" i="14"/>
  <c r="S187" i="14"/>
  <c r="S186" i="14"/>
  <c r="S185" i="14"/>
  <c r="S183" i="14"/>
  <c r="S182" i="14"/>
  <c r="S181" i="14"/>
  <c r="S180" i="14"/>
  <c r="S179" i="14"/>
  <c r="S178" i="14"/>
  <c r="S176" i="14"/>
  <c r="S175" i="14"/>
  <c r="S174" i="14"/>
  <c r="S173" i="14"/>
  <c r="S172" i="14"/>
  <c r="S171" i="14"/>
  <c r="S170" i="14"/>
  <c r="S168" i="14"/>
  <c r="S167" i="14"/>
  <c r="S166" i="14"/>
  <c r="S165" i="14"/>
  <c r="S164" i="14"/>
  <c r="S163" i="14"/>
  <c r="S162" i="14"/>
  <c r="S161" i="14"/>
  <c r="S160" i="14"/>
  <c r="S158" i="14"/>
  <c r="S157" i="14"/>
  <c r="S156" i="14"/>
  <c r="S155" i="14"/>
  <c r="S154" i="14"/>
  <c r="S153" i="14"/>
  <c r="S152" i="14"/>
  <c r="S150" i="14"/>
  <c r="S149" i="14"/>
  <c r="S148" i="14"/>
  <c r="S147" i="14"/>
  <c r="S146" i="14"/>
  <c r="S145" i="14"/>
  <c r="S144" i="14"/>
  <c r="S143" i="14"/>
  <c r="S142" i="14"/>
  <c r="S140" i="14"/>
  <c r="S139" i="14"/>
  <c r="S138" i="14"/>
  <c r="S136" i="14"/>
  <c r="S135" i="14"/>
  <c r="S134" i="14"/>
  <c r="S132" i="14"/>
  <c r="S131" i="14"/>
  <c r="S130" i="14"/>
  <c r="S129" i="14"/>
  <c r="S127" i="14"/>
  <c r="S126" i="14"/>
  <c r="S125" i="14"/>
  <c r="S123" i="14"/>
  <c r="S122" i="14"/>
  <c r="S121" i="14"/>
  <c r="S120" i="14"/>
  <c r="S119" i="14"/>
  <c r="S118" i="14"/>
  <c r="S117" i="14"/>
  <c r="S116" i="14"/>
  <c r="S115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0" i="14"/>
  <c r="S99" i="14"/>
  <c r="S98" i="14"/>
  <c r="S97" i="14"/>
  <c r="S96" i="14"/>
  <c r="S95" i="14"/>
  <c r="S93" i="14"/>
  <c r="S92" i="14"/>
  <c r="S91" i="14"/>
  <c r="S88" i="14"/>
  <c r="S87" i="14"/>
  <c r="S86" i="14"/>
  <c r="S85" i="14"/>
  <c r="S84" i="14"/>
  <c r="S83" i="14"/>
  <c r="S81" i="14"/>
  <c r="S80" i="14"/>
  <c r="S78" i="14"/>
  <c r="S77" i="14"/>
  <c r="S76" i="14"/>
  <c r="S75" i="14"/>
  <c r="S74" i="14"/>
  <c r="S73" i="14"/>
  <c r="S72" i="14"/>
  <c r="S71" i="14"/>
  <c r="S70" i="14"/>
  <c r="S69" i="14"/>
  <c r="S68" i="14"/>
  <c r="S67" i="14"/>
  <c r="S66" i="14"/>
  <c r="S65" i="14"/>
  <c r="S64" i="14"/>
  <c r="S63" i="14"/>
  <c r="S62" i="14"/>
  <c r="S61" i="14"/>
  <c r="S60" i="14"/>
  <c r="S59" i="14"/>
  <c r="S58" i="14"/>
  <c r="S56" i="14"/>
  <c r="S55" i="14"/>
  <c r="S53" i="14"/>
  <c r="S52" i="14"/>
  <c r="S51" i="14"/>
  <c r="S50" i="14"/>
  <c r="S49" i="14"/>
  <c r="S47" i="14"/>
  <c r="S46" i="14"/>
  <c r="S45" i="14"/>
  <c r="S44" i="14"/>
  <c r="S43" i="14"/>
  <c r="S42" i="14"/>
  <c r="S41" i="14"/>
  <c r="S40" i="14"/>
  <c r="S38" i="14"/>
  <c r="S37" i="14"/>
  <c r="S36" i="14"/>
  <c r="S35" i="14"/>
  <c r="S34" i="14"/>
  <c r="S33" i="14"/>
  <c r="S32" i="14"/>
  <c r="S31" i="14"/>
  <c r="S30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S13" i="14"/>
  <c r="S12" i="14"/>
  <c r="S11" i="14"/>
  <c r="S10" i="14"/>
  <c r="S9" i="14"/>
  <c r="R254" i="14"/>
  <c r="R253" i="14"/>
  <c r="R251" i="14"/>
  <c r="R250" i="14"/>
  <c r="R248" i="14"/>
  <c r="R244" i="14"/>
  <c r="R243" i="14"/>
  <c r="R241" i="14"/>
  <c r="R238" i="14"/>
  <c r="R237" i="14"/>
  <c r="R236" i="14"/>
  <c r="R235" i="14"/>
  <c r="R233" i="14"/>
  <c r="R232" i="14"/>
  <c r="R226" i="14"/>
  <c r="R225" i="14"/>
  <c r="R224" i="14"/>
  <c r="R222" i="14"/>
  <c r="R221" i="14"/>
  <c r="R212" i="14"/>
  <c r="R208" i="14"/>
  <c r="R207" i="14"/>
  <c r="R206" i="14"/>
  <c r="R205" i="14"/>
  <c r="R204" i="14"/>
  <c r="R201" i="14"/>
  <c r="R200" i="14"/>
  <c r="R198" i="14"/>
  <c r="R197" i="14"/>
  <c r="R196" i="14"/>
  <c r="R194" i="14"/>
  <c r="R191" i="14"/>
  <c r="R186" i="14"/>
  <c r="R185" i="14"/>
  <c r="R181" i="14"/>
  <c r="R179" i="14"/>
  <c r="R178" i="14"/>
  <c r="R174" i="14"/>
  <c r="R172" i="14"/>
  <c r="R169" i="14"/>
  <c r="R167" i="14"/>
  <c r="R164" i="14"/>
  <c r="R163" i="14"/>
  <c r="R162" i="14"/>
  <c r="R161" i="14"/>
  <c r="R158" i="14"/>
  <c r="R154" i="14"/>
  <c r="R153" i="14"/>
  <c r="R152" i="14"/>
  <c r="R150" i="14"/>
  <c r="R149" i="14"/>
  <c r="R147" i="14"/>
  <c r="R146" i="14"/>
  <c r="R145" i="14"/>
  <c r="R139" i="14"/>
  <c r="R138" i="14"/>
  <c r="R133" i="14"/>
  <c r="R130" i="14"/>
  <c r="R129" i="14"/>
  <c r="R122" i="14"/>
  <c r="R118" i="14"/>
  <c r="R117" i="14"/>
  <c r="R116" i="14"/>
  <c r="R113" i="14"/>
  <c r="R111" i="14"/>
  <c r="R109" i="14"/>
  <c r="R106" i="14"/>
  <c r="R105" i="14"/>
  <c r="R103" i="14"/>
  <c r="R98" i="14"/>
  <c r="R96" i="14"/>
  <c r="R95" i="14"/>
  <c r="R89" i="14"/>
  <c r="R86" i="14"/>
  <c r="R83" i="14"/>
  <c r="R81" i="14"/>
  <c r="R80" i="14"/>
  <c r="R78" i="14"/>
  <c r="R77" i="14"/>
  <c r="R72" i="14"/>
  <c r="R71" i="14"/>
  <c r="R70" i="14"/>
  <c r="R69" i="14"/>
  <c r="R68" i="14"/>
  <c r="R67" i="14"/>
  <c r="R64" i="14"/>
  <c r="R61" i="14"/>
  <c r="R59" i="14"/>
  <c r="R58" i="14"/>
  <c r="R55" i="14"/>
  <c r="R53" i="14"/>
  <c r="R51" i="14"/>
  <c r="R48" i="14"/>
  <c r="R43" i="14"/>
  <c r="R41" i="14"/>
  <c r="R40" i="14"/>
  <c r="R38" i="14"/>
  <c r="R37" i="14"/>
  <c r="R28" i="14"/>
  <c r="R26" i="14"/>
  <c r="R24" i="14"/>
  <c r="R22" i="14"/>
  <c r="R15" i="14"/>
  <c r="R13" i="14"/>
  <c r="R12" i="14"/>
  <c r="R11" i="14"/>
  <c r="R10" i="14"/>
  <c r="R9" i="14"/>
  <c r="Q257" i="14"/>
  <c r="Q256" i="14"/>
  <c r="Q255" i="14"/>
  <c r="Q254" i="14"/>
  <c r="Q253" i="14"/>
  <c r="Q252" i="14"/>
  <c r="Q251" i="14"/>
  <c r="Q250" i="14"/>
  <c r="Q249" i="14"/>
  <c r="Q248" i="14"/>
  <c r="Q246" i="14"/>
  <c r="Q245" i="14"/>
  <c r="Q244" i="14"/>
  <c r="Q243" i="14"/>
  <c r="Q241" i="14"/>
  <c r="Q240" i="14"/>
  <c r="Q239" i="14"/>
  <c r="Q238" i="14"/>
  <c r="Q237" i="14"/>
  <c r="Q236" i="14"/>
  <c r="Q235" i="14"/>
  <c r="Q234" i="14"/>
  <c r="Q233" i="14"/>
  <c r="Q232" i="14"/>
  <c r="Q231" i="14"/>
  <c r="Q229" i="14"/>
  <c r="Q228" i="14"/>
  <c r="Q227" i="14"/>
  <c r="Q226" i="14"/>
  <c r="Q225" i="14"/>
  <c r="Q224" i="14"/>
  <c r="Q223" i="14"/>
  <c r="Q222" i="14"/>
  <c r="Q221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5" i="14"/>
  <c r="Q204" i="14"/>
  <c r="Q202" i="14"/>
  <c r="Q201" i="14"/>
  <c r="Q200" i="14"/>
  <c r="Q199" i="14"/>
  <c r="Q198" i="14"/>
  <c r="Q197" i="14"/>
  <c r="Q196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6" i="14"/>
  <c r="Q175" i="14"/>
  <c r="Q174" i="14"/>
  <c r="Q173" i="14"/>
  <c r="Q172" i="14"/>
  <c r="Q171" i="14"/>
  <c r="Q170" i="14"/>
  <c r="Q169" i="14"/>
  <c r="Q168" i="14"/>
  <c r="Q167" i="14"/>
  <c r="Q166" i="14"/>
  <c r="Q165" i="14"/>
  <c r="Q164" i="14"/>
  <c r="Q163" i="14"/>
  <c r="Q162" i="14"/>
  <c r="Q161" i="14"/>
  <c r="Q160" i="14"/>
  <c r="Q158" i="14"/>
  <c r="Q157" i="14"/>
  <c r="Q156" i="14"/>
  <c r="Q155" i="14"/>
  <c r="Q154" i="14"/>
  <c r="Q153" i="14"/>
  <c r="Q152" i="14"/>
  <c r="Q150" i="14"/>
  <c r="Q149" i="14"/>
  <c r="Q148" i="14"/>
  <c r="Q147" i="14"/>
  <c r="Q146" i="14"/>
  <c r="Q145" i="14"/>
  <c r="Q144" i="14"/>
  <c r="Q143" i="14"/>
  <c r="Q142" i="14"/>
  <c r="Q141" i="14"/>
  <c r="Q140" i="14"/>
  <c r="Q139" i="14"/>
  <c r="Q138" i="14"/>
  <c r="Q136" i="14"/>
  <c r="Q135" i="14"/>
  <c r="Q134" i="14"/>
  <c r="Q133" i="14"/>
  <c r="Q132" i="14"/>
  <c r="Q131" i="14"/>
  <c r="Q130" i="14"/>
  <c r="Q129" i="14"/>
  <c r="Q127" i="14"/>
  <c r="Q126" i="14"/>
  <c r="Q125" i="14"/>
  <c r="Q124" i="14"/>
  <c r="Q123" i="14"/>
  <c r="Q122" i="14"/>
  <c r="Q121" i="14"/>
  <c r="Q120" i="14"/>
  <c r="Q119" i="14"/>
  <c r="Q118" i="14"/>
  <c r="Q117" i="14"/>
  <c r="Q116" i="14"/>
  <c r="Q115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5" i="14"/>
  <c r="Q93" i="14"/>
  <c r="Q92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8" i="14"/>
  <c r="Q77" i="14"/>
  <c r="Q76" i="14"/>
  <c r="Q75" i="14"/>
  <c r="Q74" i="14"/>
  <c r="Q73" i="14"/>
  <c r="Q72" i="14"/>
  <c r="Q71" i="14"/>
  <c r="Q70" i="14"/>
  <c r="Q69" i="14"/>
  <c r="Q68" i="14"/>
  <c r="Q67" i="14"/>
  <c r="Q66" i="14"/>
  <c r="Q65" i="14"/>
  <c r="Q64" i="14"/>
  <c r="Q63" i="14"/>
  <c r="Q62" i="14"/>
  <c r="Q61" i="14"/>
  <c r="Q60" i="14"/>
  <c r="Q59" i="14"/>
  <c r="Q58" i="14"/>
  <c r="Q56" i="14"/>
  <c r="Q55" i="14"/>
  <c r="Q54" i="14"/>
  <c r="Q53" i="14"/>
  <c r="Q52" i="14"/>
  <c r="Q51" i="14"/>
  <c r="Q50" i="14"/>
  <c r="Q49" i="14"/>
  <c r="Q48" i="14"/>
  <c r="Q47" i="14"/>
  <c r="Q46" i="14"/>
  <c r="Q45" i="14"/>
  <c r="Q44" i="14"/>
  <c r="Q43" i="14"/>
  <c r="Q42" i="14"/>
  <c r="Q41" i="14"/>
  <c r="Q40" i="14"/>
  <c r="Q38" i="14"/>
  <c r="Q37" i="14"/>
  <c r="Q36" i="14"/>
  <c r="Q35" i="14"/>
  <c r="Q34" i="14"/>
  <c r="Q33" i="14"/>
  <c r="Q32" i="14"/>
  <c r="Q31" i="14"/>
  <c r="Q30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6" i="14"/>
  <c r="Q15" i="14"/>
  <c r="Q14" i="14"/>
  <c r="Q13" i="14"/>
  <c r="Q12" i="14"/>
  <c r="Q11" i="14"/>
  <c r="Q10" i="14"/>
  <c r="Q9" i="14"/>
  <c r="BR47" i="14"/>
  <c r="CC47" i="14" s="1"/>
  <c r="CA47" i="14" s="1"/>
  <c r="BR54" i="14"/>
  <c r="CC54" i="14" s="1"/>
  <c r="BR74" i="14"/>
  <c r="CC74" i="14" s="1"/>
  <c r="CA74" i="14" s="1"/>
  <c r="BR93" i="14"/>
  <c r="CC93" i="14" s="1"/>
  <c r="CA93" i="14" s="1"/>
  <c r="CH192" i="14" l="1"/>
  <c r="CF192" i="14" s="1"/>
  <c r="CC192" i="14"/>
  <c r="CA192" i="14" s="1"/>
  <c r="CH185" i="14"/>
  <c r="CF185" i="14" s="1"/>
  <c r="CC185" i="14"/>
  <c r="CA185" i="14" s="1"/>
  <c r="CH200" i="14"/>
  <c r="CF200" i="14" s="1"/>
  <c r="CC200" i="14"/>
  <c r="CA200" i="14" s="1"/>
  <c r="DW247" i="14"/>
  <c r="DR247" i="14"/>
  <c r="BL247" i="14"/>
  <c r="BB247" i="14"/>
  <c r="Q247" i="14" l="1"/>
  <c r="CG247" i="14"/>
  <c r="BR229" i="14"/>
  <c r="CC229" i="14" s="1"/>
  <c r="CA229" i="14" s="1"/>
  <c r="BS245" i="14" l="1"/>
  <c r="S245" i="14" l="1"/>
  <c r="CI245" i="14"/>
  <c r="CD245" i="14"/>
  <c r="CA245" i="14" s="1"/>
  <c r="BR125" i="14"/>
  <c r="CC125" i="14" s="1"/>
  <c r="CA125" i="14" s="1"/>
  <c r="BU7" i="14"/>
  <c r="BP95" i="14"/>
  <c r="BQ7" i="14"/>
  <c r="Q7" i="14" l="1"/>
  <c r="CG7" i="14"/>
  <c r="CB7" i="14"/>
  <c r="CA7" i="14" s="1"/>
  <c r="BR135" i="14"/>
  <c r="CC135" i="14" s="1"/>
  <c r="CA135" i="14" s="1"/>
  <c r="BR110" i="14"/>
  <c r="BR73" i="14"/>
  <c r="CC73" i="14" s="1"/>
  <c r="CA73" i="14" s="1"/>
  <c r="R110" i="14" l="1"/>
  <c r="CH110" i="14"/>
  <c r="CF110" i="14" s="1"/>
  <c r="CC110" i="14"/>
  <c r="CA110" i="14" s="1"/>
  <c r="BS89" i="14"/>
  <c r="S89" i="14" l="1"/>
  <c r="CI89" i="14"/>
  <c r="CF89" i="14" s="1"/>
  <c r="CD89" i="14"/>
  <c r="CA89" i="14" s="1"/>
  <c r="BR101" i="14"/>
  <c r="CC101" i="14" s="1"/>
  <c r="CA101" i="14" s="1"/>
  <c r="BR65" i="14" l="1"/>
  <c r="CC65" i="14" s="1"/>
  <c r="CA65" i="14" s="1"/>
  <c r="BR183" i="14" l="1"/>
  <c r="CC183" i="14" s="1"/>
  <c r="CA183" i="14" s="1"/>
  <c r="BR188" i="14" l="1"/>
  <c r="DT54" i="14"/>
  <c r="R188" i="14" l="1"/>
  <c r="CH188" i="14"/>
  <c r="CF188" i="14" s="1"/>
  <c r="CC188" i="14"/>
  <c r="CA188" i="14" s="1"/>
  <c r="BR76" i="14"/>
  <c r="R76" i="14" l="1"/>
  <c r="CH76" i="14"/>
  <c r="CF76" i="14" s="1"/>
  <c r="CC76" i="14"/>
  <c r="CA76" i="14" s="1"/>
  <c r="BR247" i="14"/>
  <c r="CC247" i="14" s="1"/>
  <c r="CA247" i="14" s="1"/>
  <c r="BS54" i="14" l="1"/>
  <c r="CD54" i="14" s="1"/>
  <c r="CA54" i="14" s="1"/>
  <c r="BR120" i="14" l="1"/>
  <c r="CC120" i="14" s="1"/>
  <c r="CA120" i="14" s="1"/>
  <c r="BR115" i="14"/>
  <c r="CC115" i="14" s="1"/>
  <c r="CA115" i="14" s="1"/>
  <c r="BR36" i="14"/>
  <c r="BR193" i="14"/>
  <c r="CC193" i="14" s="1"/>
  <c r="CA193" i="14" s="1"/>
  <c r="R36" i="14" l="1"/>
  <c r="CH36" i="14"/>
  <c r="CF36" i="14" s="1"/>
  <c r="CC36" i="14"/>
  <c r="CA36" i="14" s="1"/>
  <c r="BR156" i="14"/>
  <c r="CC156" i="14" s="1"/>
  <c r="CA156" i="14" s="1"/>
  <c r="BR234" i="14" l="1"/>
  <c r="CC234" i="14" s="1"/>
  <c r="CA234" i="14" s="1"/>
  <c r="BR187" i="14"/>
  <c r="CC187" i="14" s="1"/>
  <c r="CA187" i="14" s="1"/>
  <c r="BR50" i="14"/>
  <c r="CC50" i="14" s="1"/>
  <c r="CA50" i="14" s="1"/>
  <c r="BM371" i="14" l="1"/>
  <c r="BO371" i="14"/>
  <c r="DX203" i="14" l="1"/>
  <c r="DX177" i="14"/>
  <c r="BR75" i="14" l="1"/>
  <c r="CC75" i="14" s="1"/>
  <c r="CA75" i="14" s="1"/>
  <c r="BR100" i="14" l="1"/>
  <c r="DT141" i="14"/>
  <c r="DT133" i="14"/>
  <c r="DT90" i="14"/>
  <c r="BR214" i="14"/>
  <c r="R214" i="14" l="1"/>
  <c r="CH214" i="14"/>
  <c r="CF214" i="14" s="1"/>
  <c r="CC214" i="14"/>
  <c r="CA214" i="14" s="1"/>
  <c r="R100" i="14"/>
  <c r="CH100" i="14"/>
  <c r="CF100" i="14" s="1"/>
  <c r="CC100" i="14"/>
  <c r="CA100" i="14" s="1"/>
  <c r="BR228" i="14"/>
  <c r="R228" i="14" l="1"/>
  <c r="CH228" i="14"/>
  <c r="CF228" i="14" s="1"/>
  <c r="CC228" i="14"/>
  <c r="CA228" i="14" s="1"/>
  <c r="BR223" i="14"/>
  <c r="CC223" i="14" s="1"/>
  <c r="CA223" i="14" s="1"/>
  <c r="BS90" i="14" l="1"/>
  <c r="CD90" i="14" s="1"/>
  <c r="BR142" i="14"/>
  <c r="BR90" i="14"/>
  <c r="CC90" i="14" s="1"/>
  <c r="BR19" i="14"/>
  <c r="CC19" i="14" s="1"/>
  <c r="CA19" i="14" s="1"/>
  <c r="R142" i="14" l="1"/>
  <c r="CH142" i="14"/>
  <c r="CF142" i="14" s="1"/>
  <c r="CC142" i="14"/>
  <c r="CA142" i="14" s="1"/>
  <c r="CA90" i="14"/>
  <c r="BR112" i="14"/>
  <c r="CC112" i="14" s="1"/>
  <c r="CA112" i="14" s="1"/>
  <c r="BQ310" i="14"/>
  <c r="BR140" i="14"/>
  <c r="CC140" i="14" s="1"/>
  <c r="CA140" i="14" s="1"/>
  <c r="BR144" i="14"/>
  <c r="CC144" i="14" s="1"/>
  <c r="CA144" i="14" s="1"/>
  <c r="BR60" i="14"/>
  <c r="CC60" i="14" s="1"/>
  <c r="CA60" i="14" s="1"/>
  <c r="Q310" i="14" l="1"/>
  <c r="CG310" i="14"/>
  <c r="CF310" i="14" s="1"/>
  <c r="BR104" i="14"/>
  <c r="CC104" i="14" s="1"/>
  <c r="CA104" i="14" s="1"/>
  <c r="BR17" i="14"/>
  <c r="R17" i="14" l="1"/>
  <c r="CH17" i="14"/>
  <c r="CF17" i="14" s="1"/>
  <c r="CC17" i="14"/>
  <c r="CA17" i="14" s="1"/>
  <c r="BR155" i="14"/>
  <c r="CC155" i="14" s="1"/>
  <c r="CA155" i="14" s="1"/>
  <c r="V312" i="14"/>
  <c r="V311" i="14"/>
  <c r="BS133" i="14"/>
  <c r="BR166" i="14"/>
  <c r="BR239" i="14"/>
  <c r="CC239" i="14" s="1"/>
  <c r="CA239" i="14" s="1"/>
  <c r="BR91" i="14"/>
  <c r="CC91" i="14" s="1"/>
  <c r="CA91" i="14" s="1"/>
  <c r="R166" i="14" l="1"/>
  <c r="CH166" i="14"/>
  <c r="CF166" i="14" s="1"/>
  <c r="CC166" i="14"/>
  <c r="CA166" i="14" s="1"/>
  <c r="S133" i="14"/>
  <c r="CI133" i="14"/>
  <c r="CF133" i="14" s="1"/>
  <c r="CD133" i="14"/>
  <c r="CA133" i="14" s="1"/>
  <c r="BR131" i="14"/>
  <c r="BR219" i="14"/>
  <c r="CC219" i="14" s="1"/>
  <c r="CA219" i="14" s="1"/>
  <c r="BR127" i="14"/>
  <c r="CC127" i="14" s="1"/>
  <c r="CA127" i="14" s="1"/>
  <c r="BR180" i="14"/>
  <c r="R180" i="14" l="1"/>
  <c r="CH180" i="14"/>
  <c r="CF180" i="14" s="1"/>
  <c r="CC180" i="14"/>
  <c r="CA180" i="14" s="1"/>
  <c r="R131" i="14"/>
  <c r="CH131" i="14"/>
  <c r="CF131" i="14" s="1"/>
  <c r="CC131" i="14"/>
  <c r="CA131" i="14" s="1"/>
  <c r="BR16" i="14"/>
  <c r="BR25" i="14"/>
  <c r="CC25" i="14" s="1"/>
  <c r="CA25" i="14" s="1"/>
  <c r="BP16" i="14" l="1"/>
  <c r="CC16" i="14"/>
  <c r="CA16" i="14" s="1"/>
  <c r="BR35" i="14"/>
  <c r="CC35" i="14" s="1"/>
  <c r="CA35" i="14" s="1"/>
  <c r="BN48" i="14" l="1"/>
  <c r="BD48" i="14"/>
  <c r="AT48" i="14"/>
  <c r="AY48" i="14" s="1"/>
  <c r="AV48" i="14" s="1"/>
  <c r="S48" i="14" l="1"/>
  <c r="CI48" i="14"/>
  <c r="CF48" i="14" s="1"/>
  <c r="BN124" i="14"/>
  <c r="BD124" i="14"/>
  <c r="AT124" i="14"/>
  <c r="AY124" i="14" s="1"/>
  <c r="BN54" i="14"/>
  <c r="BD54" i="14"/>
  <c r="AT54" i="14"/>
  <c r="AY54" i="14" s="1"/>
  <c r="S54" i="14" l="1"/>
  <c r="CI54" i="14"/>
  <c r="S124" i="14"/>
  <c r="CI124" i="14"/>
  <c r="BN90" i="14"/>
  <c r="BD90" i="14"/>
  <c r="BN184" i="14"/>
  <c r="BD184" i="14"/>
  <c r="AT184" i="14"/>
  <c r="AY184" i="14" s="1"/>
  <c r="S184" i="14" l="1"/>
  <c r="CI184" i="14"/>
  <c r="S90" i="14"/>
  <c r="CI90" i="14"/>
  <c r="AR270" i="14"/>
  <c r="AR269" i="14"/>
  <c r="BR148" i="14" l="1"/>
  <c r="CC148" i="14" s="1"/>
  <c r="CA148" i="14" s="1"/>
  <c r="BR132" i="14"/>
  <c r="CC132" i="14" s="1"/>
  <c r="CA132" i="14" s="1"/>
  <c r="BR108" i="14"/>
  <c r="CC108" i="14" s="1"/>
  <c r="CA108" i="14" s="1"/>
  <c r="BR29" i="14"/>
  <c r="CC29" i="14" s="1"/>
  <c r="CA29" i="14" s="1"/>
  <c r="BR21" i="14"/>
  <c r="CC21" i="14" s="1"/>
  <c r="CA21" i="14" s="1"/>
  <c r="BR30" i="14"/>
  <c r="BR63" i="14"/>
  <c r="CC63" i="14" s="1"/>
  <c r="CA63" i="14" s="1"/>
  <c r="R30" i="14" l="1"/>
  <c r="CH30" i="14"/>
  <c r="CF30" i="14" s="1"/>
  <c r="CC30" i="14"/>
  <c r="CA30" i="14" s="1"/>
  <c r="BS141" i="14"/>
  <c r="S141" i="14" l="1"/>
  <c r="CI141" i="14"/>
  <c r="CD141" i="14"/>
  <c r="BR102" i="14"/>
  <c r="CC102" i="14" s="1"/>
  <c r="CA102" i="14" s="1"/>
  <c r="BR97" i="14"/>
  <c r="CC97" i="14" s="1"/>
  <c r="CA97" i="14" s="1"/>
  <c r="BR141" i="14"/>
  <c r="CC141" i="14" s="1"/>
  <c r="CA141" i="14" l="1"/>
  <c r="BR182" i="14"/>
  <c r="CC182" i="14" s="1"/>
  <c r="CA182" i="14" s="1"/>
  <c r="BR27" i="14"/>
  <c r="CC27" i="14" s="1"/>
  <c r="CA27" i="14" s="1"/>
  <c r="BR18" i="14"/>
  <c r="CC18" i="14" s="1"/>
  <c r="CA18" i="14" s="1"/>
  <c r="BR202" i="14"/>
  <c r="R202" i="14" l="1"/>
  <c r="CH202" i="14"/>
  <c r="CF202" i="14" s="1"/>
  <c r="CC202" i="14"/>
  <c r="CA202" i="14" s="1"/>
  <c r="BM62" i="14"/>
  <c r="BC62" i="14"/>
  <c r="AS62" i="14"/>
  <c r="AX62" i="14" s="1"/>
  <c r="AV62" i="14" s="1"/>
  <c r="BM215" i="14"/>
  <c r="BC215" i="14"/>
  <c r="AS215" i="14"/>
  <c r="AX215" i="14" s="1"/>
  <c r="AV215" i="14" s="1"/>
  <c r="BM50" i="14"/>
  <c r="BC50" i="14"/>
  <c r="AS50" i="14"/>
  <c r="AX50" i="14" s="1"/>
  <c r="AV50" i="14" s="1"/>
  <c r="BM231" i="14"/>
  <c r="BC231" i="14"/>
  <c r="AS231" i="14"/>
  <c r="AX231" i="14" s="1"/>
  <c r="AV231" i="14" s="1"/>
  <c r="BM73" i="14"/>
  <c r="BC73" i="14"/>
  <c r="AS73" i="14"/>
  <c r="AX73" i="14" s="1"/>
  <c r="AV73" i="14" s="1"/>
  <c r="R73" i="14" l="1"/>
  <c r="CH73" i="14"/>
  <c r="CF73" i="14" s="1"/>
  <c r="R50" i="14"/>
  <c r="CH50" i="14"/>
  <c r="CF50" i="14" s="1"/>
  <c r="R62" i="14"/>
  <c r="CH62" i="14"/>
  <c r="CF62" i="14" s="1"/>
  <c r="R231" i="14"/>
  <c r="CH231" i="14"/>
  <c r="CF231" i="14" s="1"/>
  <c r="R215" i="14"/>
  <c r="CH215" i="14"/>
  <c r="CF215" i="14" s="1"/>
  <c r="BM156" i="14"/>
  <c r="BC156" i="14"/>
  <c r="AS156" i="14"/>
  <c r="AX156" i="14" s="1"/>
  <c r="AV156" i="14" s="1"/>
  <c r="BM85" i="14"/>
  <c r="BC85" i="14"/>
  <c r="AS85" i="14"/>
  <c r="AX85" i="14" s="1"/>
  <c r="AV85" i="14" s="1"/>
  <c r="R85" i="14" l="1"/>
  <c r="CH85" i="14"/>
  <c r="CF85" i="14" s="1"/>
  <c r="R156" i="14"/>
  <c r="CH156" i="14"/>
  <c r="CF156" i="14" s="1"/>
  <c r="BM87" i="14"/>
  <c r="BC87" i="14"/>
  <c r="AS87" i="14"/>
  <c r="AX87" i="14" s="1"/>
  <c r="AV87" i="14" s="1"/>
  <c r="W270" i="14"/>
  <c r="AW270" i="14" s="1"/>
  <c r="AV270" i="14" s="1"/>
  <c r="W269" i="14"/>
  <c r="AW269" i="14" s="1"/>
  <c r="AV269" i="14" s="1"/>
  <c r="R87" i="14" l="1"/>
  <c r="CH87" i="14"/>
  <c r="CF87" i="14" s="1"/>
  <c r="BM44" i="14"/>
  <c r="BC44" i="14"/>
  <c r="AS44" i="14"/>
  <c r="AX44" i="14" s="1"/>
  <c r="AV44" i="14" s="1"/>
  <c r="R44" i="14" l="1"/>
  <c r="CH44" i="14"/>
  <c r="CF44" i="14" s="1"/>
  <c r="BM126" i="14"/>
  <c r="BC126" i="14"/>
  <c r="AS126" i="14"/>
  <c r="AX126" i="14" s="1"/>
  <c r="AV126" i="14" s="1"/>
  <c r="BM157" i="14"/>
  <c r="BC157" i="14"/>
  <c r="AS157" i="14"/>
  <c r="AX157" i="14" s="1"/>
  <c r="AV157" i="14" s="1"/>
  <c r="R157" i="14" l="1"/>
  <c r="CH157" i="14"/>
  <c r="CF157" i="14" s="1"/>
  <c r="R126" i="14"/>
  <c r="CH126" i="14"/>
  <c r="CF126" i="14" s="1"/>
  <c r="Z314" i="14"/>
  <c r="Y314" i="14"/>
  <c r="W314" i="14"/>
  <c r="BE314" i="14"/>
  <c r="BD314" i="14"/>
  <c r="BB314" i="14"/>
  <c r="BM107" i="14" l="1"/>
  <c r="BC107" i="14"/>
  <c r="AS107" i="14"/>
  <c r="AX107" i="14" s="1"/>
  <c r="AV107" i="14" s="1"/>
  <c r="BM60" i="14"/>
  <c r="BC60" i="14"/>
  <c r="AS60" i="14"/>
  <c r="AX60" i="14" s="1"/>
  <c r="AV60" i="14" s="1"/>
  <c r="R60" i="14" l="1"/>
  <c r="CH60" i="14"/>
  <c r="CF60" i="14" s="1"/>
  <c r="R107" i="14"/>
  <c r="CH107" i="14"/>
  <c r="CF107" i="14" s="1"/>
  <c r="BM227" i="14"/>
  <c r="BC227" i="14"/>
  <c r="AS227" i="14"/>
  <c r="AX227" i="14" s="1"/>
  <c r="AV227" i="14" s="1"/>
  <c r="R227" i="14" l="1"/>
  <c r="CH227" i="14"/>
  <c r="CF227" i="14" s="1"/>
  <c r="BM31" i="14"/>
  <c r="BC31" i="14"/>
  <c r="AS31" i="14"/>
  <c r="AX31" i="14" s="1"/>
  <c r="AV31" i="14" s="1"/>
  <c r="BM245" i="14"/>
  <c r="BC245" i="14"/>
  <c r="AS245" i="14"/>
  <c r="AX245" i="14" s="1"/>
  <c r="AV245" i="14" s="1"/>
  <c r="BM66" i="14"/>
  <c r="BC66" i="14"/>
  <c r="AS66" i="14"/>
  <c r="AX66" i="14" s="1"/>
  <c r="AV66" i="14" s="1"/>
  <c r="R245" i="14" l="1"/>
  <c r="CH245" i="14"/>
  <c r="CF245" i="14" s="1"/>
  <c r="R66" i="14"/>
  <c r="CH66" i="14"/>
  <c r="CF66" i="14" s="1"/>
  <c r="R31" i="14"/>
  <c r="CH31" i="14"/>
  <c r="CF31" i="14" s="1"/>
  <c r="T264" i="14"/>
  <c r="U264" i="14"/>
  <c r="V354" i="14" l="1"/>
  <c r="V353" i="14"/>
  <c r="V351" i="14"/>
  <c r="V350" i="14"/>
  <c r="W349" i="14"/>
  <c r="V348" i="14"/>
  <c r="V347" i="14"/>
  <c r="W346" i="14"/>
  <c r="Z328" i="14"/>
  <c r="Y328" i="14"/>
  <c r="X328" i="14"/>
  <c r="W328" i="14"/>
  <c r="V327" i="14"/>
  <c r="V328" i="14" s="1"/>
  <c r="X314" i="14"/>
  <c r="V314" i="14" s="1"/>
  <c r="V310" i="14"/>
  <c r="Z307" i="14"/>
  <c r="Z317" i="14" s="1"/>
  <c r="Y307" i="14"/>
  <c r="Y317" i="14" s="1"/>
  <c r="X302" i="14"/>
  <c r="V302" i="14"/>
  <c r="X299" i="14"/>
  <c r="V299" i="14"/>
  <c r="X298" i="14"/>
  <c r="V298" i="14"/>
  <c r="X297" i="14"/>
  <c r="X307" i="14" s="1"/>
  <c r="X317" i="14" s="1"/>
  <c r="V297" i="14"/>
  <c r="V296" i="14" s="1"/>
  <c r="V291" i="14"/>
  <c r="V290" i="14"/>
  <c r="W289" i="14"/>
  <c r="AW289" i="14" s="1"/>
  <c r="AV289" i="14" s="1"/>
  <c r="V287" i="14"/>
  <c r="V285" i="14"/>
  <c r="V284" i="14"/>
  <c r="W283" i="14"/>
  <c r="AW283" i="14" s="1"/>
  <c r="AV283" i="14" s="1"/>
  <c r="V282" i="14"/>
  <c r="V281" i="14"/>
  <c r="W280" i="14"/>
  <c r="AW280" i="14" s="1"/>
  <c r="AV280" i="14" s="1"/>
  <c r="V279" i="14"/>
  <c r="V278" i="14"/>
  <c r="W277" i="14"/>
  <c r="AW277" i="14" s="1"/>
  <c r="AV277" i="14" s="1"/>
  <c r="V276" i="14"/>
  <c r="V275" i="14"/>
  <c r="W274" i="14"/>
  <c r="AW274" i="14" s="1"/>
  <c r="AV274" i="14" s="1"/>
  <c r="V273" i="14"/>
  <c r="V272" i="14"/>
  <c r="W271" i="14"/>
  <c r="AW271" i="14" s="1"/>
  <c r="AV271" i="14" s="1"/>
  <c r="V270" i="14"/>
  <c r="V269" i="14"/>
  <c r="W268" i="14"/>
  <c r="W266" i="14"/>
  <c r="Z261" i="14"/>
  <c r="Y261" i="14"/>
  <c r="X261" i="14"/>
  <c r="W261" i="14"/>
  <c r="V257" i="14"/>
  <c r="V256" i="14"/>
  <c r="V255" i="14"/>
  <c r="V254" i="14"/>
  <c r="V253" i="14"/>
  <c r="V252" i="14"/>
  <c r="V251" i="14"/>
  <c r="V250" i="14"/>
  <c r="V249" i="14"/>
  <c r="V248" i="14"/>
  <c r="V247" i="14"/>
  <c r="V246" i="14"/>
  <c r="V245" i="14"/>
  <c r="V244" i="14"/>
  <c r="V243" i="14"/>
  <c r="Z242" i="14"/>
  <c r="Y242" i="14"/>
  <c r="X242" i="14"/>
  <c r="W242" i="14"/>
  <c r="V241" i="14"/>
  <c r="V240" i="14"/>
  <c r="V239" i="14"/>
  <c r="V238" i="14"/>
  <c r="V237" i="14"/>
  <c r="V236" i="14"/>
  <c r="V235" i="14"/>
  <c r="V234" i="14"/>
  <c r="V233" i="14"/>
  <c r="V232" i="14"/>
  <c r="V231" i="14"/>
  <c r="Z230" i="14"/>
  <c r="Y230" i="14"/>
  <c r="X230" i="14"/>
  <c r="W230" i="14"/>
  <c r="V229" i="14"/>
  <c r="V228" i="14"/>
  <c r="V227" i="14"/>
  <c r="V226" i="14"/>
  <c r="V225" i="14"/>
  <c r="V224" i="14"/>
  <c r="V223" i="14"/>
  <c r="V222" i="14"/>
  <c r="V221" i="14"/>
  <c r="Z220" i="14"/>
  <c r="Y220" i="14"/>
  <c r="X220" i="14"/>
  <c r="W220" i="14"/>
  <c r="V219" i="14"/>
  <c r="V218" i="14"/>
  <c r="V217" i="14"/>
  <c r="V216" i="14"/>
  <c r="V215" i="14"/>
  <c r="V214" i="14"/>
  <c r="V213" i="14"/>
  <c r="V212" i="14"/>
  <c r="V211" i="14"/>
  <c r="V210" i="14"/>
  <c r="V209" i="14"/>
  <c r="V208" i="14"/>
  <c r="V207" i="14"/>
  <c r="V206" i="14"/>
  <c r="V205" i="14"/>
  <c r="V204" i="14"/>
  <c r="Z203" i="14"/>
  <c r="Y203" i="14"/>
  <c r="X203" i="14"/>
  <c r="W203" i="14"/>
  <c r="V202" i="14"/>
  <c r="V201" i="14"/>
  <c r="V200" i="14"/>
  <c r="V199" i="14"/>
  <c r="V198" i="14"/>
  <c r="V197" i="14"/>
  <c r="V196" i="14"/>
  <c r="Z195" i="14"/>
  <c r="Y195" i="14"/>
  <c r="X195" i="14"/>
  <c r="W195" i="14"/>
  <c r="V194" i="14"/>
  <c r="V193" i="14"/>
  <c r="V192" i="14"/>
  <c r="V191" i="14"/>
  <c r="V190" i="14"/>
  <c r="V189" i="14"/>
  <c r="V188" i="14"/>
  <c r="V187" i="14"/>
  <c r="V186" i="14"/>
  <c r="V185" i="14"/>
  <c r="V184" i="14"/>
  <c r="V183" i="14"/>
  <c r="V182" i="14"/>
  <c r="V181" i="14"/>
  <c r="V180" i="14"/>
  <c r="V179" i="14"/>
  <c r="V178" i="14"/>
  <c r="Z177" i="14"/>
  <c r="Y177" i="14"/>
  <c r="X177" i="14"/>
  <c r="W177" i="14"/>
  <c r="V176" i="14"/>
  <c r="V175" i="14"/>
  <c r="V174" i="14"/>
  <c r="V173" i="14"/>
  <c r="V172" i="14"/>
  <c r="V171" i="14"/>
  <c r="V170" i="14"/>
  <c r="V169" i="14"/>
  <c r="V168" i="14"/>
  <c r="V167" i="14"/>
  <c r="V166" i="14"/>
  <c r="V165" i="14"/>
  <c r="V164" i="14"/>
  <c r="V163" i="14"/>
  <c r="V162" i="14"/>
  <c r="V161" i="14"/>
  <c r="V160" i="14"/>
  <c r="Z159" i="14"/>
  <c r="Y159" i="14"/>
  <c r="X159" i="14"/>
  <c r="W159" i="14"/>
  <c r="V158" i="14"/>
  <c r="V157" i="14"/>
  <c r="V156" i="14"/>
  <c r="V155" i="14"/>
  <c r="V154" i="14"/>
  <c r="V153" i="14"/>
  <c r="V152" i="14"/>
  <c r="Z151" i="14"/>
  <c r="Y151" i="14"/>
  <c r="X151" i="14"/>
  <c r="W151" i="14"/>
  <c r="V150" i="14"/>
  <c r="V149" i="14"/>
  <c r="V148" i="14"/>
  <c r="V147" i="14"/>
  <c r="V146" i="14"/>
  <c r="V145" i="14"/>
  <c r="V144" i="14"/>
  <c r="V143" i="14"/>
  <c r="V142" i="14"/>
  <c r="V141" i="14"/>
  <c r="V140" i="14"/>
  <c r="V139" i="14"/>
  <c r="V138" i="14"/>
  <c r="Z137" i="14"/>
  <c r="Y137" i="14"/>
  <c r="X137" i="14"/>
  <c r="W137" i="14"/>
  <c r="V136" i="14"/>
  <c r="V135" i="14"/>
  <c r="V134" i="14"/>
  <c r="V133" i="14"/>
  <c r="V132" i="14"/>
  <c r="V131" i="14"/>
  <c r="V130" i="14"/>
  <c r="V129" i="14"/>
  <c r="Z128" i="14"/>
  <c r="Y128" i="14"/>
  <c r="X128" i="14"/>
  <c r="W128" i="14"/>
  <c r="V127" i="14"/>
  <c r="V126" i="14"/>
  <c r="V125" i="14"/>
  <c r="V124" i="14"/>
  <c r="V123" i="14"/>
  <c r="V122" i="14"/>
  <c r="V121" i="14"/>
  <c r="V120" i="14"/>
  <c r="V119" i="14"/>
  <c r="V118" i="14"/>
  <c r="V117" i="14"/>
  <c r="V116" i="14"/>
  <c r="V115" i="14"/>
  <c r="Z114" i="14"/>
  <c r="Y114" i="14"/>
  <c r="X114" i="14"/>
  <c r="W114" i="14"/>
  <c r="V113" i="14"/>
  <c r="V112" i="14"/>
  <c r="V111" i="14"/>
  <c r="V110" i="14"/>
  <c r="V109" i="14"/>
  <c r="V108" i="14"/>
  <c r="V107" i="14"/>
  <c r="V106" i="14"/>
  <c r="V105" i="14"/>
  <c r="V104" i="14"/>
  <c r="V103" i="14"/>
  <c r="V102" i="14"/>
  <c r="V101" i="14"/>
  <c r="V100" i="14"/>
  <c r="V99" i="14"/>
  <c r="V98" i="14"/>
  <c r="V97" i="14"/>
  <c r="V96" i="14"/>
  <c r="V95" i="14"/>
  <c r="Z94" i="14"/>
  <c r="Y94" i="14"/>
  <c r="X94" i="14"/>
  <c r="W94" i="14"/>
  <c r="V93" i="14"/>
  <c r="V92" i="14"/>
  <c r="V91" i="14"/>
  <c r="V90" i="14"/>
  <c r="V89" i="14"/>
  <c r="V88" i="14"/>
  <c r="V87" i="14"/>
  <c r="V86" i="14"/>
  <c r="V85" i="14"/>
  <c r="V84" i="14"/>
  <c r="V83" i="14"/>
  <c r="V82" i="14"/>
  <c r="V81" i="14"/>
  <c r="V80" i="14"/>
  <c r="Z79" i="14"/>
  <c r="Y79" i="14"/>
  <c r="X79" i="14"/>
  <c r="W79" i="14"/>
  <c r="V78" i="14"/>
  <c r="V77" i="14"/>
  <c r="V76" i="14"/>
  <c r="V75" i="14"/>
  <c r="V74" i="14"/>
  <c r="V73" i="14"/>
  <c r="V72" i="14"/>
  <c r="V71" i="14"/>
  <c r="V70" i="14"/>
  <c r="V69" i="14"/>
  <c r="V68" i="14"/>
  <c r="V67" i="14"/>
  <c r="V66" i="14"/>
  <c r="V65" i="14"/>
  <c r="V64" i="14"/>
  <c r="V63" i="14"/>
  <c r="V62" i="14"/>
  <c r="V61" i="14"/>
  <c r="V60" i="14"/>
  <c r="V59" i="14"/>
  <c r="V58" i="14"/>
  <c r="Z57" i="14"/>
  <c r="Y57" i="14"/>
  <c r="X57" i="14"/>
  <c r="W57" i="14"/>
  <c r="V56" i="14"/>
  <c r="V55" i="14"/>
  <c r="V54" i="14"/>
  <c r="V53" i="14"/>
  <c r="V52" i="14"/>
  <c r="V51" i="14"/>
  <c r="V50" i="14"/>
  <c r="V49" i="14"/>
  <c r="V48" i="14"/>
  <c r="V47" i="14"/>
  <c r="V46" i="14"/>
  <c r="V45" i="14"/>
  <c r="V44" i="14"/>
  <c r="V43" i="14"/>
  <c r="V42" i="14"/>
  <c r="V41" i="14"/>
  <c r="V40" i="14"/>
  <c r="Z39" i="14"/>
  <c r="Y39" i="14"/>
  <c r="X39" i="14"/>
  <c r="W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Z20" i="14"/>
  <c r="Y20" i="14"/>
  <c r="X20" i="14"/>
  <c r="W20" i="14"/>
  <c r="V19" i="14"/>
  <c r="V18" i="14"/>
  <c r="V17" i="14"/>
  <c r="V16" i="14"/>
  <c r="V15" i="14"/>
  <c r="V14" i="14"/>
  <c r="V13" i="14"/>
  <c r="V12" i="14"/>
  <c r="V11" i="14"/>
  <c r="V10" i="14"/>
  <c r="V9" i="14"/>
  <c r="Z8" i="14"/>
  <c r="Y8" i="14"/>
  <c r="X8" i="14"/>
  <c r="W8" i="14"/>
  <c r="V7" i="14"/>
  <c r="V6" i="14" s="1"/>
  <c r="Z6" i="14"/>
  <c r="Y6" i="14"/>
  <c r="X6" i="14"/>
  <c r="W6" i="14"/>
  <c r="V128" i="14" l="1"/>
  <c r="V114" i="14"/>
  <c r="V271" i="14"/>
  <c r="V283" i="14"/>
  <c r="V349" i="14"/>
  <c r="V277" i="14"/>
  <c r="V289" i="14"/>
  <c r="Z258" i="14"/>
  <c r="Z260" i="14" s="1"/>
  <c r="Z294" i="14" s="1"/>
  <c r="Z308" i="14" s="1"/>
  <c r="Z318" i="14" s="1"/>
  <c r="Z332" i="14" s="1"/>
  <c r="V20" i="14"/>
  <c r="V266" i="14"/>
  <c r="V220" i="14"/>
  <c r="V242" i="14"/>
  <c r="V195" i="14"/>
  <c r="W258" i="14"/>
  <c r="V94" i="14"/>
  <c r="V230" i="14"/>
  <c r="V261" i="14"/>
  <c r="V274" i="14"/>
  <c r="V346" i="14"/>
  <c r="V159" i="14"/>
  <c r="V8" i="14"/>
  <c r="V137" i="14"/>
  <c r="V280" i="14"/>
  <c r="V177" i="14"/>
  <c r="V79" i="14"/>
  <c r="V39" i="14"/>
  <c r="Y258" i="14"/>
  <c r="V203" i="14"/>
  <c r="V151" i="14"/>
  <c r="X258" i="14"/>
  <c r="V57" i="14"/>
  <c r="Y331" i="14"/>
  <c r="X331" i="14"/>
  <c r="Z331" i="14"/>
  <c r="V268" i="14"/>
  <c r="X296" i="14"/>
  <c r="BN7" i="14"/>
  <c r="BD7" i="14"/>
  <c r="AT7" i="14"/>
  <c r="AY7" i="14" s="1"/>
  <c r="X260" i="14" l="1"/>
  <c r="S7" i="14"/>
  <c r="CI7" i="14"/>
  <c r="Y260" i="14"/>
  <c r="Y264" i="14" s="1"/>
  <c r="W260" i="14"/>
  <c r="Y294" i="14"/>
  <c r="W264" i="14"/>
  <c r="Z262" i="14"/>
  <c r="Z264" i="14"/>
  <c r="Z292" i="14" s="1"/>
  <c r="Z306" i="14" s="1"/>
  <c r="W294" i="14"/>
  <c r="W262" i="14"/>
  <c r="Z316" i="14"/>
  <c r="Z330" i="14" s="1"/>
  <c r="V260" i="14"/>
  <c r="V258" i="14"/>
  <c r="X294" i="14"/>
  <c r="X262" i="14"/>
  <c r="X264" i="14"/>
  <c r="Y262" i="14" l="1"/>
  <c r="X292" i="14"/>
  <c r="W308" i="14"/>
  <c r="W318" i="14" s="1"/>
  <c r="X308" i="14"/>
  <c r="X318" i="14" s="1"/>
  <c r="X332" i="14" s="1"/>
  <c r="Y292" i="14"/>
  <c r="Y308" i="14"/>
  <c r="Y318" i="14" s="1"/>
  <c r="V262" i="14"/>
  <c r="X316" i="14"/>
  <c r="X330" i="14" s="1"/>
  <c r="V294" i="14"/>
  <c r="V264" i="14"/>
  <c r="DV354" i="14"/>
  <c r="DQ354" i="14"/>
  <c r="CS354" i="14"/>
  <c r="CN354" i="14"/>
  <c r="BV354" i="14"/>
  <c r="DV353" i="14"/>
  <c r="DQ353" i="14"/>
  <c r="CS353" i="14"/>
  <c r="CN353" i="14"/>
  <c r="BV353" i="14"/>
  <c r="DV351" i="14"/>
  <c r="DQ351" i="14"/>
  <c r="CS351" i="14"/>
  <c r="CN351" i="14"/>
  <c r="CB351" i="14"/>
  <c r="CA351" i="14" s="1"/>
  <c r="BZ351" i="14" s="1"/>
  <c r="BU351" i="14"/>
  <c r="BP351" i="14"/>
  <c r="DV350" i="14"/>
  <c r="DQ350" i="14"/>
  <c r="CS350" i="14"/>
  <c r="CN350" i="14"/>
  <c r="CB350" i="14"/>
  <c r="CA350" i="14" s="1"/>
  <c r="BU350" i="14"/>
  <c r="BP350" i="14"/>
  <c r="DW349" i="14"/>
  <c r="DV349" i="14" s="1"/>
  <c r="DR349" i="14"/>
  <c r="DQ349" i="14" s="1"/>
  <c r="CT349" i="14"/>
  <c r="CO349" i="14"/>
  <c r="BV349" i="14"/>
  <c r="BQ349" i="14"/>
  <c r="DV348" i="14"/>
  <c r="DQ348" i="14"/>
  <c r="CS348" i="14"/>
  <c r="CN348" i="14"/>
  <c r="CB348" i="14"/>
  <c r="CB354" i="14" s="1"/>
  <c r="BU348" i="14"/>
  <c r="BP348" i="14"/>
  <c r="DV347" i="14"/>
  <c r="DQ347" i="14"/>
  <c r="CS347" i="14"/>
  <c r="CN347" i="14"/>
  <c r="CB347" i="14"/>
  <c r="BU347" i="14"/>
  <c r="BP347" i="14"/>
  <c r="DW346" i="14"/>
  <c r="DV346" i="14" s="1"/>
  <c r="DR346" i="14"/>
  <c r="DQ346" i="14" s="1"/>
  <c r="CT346" i="14"/>
  <c r="CO346" i="14"/>
  <c r="BV346" i="14"/>
  <c r="BQ346" i="14"/>
  <c r="DN332" i="14"/>
  <c r="DL332" i="14"/>
  <c r="DK332" i="14"/>
  <c r="CZ332" i="14"/>
  <c r="CY332" i="14"/>
  <c r="CW332" i="14"/>
  <c r="CV332" i="14"/>
  <c r="CU332" i="14"/>
  <c r="CT332" i="14"/>
  <c r="CP332" i="14"/>
  <c r="CO332" i="14"/>
  <c r="DB331" i="14"/>
  <c r="DA331" i="14"/>
  <c r="CR331" i="14"/>
  <c r="CQ331" i="14"/>
  <c r="DI330" i="14"/>
  <c r="DH330" i="14"/>
  <c r="DE330" i="14"/>
  <c r="DD330" i="14"/>
  <c r="DC330" i="14"/>
  <c r="CR330" i="14"/>
  <c r="CQ330" i="14"/>
  <c r="CP330" i="14"/>
  <c r="CO330" i="14"/>
  <c r="CN330" i="14"/>
  <c r="DZ328" i="14"/>
  <c r="DY328" i="14"/>
  <c r="DX328" i="14"/>
  <c r="DW328" i="14"/>
  <c r="DU328" i="14"/>
  <c r="DT328" i="14"/>
  <c r="DS328" i="14"/>
  <c r="DR328" i="14"/>
  <c r="DB328" i="14"/>
  <c r="DB330" i="14" s="1"/>
  <c r="DA328" i="14"/>
  <c r="DA330" i="14" s="1"/>
  <c r="CZ328" i="14"/>
  <c r="CZ330" i="14" s="1"/>
  <c r="CY328" i="14"/>
  <c r="CY330" i="14" s="1"/>
  <c r="CX328" i="14"/>
  <c r="CX330" i="14" s="1"/>
  <c r="CJ328" i="14"/>
  <c r="CE328" i="14"/>
  <c r="CD328" i="14"/>
  <c r="CB328" i="14"/>
  <c r="BY328" i="14"/>
  <c r="BX328" i="14"/>
  <c r="BW328" i="14"/>
  <c r="BV328" i="14"/>
  <c r="BT328" i="14"/>
  <c r="BS328" i="14"/>
  <c r="BR328" i="14"/>
  <c r="BQ328" i="14"/>
  <c r="DV327" i="14"/>
  <c r="DV328" i="14" s="1"/>
  <c r="DQ327" i="14"/>
  <c r="DQ328" i="14" s="1"/>
  <c r="CX327" i="14"/>
  <c r="CS327" i="14"/>
  <c r="CN327" i="14"/>
  <c r="CC327" i="14"/>
  <c r="BU327" i="14"/>
  <c r="BU328" i="14" s="1"/>
  <c r="BP327" i="14"/>
  <c r="BP328" i="14" s="1"/>
  <c r="DN318" i="14"/>
  <c r="DN331" i="14" s="1"/>
  <c r="DL318" i="14"/>
  <c r="DL331" i="14" s="1"/>
  <c r="DK318" i="14"/>
  <c r="DK331" i="14" s="1"/>
  <c r="DU317" i="14"/>
  <c r="DU331" i="14" s="1"/>
  <c r="DT317" i="14"/>
  <c r="DS317" i="14"/>
  <c r="DS331" i="14" s="1"/>
  <c r="DN317" i="14"/>
  <c r="DL317" i="14"/>
  <c r="DK317" i="14"/>
  <c r="DB317" i="14"/>
  <c r="DA317" i="14"/>
  <c r="CZ317" i="14"/>
  <c r="CY317" i="14"/>
  <c r="CW317" i="14"/>
  <c r="CV317" i="14"/>
  <c r="CU317" i="14"/>
  <c r="CT317" i="14"/>
  <c r="CR317" i="14"/>
  <c r="CQ317" i="14"/>
  <c r="CP317" i="14"/>
  <c r="CO317" i="14"/>
  <c r="DE316" i="14"/>
  <c r="DD316" i="14"/>
  <c r="DC316" i="14"/>
  <c r="DZ314" i="14"/>
  <c r="DZ318" i="14" s="1"/>
  <c r="DY314" i="14"/>
  <c r="DY318" i="14" s="1"/>
  <c r="DX314" i="14"/>
  <c r="DX318" i="14" s="1"/>
  <c r="DW314" i="14"/>
  <c r="DS314" i="14"/>
  <c r="DB314" i="14"/>
  <c r="DA314" i="14"/>
  <c r="CZ314" i="14"/>
  <c r="CY314" i="14"/>
  <c r="CJ314" i="14"/>
  <c r="CE314" i="14"/>
  <c r="CD314" i="14"/>
  <c r="CB314" i="14"/>
  <c r="BY314" i="14"/>
  <c r="BX314" i="14"/>
  <c r="BW314" i="14"/>
  <c r="BV314" i="14"/>
  <c r="BT314" i="14"/>
  <c r="BS314" i="14"/>
  <c r="BR314" i="14"/>
  <c r="BQ314" i="14"/>
  <c r="CC313" i="14"/>
  <c r="CA313" i="14" s="1"/>
  <c r="BZ313" i="14" s="1"/>
  <c r="DV312" i="14"/>
  <c r="DQ312" i="14"/>
  <c r="CC312" i="14"/>
  <c r="CA312" i="14" s="1"/>
  <c r="BZ312" i="14" s="1"/>
  <c r="BU312" i="14"/>
  <c r="BP312" i="14"/>
  <c r="DV311" i="14"/>
  <c r="DQ311" i="14"/>
  <c r="CX311" i="14"/>
  <c r="CS311" i="14"/>
  <c r="CN311" i="14"/>
  <c r="CC311" i="14"/>
  <c r="BU311" i="14"/>
  <c r="BP311" i="14"/>
  <c r="DV310" i="14"/>
  <c r="DQ310" i="14"/>
  <c r="CX310" i="14"/>
  <c r="CS310" i="14"/>
  <c r="CN310" i="14"/>
  <c r="CC310" i="14"/>
  <c r="CA310" i="14" s="1"/>
  <c r="BZ310" i="14" s="1"/>
  <c r="BU310" i="14"/>
  <c r="BP310" i="14"/>
  <c r="CZ308" i="14"/>
  <c r="DU307" i="14"/>
  <c r="DT307" i="14"/>
  <c r="CW307" i="14"/>
  <c r="CV307" i="14"/>
  <c r="CR307" i="14"/>
  <c r="CQ307" i="14"/>
  <c r="BZ305" i="14"/>
  <c r="BZ304" i="14"/>
  <c r="DV303" i="14"/>
  <c r="DQ303" i="14"/>
  <c r="DQ297" i="14" s="1"/>
  <c r="BZ303" i="14"/>
  <c r="DX302" i="14"/>
  <c r="DS302" i="14"/>
  <c r="DQ302" i="14"/>
  <c r="CX302" i="14"/>
  <c r="CX314" i="14" s="1"/>
  <c r="CU302" i="14"/>
  <c r="CS302" i="14"/>
  <c r="CP302" i="14"/>
  <c r="CN302" i="14"/>
  <c r="CC302" i="14"/>
  <c r="CA302" i="14"/>
  <c r="BZ302" i="14" s="1"/>
  <c r="BW302" i="14"/>
  <c r="BU302" i="14"/>
  <c r="BR302" i="14"/>
  <c r="BP302" i="14"/>
  <c r="BZ301" i="14"/>
  <c r="BZ300" i="14"/>
  <c r="DX299" i="14"/>
  <c r="DV299" i="14"/>
  <c r="DS299" i="14"/>
  <c r="DQ299" i="14"/>
  <c r="CX299" i="14"/>
  <c r="CU299" i="14"/>
  <c r="CS299" i="14"/>
  <c r="CP299" i="14"/>
  <c r="CN299" i="14"/>
  <c r="CC299" i="14"/>
  <c r="CA299" i="14"/>
  <c r="BZ299" i="14" s="1"/>
  <c r="BW299" i="14"/>
  <c r="BU299" i="14"/>
  <c r="BR299" i="14"/>
  <c r="BP299" i="14"/>
  <c r="DX298" i="14"/>
  <c r="DV298" i="14"/>
  <c r="DS298" i="14"/>
  <c r="DQ298" i="14"/>
  <c r="CU298" i="14"/>
  <c r="CS298" i="14"/>
  <c r="CP298" i="14"/>
  <c r="CN298" i="14"/>
  <c r="CC298" i="14"/>
  <c r="CA298" i="14"/>
  <c r="BW298" i="14"/>
  <c r="BU298" i="14"/>
  <c r="BR298" i="14"/>
  <c r="BP298" i="14"/>
  <c r="DX297" i="14"/>
  <c r="DS297" i="14"/>
  <c r="CX297" i="14"/>
  <c r="CX296" i="14" s="1"/>
  <c r="CU297" i="14"/>
  <c r="CU307" i="14" s="1"/>
  <c r="CS297" i="14"/>
  <c r="CP297" i="14"/>
  <c r="CP296" i="14" s="1"/>
  <c r="CN297" i="14"/>
  <c r="CC297" i="14"/>
  <c r="CA297" i="14"/>
  <c r="BZ297" i="14" s="1"/>
  <c r="BW297" i="14"/>
  <c r="BU297" i="14"/>
  <c r="BR297" i="14"/>
  <c r="BP297" i="14"/>
  <c r="CY293" i="14"/>
  <c r="CJ293" i="14"/>
  <c r="CJ307" i="14" s="1"/>
  <c r="CJ317" i="14" s="1"/>
  <c r="CE293" i="14"/>
  <c r="CE307" i="14" s="1"/>
  <c r="CE317" i="14" s="1"/>
  <c r="CE331" i="14" s="1"/>
  <c r="CD293" i="14"/>
  <c r="CD307" i="14" s="1"/>
  <c r="CD317" i="14" s="1"/>
  <c r="CD331" i="14" s="1"/>
  <c r="CC293" i="14"/>
  <c r="BY293" i="14"/>
  <c r="BY307" i="14" s="1"/>
  <c r="BY317" i="14" s="1"/>
  <c r="BX293" i="14"/>
  <c r="BX307" i="14" s="1"/>
  <c r="BX317" i="14" s="1"/>
  <c r="BW293" i="14"/>
  <c r="BT293" i="14"/>
  <c r="BT307" i="14" s="1"/>
  <c r="BT317" i="14" s="1"/>
  <c r="BS293" i="14"/>
  <c r="BS307" i="14" s="1"/>
  <c r="BS317" i="14" s="1"/>
  <c r="BS331" i="14" s="1"/>
  <c r="BR293" i="14"/>
  <c r="DV291" i="14"/>
  <c r="DQ291" i="14"/>
  <c r="CS291" i="14"/>
  <c r="CN291" i="14"/>
  <c r="CB291" i="14"/>
  <c r="CA291" i="14" s="1"/>
  <c r="BU291" i="14"/>
  <c r="BP291" i="14"/>
  <c r="DV290" i="14"/>
  <c r="DQ290" i="14"/>
  <c r="CS290" i="14"/>
  <c r="CN290" i="14"/>
  <c r="CB290" i="14"/>
  <c r="CA290" i="14" s="1"/>
  <c r="BZ290" i="14" s="1"/>
  <c r="BU290" i="14"/>
  <c r="BP290" i="14"/>
  <c r="DW289" i="14"/>
  <c r="DV289" i="14" s="1"/>
  <c r="DR289" i="14"/>
  <c r="DQ289" i="14" s="1"/>
  <c r="CT289" i="14"/>
  <c r="CO289" i="14"/>
  <c r="BV289" i="14"/>
  <c r="BQ289" i="14"/>
  <c r="DV288" i="14"/>
  <c r="DQ288" i="14"/>
  <c r="CS288" i="14"/>
  <c r="CN288" i="14"/>
  <c r="CB288" i="14"/>
  <c r="CA288" i="14" s="1"/>
  <c r="BZ288" i="14" s="1"/>
  <c r="BU288" i="14"/>
  <c r="BP288" i="14"/>
  <c r="DV287" i="14"/>
  <c r="DQ287" i="14"/>
  <c r="CS287" i="14"/>
  <c r="CN287" i="14"/>
  <c r="CB287" i="14"/>
  <c r="CA287" i="14" s="1"/>
  <c r="BZ287" i="14" s="1"/>
  <c r="BU287" i="14"/>
  <c r="BP287" i="14"/>
  <c r="DW286" i="14"/>
  <c r="DV286" i="14" s="1"/>
  <c r="DR286" i="14"/>
  <c r="DQ286" i="14" s="1"/>
  <c r="CT286" i="14"/>
  <c r="CO286" i="14"/>
  <c r="BV286" i="14"/>
  <c r="BQ286" i="14"/>
  <c r="DV285" i="14"/>
  <c r="DQ285" i="14"/>
  <c r="CS285" i="14"/>
  <c r="CN285" i="14"/>
  <c r="CB285" i="14"/>
  <c r="CA285" i="14" s="1"/>
  <c r="BZ285" i="14" s="1"/>
  <c r="BU285" i="14"/>
  <c r="BP285" i="14"/>
  <c r="DV284" i="14"/>
  <c r="DQ284" i="14"/>
  <c r="CS284" i="14"/>
  <c r="CN284" i="14"/>
  <c r="CB284" i="14"/>
  <c r="CA284" i="14" s="1"/>
  <c r="BU284" i="14"/>
  <c r="BP284" i="14"/>
  <c r="DW283" i="14"/>
  <c r="DV283" i="14" s="1"/>
  <c r="DR283" i="14"/>
  <c r="DQ283" i="14" s="1"/>
  <c r="CT283" i="14"/>
  <c r="CO283" i="14"/>
  <c r="BV283" i="14"/>
  <c r="BQ283" i="14"/>
  <c r="DV282" i="14"/>
  <c r="DQ282" i="14"/>
  <c r="CS282" i="14"/>
  <c r="CN282" i="14"/>
  <c r="CB282" i="14"/>
  <c r="CA282" i="14" s="1"/>
  <c r="BZ282" i="14" s="1"/>
  <c r="BU282" i="14"/>
  <c r="BP282" i="14"/>
  <c r="DV281" i="14"/>
  <c r="DQ281" i="14"/>
  <c r="CS281" i="14"/>
  <c r="CN281" i="14"/>
  <c r="CB281" i="14"/>
  <c r="CA281" i="14" s="1"/>
  <c r="BU281" i="14"/>
  <c r="BP281" i="14"/>
  <c r="DW280" i="14"/>
  <c r="DV280" i="14" s="1"/>
  <c r="DR280" i="14"/>
  <c r="DQ280" i="14" s="1"/>
  <c r="CT280" i="14"/>
  <c r="CO280" i="14"/>
  <c r="BV280" i="14"/>
  <c r="BQ280" i="14"/>
  <c r="DV279" i="14"/>
  <c r="DQ279" i="14"/>
  <c r="CS279" i="14"/>
  <c r="CN279" i="14"/>
  <c r="CB279" i="14"/>
  <c r="CA279" i="14" s="1"/>
  <c r="BZ279" i="14" s="1"/>
  <c r="BP279" i="14"/>
  <c r="DV278" i="14"/>
  <c r="DQ278" i="14"/>
  <c r="CS278" i="14"/>
  <c r="CN278" i="14"/>
  <c r="CB278" i="14"/>
  <c r="BU278" i="14"/>
  <c r="BU277" i="14" s="1"/>
  <c r="BP278" i="14"/>
  <c r="DW277" i="14"/>
  <c r="DV277" i="14" s="1"/>
  <c r="DR277" i="14"/>
  <c r="DQ277" i="14" s="1"/>
  <c r="CT277" i="14"/>
  <c r="CO277" i="14"/>
  <c r="BV277" i="14"/>
  <c r="BQ277" i="14"/>
  <c r="DV276" i="14"/>
  <c r="DQ276" i="14"/>
  <c r="CS276" i="14"/>
  <c r="CN276" i="14"/>
  <c r="CB276" i="14"/>
  <c r="CA276" i="14" s="1"/>
  <c r="BZ276" i="14" s="1"/>
  <c r="BU276" i="14"/>
  <c r="BP276" i="14"/>
  <c r="DV275" i="14"/>
  <c r="DQ275" i="14"/>
  <c r="CS275" i="14"/>
  <c r="CN275" i="14"/>
  <c r="CB275" i="14"/>
  <c r="CA275" i="14" s="1"/>
  <c r="BU275" i="14"/>
  <c r="BP275" i="14"/>
  <c r="DW274" i="14"/>
  <c r="DV274" i="14" s="1"/>
  <c r="DR274" i="14"/>
  <c r="DQ274" i="14" s="1"/>
  <c r="CT274" i="14"/>
  <c r="CO274" i="14"/>
  <c r="BV274" i="14"/>
  <c r="BQ274" i="14"/>
  <c r="DV273" i="14"/>
  <c r="DQ273" i="14"/>
  <c r="CS273" i="14"/>
  <c r="CN273" i="14"/>
  <c r="CB273" i="14"/>
  <c r="CA273" i="14" s="1"/>
  <c r="BZ273" i="14" s="1"/>
  <c r="BU273" i="14"/>
  <c r="BP273" i="14"/>
  <c r="DV272" i="14"/>
  <c r="DQ272" i="14"/>
  <c r="CS272" i="14"/>
  <c r="CN272" i="14"/>
  <c r="CB272" i="14"/>
  <c r="CA272" i="14" s="1"/>
  <c r="BZ272" i="14" s="1"/>
  <c r="BU272" i="14"/>
  <c r="BP272" i="14"/>
  <c r="DW271" i="14"/>
  <c r="DV271" i="14" s="1"/>
  <c r="DR271" i="14"/>
  <c r="DQ271" i="14" s="1"/>
  <c r="CT271" i="14"/>
  <c r="CO271" i="14"/>
  <c r="BV271" i="14"/>
  <c r="BQ271" i="14"/>
  <c r="DV270" i="14"/>
  <c r="DQ270" i="14"/>
  <c r="CS270" i="14"/>
  <c r="CN270" i="14"/>
  <c r="CB270" i="14"/>
  <c r="CA270" i="14" s="1"/>
  <c r="BU270" i="14"/>
  <c r="BP270" i="14"/>
  <c r="DV269" i="14"/>
  <c r="DQ269" i="14"/>
  <c r="CS269" i="14"/>
  <c r="CN269" i="14"/>
  <c r="CB269" i="14"/>
  <c r="CA269" i="14" s="1"/>
  <c r="BU269" i="14"/>
  <c r="BP269" i="14"/>
  <c r="DW268" i="14"/>
  <c r="DV268" i="14" s="1"/>
  <c r="DR268" i="14"/>
  <c r="DQ268" i="14" s="1"/>
  <c r="CT268" i="14"/>
  <c r="CO268" i="14"/>
  <c r="BV268" i="14"/>
  <c r="BQ268" i="14"/>
  <c r="DW267" i="14"/>
  <c r="DW293" i="14" s="1"/>
  <c r="DW317" i="14" s="1"/>
  <c r="DR267" i="14"/>
  <c r="DR293" i="14" s="1"/>
  <c r="DR317" i="14" s="1"/>
  <c r="CT267" i="14"/>
  <c r="CT293" i="14" s="1"/>
  <c r="CO267" i="14"/>
  <c r="CO293" i="14" s="1"/>
  <c r="BV267" i="14"/>
  <c r="BV293" i="14" s="1"/>
  <c r="BQ267" i="14"/>
  <c r="DW266" i="14"/>
  <c r="DR266" i="14"/>
  <c r="CT266" i="14"/>
  <c r="CO266" i="14"/>
  <c r="BV266" i="14"/>
  <c r="BQ266" i="14"/>
  <c r="DE261" i="14"/>
  <c r="DD261" i="14"/>
  <c r="DC261" i="14"/>
  <c r="CW261" i="14"/>
  <c r="CV261" i="14"/>
  <c r="CU261" i="14"/>
  <c r="CT261" i="14"/>
  <c r="CR261" i="14"/>
  <c r="CQ261" i="14"/>
  <c r="CP261" i="14"/>
  <c r="CO261" i="14"/>
  <c r="CM261" i="14"/>
  <c r="CL261" i="14"/>
  <c r="BY261" i="14"/>
  <c r="BX261" i="14"/>
  <c r="BW261" i="14"/>
  <c r="BV261" i="14"/>
  <c r="BT261" i="14"/>
  <c r="BS261" i="14"/>
  <c r="BR261" i="14"/>
  <c r="BQ261" i="14"/>
  <c r="CS259" i="14"/>
  <c r="CN259" i="14"/>
  <c r="CJ259" i="14"/>
  <c r="CE259" i="14"/>
  <c r="CD259" i="14"/>
  <c r="CC259" i="14"/>
  <c r="CB259" i="14"/>
  <c r="BP259" i="14"/>
  <c r="DV257" i="14"/>
  <c r="DQ257" i="14"/>
  <c r="DB257" i="14"/>
  <c r="DA257" i="14"/>
  <c r="CZ257" i="14"/>
  <c r="CY257" i="14"/>
  <c r="CS257" i="14"/>
  <c r="CN257" i="14"/>
  <c r="CJ257" i="14"/>
  <c r="CE257" i="14"/>
  <c r="BU257" i="14"/>
  <c r="BP257" i="14"/>
  <c r="DV256" i="14"/>
  <c r="DQ256" i="14"/>
  <c r="DB256" i="14"/>
  <c r="DA256" i="14"/>
  <c r="CZ256" i="14"/>
  <c r="CY256" i="14"/>
  <c r="CS256" i="14"/>
  <c r="CN256" i="14"/>
  <c r="CJ256" i="14"/>
  <c r="CE256" i="14"/>
  <c r="BU256" i="14"/>
  <c r="BP256" i="14"/>
  <c r="DV255" i="14"/>
  <c r="DQ255" i="14"/>
  <c r="DB255" i="14"/>
  <c r="DA255" i="14"/>
  <c r="CZ255" i="14"/>
  <c r="CY255" i="14"/>
  <c r="CS255" i="14"/>
  <c r="CN255" i="14"/>
  <c r="CJ255" i="14"/>
  <c r="CE255" i="14"/>
  <c r="BR255" i="14"/>
  <c r="CC255" i="14" s="1"/>
  <c r="CA255" i="14" s="1"/>
  <c r="DV254" i="14"/>
  <c r="DQ254" i="14"/>
  <c r="DB254" i="14"/>
  <c r="DA254" i="14"/>
  <c r="CZ254" i="14"/>
  <c r="CY254" i="14"/>
  <c r="CS254" i="14"/>
  <c r="CN254" i="14"/>
  <c r="CJ254" i="14"/>
  <c r="CE254" i="14"/>
  <c r="BU254" i="14"/>
  <c r="BP254" i="14"/>
  <c r="DV253" i="14"/>
  <c r="DQ253" i="14"/>
  <c r="DB253" i="14"/>
  <c r="DA253" i="14"/>
  <c r="CZ253" i="14"/>
  <c r="CY253" i="14"/>
  <c r="CS253" i="14"/>
  <c r="CN253" i="14"/>
  <c r="CJ253" i="14"/>
  <c r="CE253" i="14"/>
  <c r="BU253" i="14"/>
  <c r="BP253" i="14"/>
  <c r="DV252" i="14"/>
  <c r="DQ252" i="14"/>
  <c r="DB252" i="14"/>
  <c r="DA252" i="14"/>
  <c r="CZ252" i="14"/>
  <c r="CY252" i="14"/>
  <c r="CS252" i="14"/>
  <c r="CN252" i="14"/>
  <c r="CJ252" i="14"/>
  <c r="CE252" i="14"/>
  <c r="BU252" i="14"/>
  <c r="BP252" i="14"/>
  <c r="DV251" i="14"/>
  <c r="DQ251" i="14"/>
  <c r="DB251" i="14"/>
  <c r="DA251" i="14"/>
  <c r="CZ251" i="14"/>
  <c r="CY251" i="14"/>
  <c r="CS251" i="14"/>
  <c r="CN251" i="14"/>
  <c r="CJ251" i="14"/>
  <c r="CE251" i="14"/>
  <c r="BU251" i="14"/>
  <c r="BP251" i="14"/>
  <c r="DV250" i="14"/>
  <c r="DQ250" i="14"/>
  <c r="DB250" i="14"/>
  <c r="DA250" i="14"/>
  <c r="CZ250" i="14"/>
  <c r="CY250" i="14"/>
  <c r="CS250" i="14"/>
  <c r="CN250" i="14"/>
  <c r="CJ250" i="14"/>
  <c r="CE250" i="14"/>
  <c r="BU250" i="14"/>
  <c r="BP250" i="14"/>
  <c r="DV249" i="14"/>
  <c r="DQ249" i="14"/>
  <c r="DB249" i="14"/>
  <c r="DA249" i="14"/>
  <c r="CZ249" i="14"/>
  <c r="CY249" i="14"/>
  <c r="CS249" i="14"/>
  <c r="CN249" i="14"/>
  <c r="CJ249" i="14"/>
  <c r="CE249" i="14"/>
  <c r="BU249" i="14"/>
  <c r="BP249" i="14"/>
  <c r="DV248" i="14"/>
  <c r="DQ248" i="14"/>
  <c r="DB248" i="14"/>
  <c r="DA248" i="14"/>
  <c r="CZ248" i="14"/>
  <c r="CY248" i="14"/>
  <c r="CS248" i="14"/>
  <c r="CN248" i="14"/>
  <c r="CJ248" i="14"/>
  <c r="CE248" i="14"/>
  <c r="BU248" i="14"/>
  <c r="BP248" i="14"/>
  <c r="DV247" i="14"/>
  <c r="DQ247" i="14"/>
  <c r="DB247" i="14"/>
  <c r="DA247" i="14"/>
  <c r="CZ247" i="14"/>
  <c r="CY247" i="14"/>
  <c r="CS247" i="14"/>
  <c r="CN247" i="14"/>
  <c r="CJ247" i="14"/>
  <c r="CE247" i="14"/>
  <c r="BU247" i="14"/>
  <c r="BP247" i="14"/>
  <c r="DV246" i="14"/>
  <c r="DQ246" i="14"/>
  <c r="DB246" i="14"/>
  <c r="DA246" i="14"/>
  <c r="CZ246" i="14"/>
  <c r="CY246" i="14"/>
  <c r="CS246" i="14"/>
  <c r="CN246" i="14"/>
  <c r="CJ246" i="14"/>
  <c r="CE246" i="14"/>
  <c r="BU246" i="14"/>
  <c r="BP246" i="14"/>
  <c r="DV245" i="14"/>
  <c r="DQ245" i="14"/>
  <c r="DB245" i="14"/>
  <c r="DA245" i="14"/>
  <c r="CZ245" i="14"/>
  <c r="CY245" i="14"/>
  <c r="CS245" i="14"/>
  <c r="CN245" i="14"/>
  <c r="CJ245" i="14"/>
  <c r="CE245" i="14"/>
  <c r="BU245" i="14"/>
  <c r="BP245" i="14"/>
  <c r="DV244" i="14"/>
  <c r="DQ244" i="14"/>
  <c r="CX244" i="14"/>
  <c r="CS244" i="14"/>
  <c r="CN244" i="14"/>
  <c r="CJ244" i="14"/>
  <c r="CE244" i="14"/>
  <c r="BU244" i="14"/>
  <c r="BP244" i="14"/>
  <c r="DV243" i="14"/>
  <c r="DQ243" i="14"/>
  <c r="CX243" i="14"/>
  <c r="CS243" i="14"/>
  <c r="CN243" i="14"/>
  <c r="CJ243" i="14"/>
  <c r="CE243" i="14"/>
  <c r="BU243" i="14"/>
  <c r="BP243" i="14"/>
  <c r="DZ242" i="14"/>
  <c r="DY242" i="14"/>
  <c r="DX242" i="14"/>
  <c r="DW242" i="14"/>
  <c r="DU242" i="14"/>
  <c r="DT242" i="14"/>
  <c r="DR242" i="14"/>
  <c r="DE242" i="14"/>
  <c r="DD242" i="14"/>
  <c r="DC242" i="14"/>
  <c r="CW242" i="14"/>
  <c r="CV242" i="14"/>
  <c r="CU242" i="14"/>
  <c r="CT242" i="14"/>
  <c r="CR242" i="14"/>
  <c r="CQ242" i="14"/>
  <c r="CP242" i="14"/>
  <c r="CO242" i="14"/>
  <c r="BY242" i="14"/>
  <c r="BT242" i="14"/>
  <c r="BS242" i="14"/>
  <c r="CD242" i="14" s="1"/>
  <c r="BQ242" i="14"/>
  <c r="CB242" i="14" s="1"/>
  <c r="DV241" i="14"/>
  <c r="DQ241" i="14"/>
  <c r="DB241" i="14"/>
  <c r="DA241" i="14"/>
  <c r="CZ241" i="14"/>
  <c r="CY241" i="14"/>
  <c r="CS241" i="14"/>
  <c r="CN241" i="14"/>
  <c r="CJ241" i="14"/>
  <c r="CE241" i="14"/>
  <c r="BU241" i="14"/>
  <c r="BP241" i="14"/>
  <c r="DV240" i="14"/>
  <c r="DQ240" i="14"/>
  <c r="DB240" i="14"/>
  <c r="DA240" i="14"/>
  <c r="CZ240" i="14"/>
  <c r="CY240" i="14"/>
  <c r="CS240" i="14"/>
  <c r="CN240" i="14"/>
  <c r="CJ240" i="14"/>
  <c r="CE240" i="14"/>
  <c r="BU240" i="14"/>
  <c r="BP240" i="14"/>
  <c r="DV239" i="14"/>
  <c r="DQ239" i="14"/>
  <c r="DB239" i="14"/>
  <c r="DA239" i="14"/>
  <c r="CZ239" i="14"/>
  <c r="CY239" i="14"/>
  <c r="CS239" i="14"/>
  <c r="CN239" i="14"/>
  <c r="CJ239" i="14"/>
  <c r="CE239" i="14"/>
  <c r="BU239" i="14"/>
  <c r="BP239" i="14"/>
  <c r="DV238" i="14"/>
  <c r="DQ238" i="14"/>
  <c r="DB238" i="14"/>
  <c r="DA238" i="14"/>
  <c r="CZ238" i="14"/>
  <c r="CY238" i="14"/>
  <c r="CS238" i="14"/>
  <c r="CN238" i="14"/>
  <c r="CJ238" i="14"/>
  <c r="CE238" i="14"/>
  <c r="BU238" i="14"/>
  <c r="BP238" i="14"/>
  <c r="DV237" i="14"/>
  <c r="DQ237" i="14"/>
  <c r="DB237" i="14"/>
  <c r="DA237" i="14"/>
  <c r="CZ237" i="14"/>
  <c r="CY237" i="14"/>
  <c r="CS237" i="14"/>
  <c r="CN237" i="14"/>
  <c r="CJ237" i="14"/>
  <c r="CE237" i="14"/>
  <c r="BU237" i="14"/>
  <c r="BP237" i="14"/>
  <c r="DV236" i="14"/>
  <c r="DQ236" i="14"/>
  <c r="DB236" i="14"/>
  <c r="DA236" i="14"/>
  <c r="CZ236" i="14"/>
  <c r="CY236" i="14"/>
  <c r="CS236" i="14"/>
  <c r="CN236" i="14"/>
  <c r="CJ236" i="14"/>
  <c r="CE236" i="14"/>
  <c r="BU236" i="14"/>
  <c r="BP236" i="14"/>
  <c r="DV235" i="14"/>
  <c r="DQ235" i="14"/>
  <c r="DB235" i="14"/>
  <c r="DA235" i="14"/>
  <c r="CZ235" i="14"/>
  <c r="CY235" i="14"/>
  <c r="CS235" i="14"/>
  <c r="CN235" i="14"/>
  <c r="CJ235" i="14"/>
  <c r="CE235" i="14"/>
  <c r="BU235" i="14"/>
  <c r="BP235" i="14"/>
  <c r="DV234" i="14"/>
  <c r="DQ234" i="14"/>
  <c r="DB234" i="14"/>
  <c r="DA234" i="14"/>
  <c r="CZ234" i="14"/>
  <c r="CY234" i="14"/>
  <c r="CS234" i="14"/>
  <c r="CN234" i="14"/>
  <c r="CJ234" i="14"/>
  <c r="CE234" i="14"/>
  <c r="BU234" i="14"/>
  <c r="BP234" i="14"/>
  <c r="DV233" i="14"/>
  <c r="DQ233" i="14"/>
  <c r="DB233" i="14"/>
  <c r="DA233" i="14"/>
  <c r="CZ233" i="14"/>
  <c r="CY233" i="14"/>
  <c r="CS233" i="14"/>
  <c r="CN233" i="14"/>
  <c r="CJ233" i="14"/>
  <c r="CE233" i="14"/>
  <c r="BU233" i="14"/>
  <c r="BP233" i="14"/>
  <c r="DV232" i="14"/>
  <c r="DQ232" i="14"/>
  <c r="DB232" i="14"/>
  <c r="DA232" i="14"/>
  <c r="CZ232" i="14"/>
  <c r="CY232" i="14"/>
  <c r="CS232" i="14"/>
  <c r="CN232" i="14"/>
  <c r="CJ232" i="14"/>
  <c r="CE232" i="14"/>
  <c r="BU232" i="14"/>
  <c r="BP232" i="14"/>
  <c r="DV231" i="14"/>
  <c r="DQ231" i="14"/>
  <c r="DE231" i="14"/>
  <c r="DE230" i="14" s="1"/>
  <c r="DB231" i="14"/>
  <c r="DA231" i="14"/>
  <c r="CZ231" i="14"/>
  <c r="CY231" i="14"/>
  <c r="CS231" i="14"/>
  <c r="CN231" i="14"/>
  <c r="CJ231" i="14"/>
  <c r="CE231" i="14"/>
  <c r="BU231" i="14"/>
  <c r="BP231" i="14"/>
  <c r="DZ230" i="14"/>
  <c r="DY230" i="14"/>
  <c r="DX230" i="14"/>
  <c r="DW230" i="14"/>
  <c r="DU230" i="14"/>
  <c r="DT230" i="14"/>
  <c r="DR230" i="14"/>
  <c r="DD230" i="14"/>
  <c r="DC230" i="14"/>
  <c r="CW230" i="14"/>
  <c r="CV230" i="14"/>
  <c r="CU230" i="14"/>
  <c r="CT230" i="14"/>
  <c r="CR230" i="14"/>
  <c r="CQ230" i="14"/>
  <c r="CP230" i="14"/>
  <c r="CO230" i="14"/>
  <c r="BY230" i="14"/>
  <c r="BT230" i="14"/>
  <c r="BS230" i="14"/>
  <c r="CD230" i="14" s="1"/>
  <c r="BR230" i="14"/>
  <c r="CC230" i="14" s="1"/>
  <c r="BQ230" i="14"/>
  <c r="CB230" i="14" s="1"/>
  <c r="DV229" i="14"/>
  <c r="DQ229" i="14"/>
  <c r="DB229" i="14"/>
  <c r="DA229" i="14"/>
  <c r="CZ229" i="14"/>
  <c r="CY229" i="14"/>
  <c r="CS229" i="14"/>
  <c r="CN229" i="14"/>
  <c r="CJ229" i="14"/>
  <c r="CE229" i="14"/>
  <c r="BU229" i="14"/>
  <c r="BP229" i="14"/>
  <c r="DV228" i="14"/>
  <c r="DQ228" i="14"/>
  <c r="DB228" i="14"/>
  <c r="DA228" i="14"/>
  <c r="CZ228" i="14"/>
  <c r="CY228" i="14"/>
  <c r="CS228" i="14"/>
  <c r="CN228" i="14"/>
  <c r="CJ228" i="14"/>
  <c r="CE228" i="14"/>
  <c r="BU228" i="14"/>
  <c r="BP228" i="14"/>
  <c r="DV227" i="14"/>
  <c r="DQ227" i="14"/>
  <c r="DB227" i="14"/>
  <c r="DA227" i="14"/>
  <c r="CZ227" i="14"/>
  <c r="CY227" i="14"/>
  <c r="CS227" i="14"/>
  <c r="CN227" i="14"/>
  <c r="CJ227" i="14"/>
  <c r="CE227" i="14"/>
  <c r="BU227" i="14"/>
  <c r="BP227" i="14"/>
  <c r="DV226" i="14"/>
  <c r="DQ226" i="14"/>
  <c r="DB226" i="14"/>
  <c r="DA226" i="14"/>
  <c r="CZ226" i="14"/>
  <c r="CY226" i="14"/>
  <c r="CS226" i="14"/>
  <c r="CN226" i="14"/>
  <c r="CJ226" i="14"/>
  <c r="CE226" i="14"/>
  <c r="BU226" i="14"/>
  <c r="BP226" i="14"/>
  <c r="DV225" i="14"/>
  <c r="DQ225" i="14"/>
  <c r="DB225" i="14"/>
  <c r="DA225" i="14"/>
  <c r="CZ225" i="14"/>
  <c r="CY225" i="14"/>
  <c r="CS225" i="14"/>
  <c r="CN225" i="14"/>
  <c r="CJ225" i="14"/>
  <c r="CE225" i="14"/>
  <c r="BU225" i="14"/>
  <c r="BP225" i="14"/>
  <c r="DV224" i="14"/>
  <c r="DQ224" i="14"/>
  <c r="DB224" i="14"/>
  <c r="DA224" i="14"/>
  <c r="CZ224" i="14"/>
  <c r="CY224" i="14"/>
  <c r="CS224" i="14"/>
  <c r="CN224" i="14"/>
  <c r="CJ224" i="14"/>
  <c r="CE224" i="14"/>
  <c r="BU224" i="14"/>
  <c r="BP224" i="14"/>
  <c r="DV223" i="14"/>
  <c r="DQ223" i="14"/>
  <c r="DB223" i="14"/>
  <c r="DA223" i="14"/>
  <c r="CZ223" i="14"/>
  <c r="CY223" i="14"/>
  <c r="CS223" i="14"/>
  <c r="CN223" i="14"/>
  <c r="CJ223" i="14"/>
  <c r="CE223" i="14"/>
  <c r="BU223" i="14"/>
  <c r="BP223" i="14"/>
  <c r="DV222" i="14"/>
  <c r="DQ222" i="14"/>
  <c r="CX222" i="14"/>
  <c r="CS222" i="14"/>
  <c r="CN222" i="14"/>
  <c r="CJ222" i="14"/>
  <c r="CE222" i="14"/>
  <c r="BU222" i="14"/>
  <c r="BP222" i="14"/>
  <c r="DV221" i="14"/>
  <c r="DQ221" i="14"/>
  <c r="CX221" i="14"/>
  <c r="CS221" i="14"/>
  <c r="CN221" i="14"/>
  <c r="CJ221" i="14"/>
  <c r="CE221" i="14"/>
  <c r="BU221" i="14"/>
  <c r="BP221" i="14"/>
  <c r="DZ220" i="14"/>
  <c r="DY220" i="14"/>
  <c r="DX220" i="14"/>
  <c r="DW220" i="14"/>
  <c r="DU220" i="14"/>
  <c r="DT220" i="14"/>
  <c r="DR220" i="14"/>
  <c r="DE220" i="14"/>
  <c r="DD220" i="14"/>
  <c r="DC220" i="14"/>
  <c r="CW220" i="14"/>
  <c r="CV220" i="14"/>
  <c r="CU220" i="14"/>
  <c r="CT220" i="14"/>
  <c r="CR220" i="14"/>
  <c r="CQ220" i="14"/>
  <c r="CP220" i="14"/>
  <c r="CO220" i="14"/>
  <c r="BY220" i="14"/>
  <c r="BT220" i="14"/>
  <c r="BS220" i="14"/>
  <c r="CD220" i="14" s="1"/>
  <c r="BR220" i="14"/>
  <c r="CC220" i="14" s="1"/>
  <c r="BQ220" i="14"/>
  <c r="CB220" i="14" s="1"/>
  <c r="DV219" i="14"/>
  <c r="DQ219" i="14"/>
  <c r="DB219" i="14"/>
  <c r="DA219" i="14"/>
  <c r="CZ219" i="14"/>
  <c r="CY219" i="14"/>
  <c r="CS219" i="14"/>
  <c r="CN219" i="14"/>
  <c r="CJ219" i="14"/>
  <c r="CE219" i="14"/>
  <c r="BU219" i="14"/>
  <c r="BP219" i="14"/>
  <c r="DV218" i="14"/>
  <c r="DQ218" i="14"/>
  <c r="DB218" i="14"/>
  <c r="DA218" i="14"/>
  <c r="CZ218" i="14"/>
  <c r="CY218" i="14"/>
  <c r="CS218" i="14"/>
  <c r="CN218" i="14"/>
  <c r="CJ218" i="14"/>
  <c r="CE218" i="14"/>
  <c r="BU218" i="14"/>
  <c r="BP218" i="14"/>
  <c r="DV217" i="14"/>
  <c r="DQ217" i="14"/>
  <c r="DB217" i="14"/>
  <c r="DA217" i="14"/>
  <c r="CZ217" i="14"/>
  <c r="CY217" i="14"/>
  <c r="CS217" i="14"/>
  <c r="CN217" i="14"/>
  <c r="CJ217" i="14"/>
  <c r="CE217" i="14"/>
  <c r="BU217" i="14"/>
  <c r="BP217" i="14"/>
  <c r="DV216" i="14"/>
  <c r="DQ216" i="14"/>
  <c r="DB216" i="14"/>
  <c r="DA216" i="14"/>
  <c r="CZ216" i="14"/>
  <c r="CY216" i="14"/>
  <c r="CS216" i="14"/>
  <c r="CN216" i="14"/>
  <c r="CJ216" i="14"/>
  <c r="CE216" i="14"/>
  <c r="BU216" i="14"/>
  <c r="BP216" i="14"/>
  <c r="DV215" i="14"/>
  <c r="DQ215" i="14"/>
  <c r="DB215" i="14"/>
  <c r="DA215" i="14"/>
  <c r="CZ215" i="14"/>
  <c r="CY215" i="14"/>
  <c r="CS215" i="14"/>
  <c r="CN215" i="14"/>
  <c r="CJ215" i="14"/>
  <c r="CE215" i="14"/>
  <c r="BU215" i="14"/>
  <c r="BP215" i="14"/>
  <c r="DV214" i="14"/>
  <c r="DQ214" i="14"/>
  <c r="DB214" i="14"/>
  <c r="DA214" i="14"/>
  <c r="CZ214" i="14"/>
  <c r="CY214" i="14"/>
  <c r="CS214" i="14"/>
  <c r="CN214" i="14"/>
  <c r="CJ214" i="14"/>
  <c r="CE214" i="14"/>
  <c r="BU214" i="14"/>
  <c r="BP214" i="14"/>
  <c r="DV213" i="14"/>
  <c r="DQ213" i="14"/>
  <c r="DB213" i="14"/>
  <c r="DA213" i="14"/>
  <c r="CZ213" i="14"/>
  <c r="CY213" i="14"/>
  <c r="CS213" i="14"/>
  <c r="CN213" i="14"/>
  <c r="CJ213" i="14"/>
  <c r="CE213" i="14"/>
  <c r="BU213" i="14"/>
  <c r="BP213" i="14"/>
  <c r="DV212" i="14"/>
  <c r="DQ212" i="14"/>
  <c r="DB212" i="14"/>
  <c r="DA212" i="14"/>
  <c r="CZ212" i="14"/>
  <c r="CY212" i="14"/>
  <c r="CS212" i="14"/>
  <c r="CN212" i="14"/>
  <c r="CJ212" i="14"/>
  <c r="CE212" i="14"/>
  <c r="BU212" i="14"/>
  <c r="BP212" i="14"/>
  <c r="DV211" i="14"/>
  <c r="DQ211" i="14"/>
  <c r="DB211" i="14"/>
  <c r="DA211" i="14"/>
  <c r="CZ211" i="14"/>
  <c r="CY211" i="14"/>
  <c r="CS211" i="14"/>
  <c r="CN211" i="14"/>
  <c r="CJ211" i="14"/>
  <c r="CE211" i="14"/>
  <c r="BU211" i="14"/>
  <c r="BP211" i="14"/>
  <c r="DV210" i="14"/>
  <c r="DQ210" i="14"/>
  <c r="DB210" i="14"/>
  <c r="DA210" i="14"/>
  <c r="CZ210" i="14"/>
  <c r="CY210" i="14"/>
  <c r="CS210" i="14"/>
  <c r="CN210" i="14"/>
  <c r="CJ210" i="14"/>
  <c r="CE210" i="14"/>
  <c r="BU210" i="14"/>
  <c r="BP210" i="14"/>
  <c r="DV209" i="14"/>
  <c r="DQ209" i="14"/>
  <c r="DB209" i="14"/>
  <c r="DA209" i="14"/>
  <c r="CZ209" i="14"/>
  <c r="CY209" i="14"/>
  <c r="CS209" i="14"/>
  <c r="CN209" i="14"/>
  <c r="CJ209" i="14"/>
  <c r="CE209" i="14"/>
  <c r="BU209" i="14"/>
  <c r="BP209" i="14"/>
  <c r="DV208" i="14"/>
  <c r="DQ208" i="14"/>
  <c r="DB208" i="14"/>
  <c r="DA208" i="14"/>
  <c r="CZ208" i="14"/>
  <c r="CY208" i="14"/>
  <c r="CS208" i="14"/>
  <c r="CN208" i="14"/>
  <c r="CJ208" i="14"/>
  <c r="CE208" i="14"/>
  <c r="BU208" i="14"/>
  <c r="BP208" i="14"/>
  <c r="DV207" i="14"/>
  <c r="DQ207" i="14"/>
  <c r="DB207" i="14"/>
  <c r="DA207" i="14"/>
  <c r="CZ207" i="14"/>
  <c r="CY207" i="14"/>
  <c r="CS207" i="14"/>
  <c r="CN207" i="14"/>
  <c r="CJ207" i="14"/>
  <c r="CE207" i="14"/>
  <c r="BU207" i="14"/>
  <c r="BP207" i="14"/>
  <c r="DV206" i="14"/>
  <c r="DQ206" i="14"/>
  <c r="DB206" i="14"/>
  <c r="DA206" i="14"/>
  <c r="CZ206" i="14"/>
  <c r="CY206" i="14"/>
  <c r="CS206" i="14"/>
  <c r="CN206" i="14"/>
  <c r="CJ206" i="14"/>
  <c r="CE206" i="14"/>
  <c r="BU206" i="14"/>
  <c r="BP206" i="14"/>
  <c r="DV205" i="14"/>
  <c r="DQ205" i="14"/>
  <c r="DB205" i="14"/>
  <c r="DA205" i="14"/>
  <c r="CZ205" i="14"/>
  <c r="CY205" i="14"/>
  <c r="CS205" i="14"/>
  <c r="CN205" i="14"/>
  <c r="CJ205" i="14"/>
  <c r="CE205" i="14"/>
  <c r="BU205" i="14"/>
  <c r="BP205" i="14"/>
  <c r="DV204" i="14"/>
  <c r="DQ204" i="14"/>
  <c r="DB204" i="14"/>
  <c r="DA204" i="14"/>
  <c r="CZ204" i="14"/>
  <c r="CY204" i="14"/>
  <c r="CS204" i="14"/>
  <c r="CN204" i="14"/>
  <c r="CJ204" i="14"/>
  <c r="CE204" i="14"/>
  <c r="BU204" i="14"/>
  <c r="BP204" i="14"/>
  <c r="DZ203" i="14"/>
  <c r="DY203" i="14"/>
  <c r="DW203" i="14"/>
  <c r="DU203" i="14"/>
  <c r="DT203" i="14"/>
  <c r="DR203" i="14"/>
  <c r="DE203" i="14"/>
  <c r="DD203" i="14"/>
  <c r="DC203" i="14"/>
  <c r="CW203" i="14"/>
  <c r="CV203" i="14"/>
  <c r="CU203" i="14"/>
  <c r="CT203" i="14"/>
  <c r="CR203" i="14"/>
  <c r="CQ203" i="14"/>
  <c r="CP203" i="14"/>
  <c r="CO203" i="14"/>
  <c r="BY203" i="14"/>
  <c r="BT203" i="14"/>
  <c r="BS203" i="14"/>
  <c r="CD203" i="14" s="1"/>
  <c r="BR203" i="14"/>
  <c r="CC203" i="14" s="1"/>
  <c r="BQ203" i="14"/>
  <c r="CB203" i="14" s="1"/>
  <c r="DV202" i="14"/>
  <c r="DQ202" i="14"/>
  <c r="DB202" i="14"/>
  <c r="DA202" i="14"/>
  <c r="CZ202" i="14"/>
  <c r="CY202" i="14"/>
  <c r="CS202" i="14"/>
  <c r="CN202" i="14"/>
  <c r="CJ202" i="14"/>
  <c r="CE202" i="14"/>
  <c r="BU202" i="14"/>
  <c r="BP202" i="14"/>
  <c r="DV201" i="14"/>
  <c r="DQ201" i="14"/>
  <c r="DB201" i="14"/>
  <c r="DA201" i="14"/>
  <c r="CZ201" i="14"/>
  <c r="CY201" i="14"/>
  <c r="CS201" i="14"/>
  <c r="CN201" i="14"/>
  <c r="CJ201" i="14"/>
  <c r="CE201" i="14"/>
  <c r="BU201" i="14"/>
  <c r="BP201" i="14"/>
  <c r="DV200" i="14"/>
  <c r="DQ200" i="14"/>
  <c r="DB200" i="14"/>
  <c r="DA200" i="14"/>
  <c r="CZ200" i="14"/>
  <c r="CY200" i="14"/>
  <c r="CS200" i="14"/>
  <c r="CN200" i="14"/>
  <c r="CJ200" i="14"/>
  <c r="CE200" i="14"/>
  <c r="BU200" i="14"/>
  <c r="BP200" i="14"/>
  <c r="DV199" i="14"/>
  <c r="DQ199" i="14"/>
  <c r="DB199" i="14"/>
  <c r="DA199" i="14"/>
  <c r="CZ199" i="14"/>
  <c r="CY199" i="14"/>
  <c r="CS199" i="14"/>
  <c r="CN199" i="14"/>
  <c r="CJ199" i="14"/>
  <c r="CE199" i="14"/>
  <c r="BU199" i="14"/>
  <c r="BP199" i="14"/>
  <c r="DV198" i="14"/>
  <c r="DQ198" i="14"/>
  <c r="DB198" i="14"/>
  <c r="DA198" i="14"/>
  <c r="CZ198" i="14"/>
  <c r="CY198" i="14"/>
  <c r="CS198" i="14"/>
  <c r="CN198" i="14"/>
  <c r="CJ198" i="14"/>
  <c r="CE198" i="14"/>
  <c r="BU198" i="14"/>
  <c r="BP198" i="14"/>
  <c r="DV197" i="14"/>
  <c r="DQ197" i="14"/>
  <c r="DB197" i="14"/>
  <c r="DA197" i="14"/>
  <c r="CZ197" i="14"/>
  <c r="CY197" i="14"/>
  <c r="CS197" i="14"/>
  <c r="CN197" i="14"/>
  <c r="CJ197" i="14"/>
  <c r="CE197" i="14"/>
  <c r="BU197" i="14"/>
  <c r="BP197" i="14"/>
  <c r="DV196" i="14"/>
  <c r="DQ196" i="14"/>
  <c r="DB196" i="14"/>
  <c r="DA196" i="14"/>
  <c r="CZ196" i="14"/>
  <c r="CY196" i="14"/>
  <c r="CS196" i="14"/>
  <c r="CN196" i="14"/>
  <c r="CJ196" i="14"/>
  <c r="CE196" i="14"/>
  <c r="BU196" i="14"/>
  <c r="BP196" i="14"/>
  <c r="DZ195" i="14"/>
  <c r="DY195" i="14"/>
  <c r="DX195" i="14"/>
  <c r="DW195" i="14"/>
  <c r="DU195" i="14"/>
  <c r="DT195" i="14"/>
  <c r="DR195" i="14"/>
  <c r="DE195" i="14"/>
  <c r="DD195" i="14"/>
  <c r="DC195" i="14"/>
  <c r="CW195" i="14"/>
  <c r="CV195" i="14"/>
  <c r="CU195" i="14"/>
  <c r="CT195" i="14"/>
  <c r="CR195" i="14"/>
  <c r="CQ195" i="14"/>
  <c r="CP195" i="14"/>
  <c r="CO195" i="14"/>
  <c r="BY195" i="14"/>
  <c r="BT195" i="14"/>
  <c r="BS195" i="14"/>
  <c r="CD195" i="14" s="1"/>
  <c r="BR195" i="14"/>
  <c r="CC195" i="14" s="1"/>
  <c r="BQ195" i="14"/>
  <c r="CB195" i="14" s="1"/>
  <c r="DV194" i="14"/>
  <c r="DQ194" i="14"/>
  <c r="DB194" i="14"/>
  <c r="DA194" i="14"/>
  <c r="CZ194" i="14"/>
  <c r="CY194" i="14"/>
  <c r="CS194" i="14"/>
  <c r="CN194" i="14"/>
  <c r="CJ194" i="14"/>
  <c r="CE194" i="14"/>
  <c r="BU194" i="14"/>
  <c r="BP194" i="14"/>
  <c r="DV193" i="14"/>
  <c r="DQ193" i="14"/>
  <c r="DB193" i="14"/>
  <c r="DA193" i="14"/>
  <c r="CZ193" i="14"/>
  <c r="CY193" i="14"/>
  <c r="CS193" i="14"/>
  <c r="CN193" i="14"/>
  <c r="CJ193" i="14"/>
  <c r="CE193" i="14"/>
  <c r="BU193" i="14"/>
  <c r="BP193" i="14"/>
  <c r="DV192" i="14"/>
  <c r="DQ192" i="14"/>
  <c r="DB192" i="14"/>
  <c r="DA192" i="14"/>
  <c r="CZ192" i="14"/>
  <c r="CY192" i="14"/>
  <c r="CS192" i="14"/>
  <c r="CN192" i="14"/>
  <c r="CJ192" i="14"/>
  <c r="CE192" i="14"/>
  <c r="BU192" i="14"/>
  <c r="BP192" i="14"/>
  <c r="DV191" i="14"/>
  <c r="DQ191" i="14"/>
  <c r="DB191" i="14"/>
  <c r="DA191" i="14"/>
  <c r="CZ191" i="14"/>
  <c r="CY191" i="14"/>
  <c r="CS191" i="14"/>
  <c r="CN191" i="14"/>
  <c r="CJ191" i="14"/>
  <c r="CE191" i="14"/>
  <c r="BU191" i="14"/>
  <c r="BP191" i="14"/>
  <c r="DV190" i="14"/>
  <c r="DQ190" i="14"/>
  <c r="DB190" i="14"/>
  <c r="DA190" i="14"/>
  <c r="CZ190" i="14"/>
  <c r="CY190" i="14"/>
  <c r="CS190" i="14"/>
  <c r="CN190" i="14"/>
  <c r="CJ190" i="14"/>
  <c r="CE190" i="14"/>
  <c r="BU190" i="14"/>
  <c r="BP190" i="14"/>
  <c r="DV189" i="14"/>
  <c r="DQ189" i="14"/>
  <c r="DB189" i="14"/>
  <c r="DA189" i="14"/>
  <c r="CZ189" i="14"/>
  <c r="CY189" i="14"/>
  <c r="CS189" i="14"/>
  <c r="CN189" i="14"/>
  <c r="CJ189" i="14"/>
  <c r="CE189" i="14"/>
  <c r="BU189" i="14"/>
  <c r="BP189" i="14"/>
  <c r="DV188" i="14"/>
  <c r="DQ188" i="14"/>
  <c r="DB188" i="14"/>
  <c r="DA188" i="14"/>
  <c r="CZ188" i="14"/>
  <c r="CY188" i="14"/>
  <c r="CS188" i="14"/>
  <c r="CN188" i="14"/>
  <c r="CJ188" i="14"/>
  <c r="CE188" i="14"/>
  <c r="BU188" i="14"/>
  <c r="BP188" i="14"/>
  <c r="DV187" i="14"/>
  <c r="DQ187" i="14"/>
  <c r="DB187" i="14"/>
  <c r="DA187" i="14"/>
  <c r="CZ187" i="14"/>
  <c r="CY187" i="14"/>
  <c r="CS187" i="14"/>
  <c r="CN187" i="14"/>
  <c r="CJ187" i="14"/>
  <c r="CE187" i="14"/>
  <c r="BU187" i="14"/>
  <c r="BP187" i="14"/>
  <c r="DV186" i="14"/>
  <c r="DQ186" i="14"/>
  <c r="DB186" i="14"/>
  <c r="DA186" i="14"/>
  <c r="CZ186" i="14"/>
  <c r="CY186" i="14"/>
  <c r="CS186" i="14"/>
  <c r="CN186" i="14"/>
  <c r="CJ186" i="14"/>
  <c r="CE186" i="14"/>
  <c r="BU186" i="14"/>
  <c r="BP186" i="14"/>
  <c r="DV185" i="14"/>
  <c r="DQ185" i="14"/>
  <c r="DB185" i="14"/>
  <c r="DA185" i="14"/>
  <c r="CZ185" i="14"/>
  <c r="CY185" i="14"/>
  <c r="CS185" i="14"/>
  <c r="CN185" i="14"/>
  <c r="CJ185" i="14"/>
  <c r="CE185" i="14"/>
  <c r="BU185" i="14"/>
  <c r="BP185" i="14"/>
  <c r="DV184" i="14"/>
  <c r="DQ184" i="14"/>
  <c r="DE184" i="14"/>
  <c r="DB184" i="14"/>
  <c r="DA184" i="14"/>
  <c r="CZ184" i="14"/>
  <c r="CY184" i="14"/>
  <c r="CS184" i="14"/>
  <c r="CN184" i="14"/>
  <c r="CJ184" i="14"/>
  <c r="CE184" i="14"/>
  <c r="BU184" i="14"/>
  <c r="BP184" i="14"/>
  <c r="DV183" i="14"/>
  <c r="DQ183" i="14"/>
  <c r="DB183" i="14"/>
  <c r="DA183" i="14"/>
  <c r="CZ183" i="14"/>
  <c r="CY183" i="14"/>
  <c r="CS183" i="14"/>
  <c r="CN183" i="14"/>
  <c r="CJ183" i="14"/>
  <c r="CE183" i="14"/>
  <c r="BU183" i="14"/>
  <c r="BP183" i="14"/>
  <c r="DV182" i="14"/>
  <c r="DQ182" i="14"/>
  <c r="DB182" i="14"/>
  <c r="DA182" i="14"/>
  <c r="CZ182" i="14"/>
  <c r="CY182" i="14"/>
  <c r="CS182" i="14"/>
  <c r="CN182" i="14"/>
  <c r="CJ182" i="14"/>
  <c r="CE182" i="14"/>
  <c r="BU182" i="14"/>
  <c r="BP182" i="14"/>
  <c r="DV181" i="14"/>
  <c r="DQ181" i="14"/>
  <c r="DB181" i="14"/>
  <c r="DA181" i="14"/>
  <c r="CZ181" i="14"/>
  <c r="CY181" i="14"/>
  <c r="CS181" i="14"/>
  <c r="CN181" i="14"/>
  <c r="CJ181" i="14"/>
  <c r="CE181" i="14"/>
  <c r="BU181" i="14"/>
  <c r="BP181" i="14"/>
  <c r="DV180" i="14"/>
  <c r="DQ180" i="14"/>
  <c r="DB180" i="14"/>
  <c r="DA180" i="14"/>
  <c r="CZ180" i="14"/>
  <c r="CY180" i="14"/>
  <c r="CS180" i="14"/>
  <c r="CN180" i="14"/>
  <c r="CJ180" i="14"/>
  <c r="CE180" i="14"/>
  <c r="BU180" i="14"/>
  <c r="BP180" i="14"/>
  <c r="DV179" i="14"/>
  <c r="DQ179" i="14"/>
  <c r="DB179" i="14"/>
  <c r="DA179" i="14"/>
  <c r="CZ179" i="14"/>
  <c r="CY179" i="14"/>
  <c r="CS179" i="14"/>
  <c r="CN179" i="14"/>
  <c r="CJ179" i="14"/>
  <c r="CE179" i="14"/>
  <c r="BU179" i="14"/>
  <c r="BP179" i="14"/>
  <c r="DV178" i="14"/>
  <c r="DQ178" i="14"/>
  <c r="DE178" i="14"/>
  <c r="DB178" i="14"/>
  <c r="DA178" i="14"/>
  <c r="CZ178" i="14"/>
  <c r="CY178" i="14"/>
  <c r="CS178" i="14"/>
  <c r="CN178" i="14"/>
  <c r="CJ178" i="14"/>
  <c r="CE178" i="14"/>
  <c r="BU178" i="14"/>
  <c r="BP178" i="14"/>
  <c r="DZ177" i="14"/>
  <c r="DY177" i="14"/>
  <c r="DW177" i="14"/>
  <c r="DU177" i="14"/>
  <c r="DT177" i="14"/>
  <c r="DR177" i="14"/>
  <c r="DD177" i="14"/>
  <c r="DC177" i="14"/>
  <c r="CW177" i="14"/>
  <c r="CV177" i="14"/>
  <c r="CU177" i="14"/>
  <c r="CT177" i="14"/>
  <c r="CR177" i="14"/>
  <c r="CQ177" i="14"/>
  <c r="CP177" i="14"/>
  <c r="CO177" i="14"/>
  <c r="BY177" i="14"/>
  <c r="BT177" i="14"/>
  <c r="BS177" i="14"/>
  <c r="CD177" i="14" s="1"/>
  <c r="BR177" i="14"/>
  <c r="CC177" i="14" s="1"/>
  <c r="BQ177" i="14"/>
  <c r="CB177" i="14" s="1"/>
  <c r="DV176" i="14"/>
  <c r="DQ176" i="14"/>
  <c r="DB176" i="14"/>
  <c r="DA176" i="14"/>
  <c r="CZ176" i="14"/>
  <c r="CY176" i="14"/>
  <c r="CS176" i="14"/>
  <c r="CN176" i="14"/>
  <c r="CJ176" i="14"/>
  <c r="CE176" i="14"/>
  <c r="BU176" i="14"/>
  <c r="BP176" i="14"/>
  <c r="DV175" i="14"/>
  <c r="DQ175" i="14"/>
  <c r="DB175" i="14"/>
  <c r="DA175" i="14"/>
  <c r="CZ175" i="14"/>
  <c r="CY175" i="14"/>
  <c r="CS175" i="14"/>
  <c r="CN175" i="14"/>
  <c r="CJ175" i="14"/>
  <c r="CE175" i="14"/>
  <c r="BU175" i="14"/>
  <c r="BP175" i="14"/>
  <c r="DV174" i="14"/>
  <c r="DQ174" i="14"/>
  <c r="DB174" i="14"/>
  <c r="DA174" i="14"/>
  <c r="CZ174" i="14"/>
  <c r="CY174" i="14"/>
  <c r="CS174" i="14"/>
  <c r="CN174" i="14"/>
  <c r="CJ174" i="14"/>
  <c r="CE174" i="14"/>
  <c r="BU174" i="14"/>
  <c r="BP174" i="14"/>
  <c r="DV173" i="14"/>
  <c r="DQ173" i="14"/>
  <c r="DB173" i="14"/>
  <c r="DA173" i="14"/>
  <c r="CZ173" i="14"/>
  <c r="CY173" i="14"/>
  <c r="CS173" i="14"/>
  <c r="CN173" i="14"/>
  <c r="CJ173" i="14"/>
  <c r="CE173" i="14"/>
  <c r="BU173" i="14"/>
  <c r="BP173" i="14"/>
  <c r="DV172" i="14"/>
  <c r="DQ172" i="14"/>
  <c r="DB172" i="14"/>
  <c r="DA172" i="14"/>
  <c r="CZ172" i="14"/>
  <c r="CY172" i="14"/>
  <c r="CS172" i="14"/>
  <c r="CN172" i="14"/>
  <c r="CJ172" i="14"/>
  <c r="CE172" i="14"/>
  <c r="BU172" i="14"/>
  <c r="BP172" i="14"/>
  <c r="DV171" i="14"/>
  <c r="DQ171" i="14"/>
  <c r="DB171" i="14"/>
  <c r="DA171" i="14"/>
  <c r="CZ171" i="14"/>
  <c r="CY171" i="14"/>
  <c r="CS171" i="14"/>
  <c r="CN171" i="14"/>
  <c r="CJ171" i="14"/>
  <c r="CE171" i="14"/>
  <c r="BU171" i="14"/>
  <c r="BP171" i="14"/>
  <c r="DV170" i="14"/>
  <c r="DQ170" i="14"/>
  <c r="DB170" i="14"/>
  <c r="DA170" i="14"/>
  <c r="CZ170" i="14"/>
  <c r="CY170" i="14"/>
  <c r="CS170" i="14"/>
  <c r="CN170" i="14"/>
  <c r="CJ170" i="14"/>
  <c r="CE170" i="14"/>
  <c r="BU170" i="14"/>
  <c r="BP170" i="14"/>
  <c r="DV169" i="14"/>
  <c r="DQ169" i="14"/>
  <c r="DB169" i="14"/>
  <c r="DA169" i="14"/>
  <c r="CZ169" i="14"/>
  <c r="CY169" i="14"/>
  <c r="CS169" i="14"/>
  <c r="CN169" i="14"/>
  <c r="CJ169" i="14"/>
  <c r="CE169" i="14"/>
  <c r="BU169" i="14"/>
  <c r="BP169" i="14"/>
  <c r="DV168" i="14"/>
  <c r="DQ168" i="14"/>
  <c r="DB168" i="14"/>
  <c r="DA168" i="14"/>
  <c r="CZ168" i="14"/>
  <c r="CY168" i="14"/>
  <c r="CS168" i="14"/>
  <c r="CN168" i="14"/>
  <c r="CJ168" i="14"/>
  <c r="CE168" i="14"/>
  <c r="BU168" i="14"/>
  <c r="BP168" i="14"/>
  <c r="DV167" i="14"/>
  <c r="DQ167" i="14"/>
  <c r="DB167" i="14"/>
  <c r="DA167" i="14"/>
  <c r="CZ167" i="14"/>
  <c r="CY167" i="14"/>
  <c r="CS167" i="14"/>
  <c r="CN167" i="14"/>
  <c r="CJ167" i="14"/>
  <c r="CE167" i="14"/>
  <c r="BU167" i="14"/>
  <c r="BP167" i="14"/>
  <c r="DV166" i="14"/>
  <c r="DQ166" i="14"/>
  <c r="DB166" i="14"/>
  <c r="DA166" i="14"/>
  <c r="CZ166" i="14"/>
  <c r="CY166" i="14"/>
  <c r="CS166" i="14"/>
  <c r="CN166" i="14"/>
  <c r="CJ166" i="14"/>
  <c r="CE166" i="14"/>
  <c r="BU166" i="14"/>
  <c r="BP166" i="14"/>
  <c r="DV165" i="14"/>
  <c r="DQ165" i="14"/>
  <c r="DB165" i="14"/>
  <c r="DA165" i="14"/>
  <c r="CZ165" i="14"/>
  <c r="CY165" i="14"/>
  <c r="CS165" i="14"/>
  <c r="CN165" i="14"/>
  <c r="CJ165" i="14"/>
  <c r="CE165" i="14"/>
  <c r="BU165" i="14"/>
  <c r="BP165" i="14"/>
  <c r="DV164" i="14"/>
  <c r="DQ164" i="14"/>
  <c r="DB164" i="14"/>
  <c r="DA164" i="14"/>
  <c r="CZ164" i="14"/>
  <c r="CY164" i="14"/>
  <c r="CS164" i="14"/>
  <c r="CN164" i="14"/>
  <c r="CJ164" i="14"/>
  <c r="CE164" i="14"/>
  <c r="BU164" i="14"/>
  <c r="BP164" i="14"/>
  <c r="DV163" i="14"/>
  <c r="DQ163" i="14"/>
  <c r="DB163" i="14"/>
  <c r="DA163" i="14"/>
  <c r="CZ163" i="14"/>
  <c r="CY163" i="14"/>
  <c r="CS163" i="14"/>
  <c r="CN163" i="14"/>
  <c r="CJ163" i="14"/>
  <c r="CE163" i="14"/>
  <c r="BU163" i="14"/>
  <c r="BP163" i="14"/>
  <c r="DV162" i="14"/>
  <c r="DQ162" i="14"/>
  <c r="DB162" i="14"/>
  <c r="DA162" i="14"/>
  <c r="CZ162" i="14"/>
  <c r="CY162" i="14"/>
  <c r="CS162" i="14"/>
  <c r="CN162" i="14"/>
  <c r="CJ162" i="14"/>
  <c r="CE162" i="14"/>
  <c r="BU162" i="14"/>
  <c r="BP162" i="14"/>
  <c r="DV161" i="14"/>
  <c r="DQ161" i="14"/>
  <c r="DB161" i="14"/>
  <c r="DA161" i="14"/>
  <c r="CZ161" i="14"/>
  <c r="CY161" i="14"/>
  <c r="CS161" i="14"/>
  <c r="CN161" i="14"/>
  <c r="CJ161" i="14"/>
  <c r="CE161" i="14"/>
  <c r="BU161" i="14"/>
  <c r="BP161" i="14"/>
  <c r="DV160" i="14"/>
  <c r="DQ160" i="14"/>
  <c r="DB160" i="14"/>
  <c r="DA160" i="14"/>
  <c r="CZ160" i="14"/>
  <c r="CY160" i="14"/>
  <c r="CS160" i="14"/>
  <c r="CN160" i="14"/>
  <c r="CJ160" i="14"/>
  <c r="CE160" i="14"/>
  <c r="BU160" i="14"/>
  <c r="BP160" i="14"/>
  <c r="DZ159" i="14"/>
  <c r="DY159" i="14"/>
  <c r="DX159" i="14"/>
  <c r="DW159" i="14"/>
  <c r="DU159" i="14"/>
  <c r="DT159" i="14"/>
  <c r="DR159" i="14"/>
  <c r="DE159" i="14"/>
  <c r="DD159" i="14"/>
  <c r="DC159" i="14"/>
  <c r="CW159" i="14"/>
  <c r="CV159" i="14"/>
  <c r="CU159" i="14"/>
  <c r="CT159" i="14"/>
  <c r="CR159" i="14"/>
  <c r="CQ159" i="14"/>
  <c r="CP159" i="14"/>
  <c r="CO159" i="14"/>
  <c r="BY159" i="14"/>
  <c r="BT159" i="14"/>
  <c r="BS159" i="14"/>
  <c r="CD159" i="14" s="1"/>
  <c r="BR159" i="14"/>
  <c r="CC159" i="14" s="1"/>
  <c r="BQ159" i="14"/>
  <c r="CB159" i="14" s="1"/>
  <c r="DV158" i="14"/>
  <c r="DQ158" i="14"/>
  <c r="DB158" i="14"/>
  <c r="DA158" i="14"/>
  <c r="CZ158" i="14"/>
  <c r="CY158" i="14"/>
  <c r="CS158" i="14"/>
  <c r="CN158" i="14"/>
  <c r="CJ158" i="14"/>
  <c r="CE158" i="14"/>
  <c r="BU158" i="14"/>
  <c r="BP158" i="14"/>
  <c r="DV157" i="14"/>
  <c r="DQ157" i="14"/>
  <c r="DB157" i="14"/>
  <c r="DA157" i="14"/>
  <c r="CZ157" i="14"/>
  <c r="CY157" i="14"/>
  <c r="CS157" i="14"/>
  <c r="CN157" i="14"/>
  <c r="CJ157" i="14"/>
  <c r="CE157" i="14"/>
  <c r="BU157" i="14"/>
  <c r="BP157" i="14"/>
  <c r="DV156" i="14"/>
  <c r="DQ156" i="14"/>
  <c r="DB156" i="14"/>
  <c r="DA156" i="14"/>
  <c r="CZ156" i="14"/>
  <c r="CY156" i="14"/>
  <c r="CS156" i="14"/>
  <c r="CN156" i="14"/>
  <c r="CJ156" i="14"/>
  <c r="CE156" i="14"/>
  <c r="BU156" i="14"/>
  <c r="BP156" i="14"/>
  <c r="DV155" i="14"/>
  <c r="DQ155" i="14"/>
  <c r="DB155" i="14"/>
  <c r="DA155" i="14"/>
  <c r="CZ155" i="14"/>
  <c r="CY155" i="14"/>
  <c r="CS155" i="14"/>
  <c r="CN155" i="14"/>
  <c r="CJ155" i="14"/>
  <c r="CE155" i="14"/>
  <c r="BU155" i="14"/>
  <c r="BP155" i="14"/>
  <c r="DV154" i="14"/>
  <c r="DQ154" i="14"/>
  <c r="DB154" i="14"/>
  <c r="DA154" i="14"/>
  <c r="CZ154" i="14"/>
  <c r="CY154" i="14"/>
  <c r="CS154" i="14"/>
  <c r="CN154" i="14"/>
  <c r="CJ154" i="14"/>
  <c r="CE154" i="14"/>
  <c r="BU154" i="14"/>
  <c r="BP154" i="14"/>
  <c r="DV153" i="14"/>
  <c r="DQ153" i="14"/>
  <c r="DB153" i="14"/>
  <c r="DA153" i="14"/>
  <c r="CZ153" i="14"/>
  <c r="CY153" i="14"/>
  <c r="CS153" i="14"/>
  <c r="CN153" i="14"/>
  <c r="CJ153" i="14"/>
  <c r="CE153" i="14"/>
  <c r="BU153" i="14"/>
  <c r="BP153" i="14"/>
  <c r="DV152" i="14"/>
  <c r="DQ152" i="14"/>
  <c r="DE152" i="14"/>
  <c r="DE151" i="14" s="1"/>
  <c r="DB152" i="14"/>
  <c r="DA152" i="14"/>
  <c r="CZ152" i="14"/>
  <c r="CY152" i="14"/>
  <c r="CS152" i="14"/>
  <c r="CN152" i="14"/>
  <c r="CJ152" i="14"/>
  <c r="CE152" i="14"/>
  <c r="BU152" i="14"/>
  <c r="BP152" i="14"/>
  <c r="DZ151" i="14"/>
  <c r="DY151" i="14"/>
  <c r="DX151" i="14"/>
  <c r="DW151" i="14"/>
  <c r="DU151" i="14"/>
  <c r="DT151" i="14"/>
  <c r="DR151" i="14"/>
  <c r="DD151" i="14"/>
  <c r="DC151" i="14"/>
  <c r="CW151" i="14"/>
  <c r="CV151" i="14"/>
  <c r="CU151" i="14"/>
  <c r="CT151" i="14"/>
  <c r="CR151" i="14"/>
  <c r="CQ151" i="14"/>
  <c r="CP151" i="14"/>
  <c r="CO151" i="14"/>
  <c r="BY151" i="14"/>
  <c r="BT151" i="14"/>
  <c r="BS151" i="14"/>
  <c r="CD151" i="14" s="1"/>
  <c r="BR151" i="14"/>
  <c r="CC151" i="14" s="1"/>
  <c r="BQ151" i="14"/>
  <c r="CB151" i="14" s="1"/>
  <c r="DV150" i="14"/>
  <c r="DQ150" i="14"/>
  <c r="DB150" i="14"/>
  <c r="DA150" i="14"/>
  <c r="CZ150" i="14"/>
  <c r="CY150" i="14"/>
  <c r="CS150" i="14"/>
  <c r="CN150" i="14"/>
  <c r="CJ150" i="14"/>
  <c r="CE150" i="14"/>
  <c r="BU150" i="14"/>
  <c r="BP150" i="14"/>
  <c r="DV149" i="14"/>
  <c r="DQ149" i="14"/>
  <c r="DB149" i="14"/>
  <c r="DA149" i="14"/>
  <c r="CZ149" i="14"/>
  <c r="CY149" i="14"/>
  <c r="CS149" i="14"/>
  <c r="CN149" i="14"/>
  <c r="CJ149" i="14"/>
  <c r="CE149" i="14"/>
  <c r="BU149" i="14"/>
  <c r="BP149" i="14"/>
  <c r="DV148" i="14"/>
  <c r="DQ148" i="14"/>
  <c r="DB148" i="14"/>
  <c r="DA148" i="14"/>
  <c r="CZ148" i="14"/>
  <c r="CY148" i="14"/>
  <c r="CS148" i="14"/>
  <c r="CN148" i="14"/>
  <c r="CJ148" i="14"/>
  <c r="CE148" i="14"/>
  <c r="BU148" i="14"/>
  <c r="BP148" i="14"/>
  <c r="DV147" i="14"/>
  <c r="DQ147" i="14"/>
  <c r="DB147" i="14"/>
  <c r="DA147" i="14"/>
  <c r="CZ147" i="14"/>
  <c r="CY147" i="14"/>
  <c r="CS147" i="14"/>
  <c r="CN147" i="14"/>
  <c r="CJ147" i="14"/>
  <c r="CE147" i="14"/>
  <c r="BU147" i="14"/>
  <c r="BP147" i="14"/>
  <c r="DV146" i="14"/>
  <c r="DQ146" i="14"/>
  <c r="DB146" i="14"/>
  <c r="DA146" i="14"/>
  <c r="CZ146" i="14"/>
  <c r="CY146" i="14"/>
  <c r="CS146" i="14"/>
  <c r="CN146" i="14"/>
  <c r="CJ146" i="14"/>
  <c r="CE146" i="14"/>
  <c r="BU146" i="14"/>
  <c r="BP146" i="14"/>
  <c r="DV145" i="14"/>
  <c r="DQ145" i="14"/>
  <c r="DB145" i="14"/>
  <c r="DA145" i="14"/>
  <c r="CZ145" i="14"/>
  <c r="CY145" i="14"/>
  <c r="CS145" i="14"/>
  <c r="CN145" i="14"/>
  <c r="CJ145" i="14"/>
  <c r="CE145" i="14"/>
  <c r="BU145" i="14"/>
  <c r="BP145" i="14"/>
  <c r="DV144" i="14"/>
  <c r="DQ144" i="14"/>
  <c r="DB144" i="14"/>
  <c r="DA144" i="14"/>
  <c r="CZ144" i="14"/>
  <c r="CY144" i="14"/>
  <c r="CS144" i="14"/>
  <c r="CN144" i="14"/>
  <c r="CJ144" i="14"/>
  <c r="CE144" i="14"/>
  <c r="BU144" i="14"/>
  <c r="BP144" i="14"/>
  <c r="DV143" i="14"/>
  <c r="DQ143" i="14"/>
  <c r="DB143" i="14"/>
  <c r="DA143" i="14"/>
  <c r="CZ143" i="14"/>
  <c r="CY143" i="14"/>
  <c r="CS143" i="14"/>
  <c r="CN143" i="14"/>
  <c r="CJ143" i="14"/>
  <c r="CE143" i="14"/>
  <c r="BU143" i="14"/>
  <c r="BP143" i="14"/>
  <c r="DV142" i="14"/>
  <c r="DQ142" i="14"/>
  <c r="DB142" i="14"/>
  <c r="DA142" i="14"/>
  <c r="CZ142" i="14"/>
  <c r="CY142" i="14"/>
  <c r="CS142" i="14"/>
  <c r="CN142" i="14"/>
  <c r="CJ142" i="14"/>
  <c r="CE142" i="14"/>
  <c r="BU142" i="14"/>
  <c r="BP142" i="14"/>
  <c r="DV141" i="14"/>
  <c r="DQ141" i="14"/>
  <c r="DB141" i="14"/>
  <c r="DA141" i="14"/>
  <c r="CZ141" i="14"/>
  <c r="CY141" i="14"/>
  <c r="CS141" i="14"/>
  <c r="CN141" i="14"/>
  <c r="CJ141" i="14"/>
  <c r="CE141" i="14"/>
  <c r="BU141" i="14"/>
  <c r="BP141" i="14"/>
  <c r="DV140" i="14"/>
  <c r="DQ140" i="14"/>
  <c r="DB140" i="14"/>
  <c r="DA140" i="14"/>
  <c r="CZ140" i="14"/>
  <c r="CY140" i="14"/>
  <c r="CS140" i="14"/>
  <c r="CN140" i="14"/>
  <c r="CJ140" i="14"/>
  <c r="CE140" i="14"/>
  <c r="BU140" i="14"/>
  <c r="BP140" i="14"/>
  <c r="DV139" i="14"/>
  <c r="DQ139" i="14"/>
  <c r="DB139" i="14"/>
  <c r="DA139" i="14"/>
  <c r="CZ139" i="14"/>
  <c r="CY139" i="14"/>
  <c r="CS139" i="14"/>
  <c r="CN139" i="14"/>
  <c r="CJ139" i="14"/>
  <c r="CE139" i="14"/>
  <c r="BU139" i="14"/>
  <c r="BP139" i="14"/>
  <c r="DV138" i="14"/>
  <c r="DQ138" i="14"/>
  <c r="DB138" i="14"/>
  <c r="DA138" i="14"/>
  <c r="CZ138" i="14"/>
  <c r="CY138" i="14"/>
  <c r="CS138" i="14"/>
  <c r="CN138" i="14"/>
  <c r="CJ138" i="14"/>
  <c r="CE138" i="14"/>
  <c r="BU138" i="14"/>
  <c r="BP138" i="14"/>
  <c r="DZ137" i="14"/>
  <c r="DY137" i="14"/>
  <c r="DX137" i="14"/>
  <c r="DW137" i="14"/>
  <c r="DU137" i="14"/>
  <c r="DT137" i="14"/>
  <c r="DR137" i="14"/>
  <c r="DE137" i="14"/>
  <c r="DD137" i="14"/>
  <c r="DC137" i="14"/>
  <c r="CW137" i="14"/>
  <c r="CV137" i="14"/>
  <c r="CU137" i="14"/>
  <c r="CT137" i="14"/>
  <c r="CR137" i="14"/>
  <c r="CQ137" i="14"/>
  <c r="CP137" i="14"/>
  <c r="CO137" i="14"/>
  <c r="BY137" i="14"/>
  <c r="BT137" i="14"/>
  <c r="BS137" i="14"/>
  <c r="CD137" i="14" s="1"/>
  <c r="BR137" i="14"/>
  <c r="CC137" i="14" s="1"/>
  <c r="BQ137" i="14"/>
  <c r="CB137" i="14" s="1"/>
  <c r="DV136" i="14"/>
  <c r="DQ136" i="14"/>
  <c r="DB136" i="14"/>
  <c r="DA136" i="14"/>
  <c r="CZ136" i="14"/>
  <c r="CY136" i="14"/>
  <c r="CS136" i="14"/>
  <c r="CN136" i="14"/>
  <c r="CJ136" i="14"/>
  <c r="CE136" i="14"/>
  <c r="BU136" i="14"/>
  <c r="BP136" i="14"/>
  <c r="DV135" i="14"/>
  <c r="DQ135" i="14"/>
  <c r="DB135" i="14"/>
  <c r="DA135" i="14"/>
  <c r="CZ135" i="14"/>
  <c r="CY135" i="14"/>
  <c r="CS135" i="14"/>
  <c r="CN135" i="14"/>
  <c r="CJ135" i="14"/>
  <c r="CE135" i="14"/>
  <c r="BU135" i="14"/>
  <c r="BP135" i="14"/>
  <c r="DV134" i="14"/>
  <c r="DQ134" i="14"/>
  <c r="DB134" i="14"/>
  <c r="DA134" i="14"/>
  <c r="CZ134" i="14"/>
  <c r="CY134" i="14"/>
  <c r="CS134" i="14"/>
  <c r="CN134" i="14"/>
  <c r="CJ134" i="14"/>
  <c r="CE134" i="14"/>
  <c r="BU134" i="14"/>
  <c r="BP134" i="14"/>
  <c r="DV133" i="14"/>
  <c r="DQ133" i="14"/>
  <c r="DB133" i="14"/>
  <c r="DA133" i="14"/>
  <c r="CZ133" i="14"/>
  <c r="CY133" i="14"/>
  <c r="CS133" i="14"/>
  <c r="CN133" i="14"/>
  <c r="CJ133" i="14"/>
  <c r="CE133" i="14"/>
  <c r="BU133" i="14"/>
  <c r="BP133" i="14"/>
  <c r="DV132" i="14"/>
  <c r="DQ132" i="14"/>
  <c r="DB132" i="14"/>
  <c r="DA132" i="14"/>
  <c r="CZ132" i="14"/>
  <c r="CY132" i="14"/>
  <c r="CS132" i="14"/>
  <c r="CN132" i="14"/>
  <c r="CJ132" i="14"/>
  <c r="CE132" i="14"/>
  <c r="BU132" i="14"/>
  <c r="BP132" i="14"/>
  <c r="DV131" i="14"/>
  <c r="DQ131" i="14"/>
  <c r="DB131" i="14"/>
  <c r="DA131" i="14"/>
  <c r="CZ131" i="14"/>
  <c r="CY131" i="14"/>
  <c r="CS131" i="14"/>
  <c r="CN131" i="14"/>
  <c r="CJ131" i="14"/>
  <c r="CE131" i="14"/>
  <c r="BU131" i="14"/>
  <c r="BP131" i="14"/>
  <c r="DV130" i="14"/>
  <c r="DQ130" i="14"/>
  <c r="DB130" i="14"/>
  <c r="DA130" i="14"/>
  <c r="CZ130" i="14"/>
  <c r="CY130" i="14"/>
  <c r="CS130" i="14"/>
  <c r="CN130" i="14"/>
  <c r="CJ130" i="14"/>
  <c r="CE130" i="14"/>
  <c r="BU130" i="14"/>
  <c r="BP130" i="14"/>
  <c r="DV129" i="14"/>
  <c r="DQ129" i="14"/>
  <c r="DB129" i="14"/>
  <c r="DA129" i="14"/>
  <c r="CZ129" i="14"/>
  <c r="CY129" i="14"/>
  <c r="CS129" i="14"/>
  <c r="CN129" i="14"/>
  <c r="CJ129" i="14"/>
  <c r="CE129" i="14"/>
  <c r="BU129" i="14"/>
  <c r="BP129" i="14"/>
  <c r="DZ128" i="14"/>
  <c r="DY128" i="14"/>
  <c r="DX128" i="14"/>
  <c r="DW128" i="14"/>
  <c r="DU128" i="14"/>
  <c r="DT128" i="14"/>
  <c r="DR128" i="14"/>
  <c r="DE128" i="14"/>
  <c r="DD128" i="14"/>
  <c r="DC128" i="14"/>
  <c r="CW128" i="14"/>
  <c r="CV128" i="14"/>
  <c r="CU128" i="14"/>
  <c r="CT128" i="14"/>
  <c r="CR128" i="14"/>
  <c r="CQ128" i="14"/>
  <c r="CP128" i="14"/>
  <c r="CO128" i="14"/>
  <c r="BY128" i="14"/>
  <c r="BT128" i="14"/>
  <c r="BS128" i="14"/>
  <c r="CD128" i="14" s="1"/>
  <c r="BR128" i="14"/>
  <c r="CC128" i="14" s="1"/>
  <c r="BQ128" i="14"/>
  <c r="CB128" i="14" s="1"/>
  <c r="DV127" i="14"/>
  <c r="DQ127" i="14"/>
  <c r="DB127" i="14"/>
  <c r="DA127" i="14"/>
  <c r="CZ127" i="14"/>
  <c r="CY127" i="14"/>
  <c r="CS127" i="14"/>
  <c r="CN127" i="14"/>
  <c r="CJ127" i="14"/>
  <c r="CE127" i="14"/>
  <c r="BU127" i="14"/>
  <c r="BP127" i="14"/>
  <c r="DV126" i="14"/>
  <c r="DQ126" i="14"/>
  <c r="DB126" i="14"/>
  <c r="DA126" i="14"/>
  <c r="CZ126" i="14"/>
  <c r="CY126" i="14"/>
  <c r="CS126" i="14"/>
  <c r="CN126" i="14"/>
  <c r="CJ126" i="14"/>
  <c r="CE126" i="14"/>
  <c r="BU126" i="14"/>
  <c r="BP126" i="14"/>
  <c r="DV125" i="14"/>
  <c r="DQ125" i="14"/>
  <c r="DB125" i="14"/>
  <c r="DA125" i="14"/>
  <c r="CZ125" i="14"/>
  <c r="CY125" i="14"/>
  <c r="CS125" i="14"/>
  <c r="CN125" i="14"/>
  <c r="CJ125" i="14"/>
  <c r="CE125" i="14"/>
  <c r="BU125" i="14"/>
  <c r="BP125" i="14"/>
  <c r="DV124" i="14"/>
  <c r="DQ124" i="14"/>
  <c r="DB124" i="14"/>
  <c r="DA124" i="14"/>
  <c r="CZ124" i="14"/>
  <c r="CY124" i="14"/>
  <c r="CS124" i="14"/>
  <c r="CN124" i="14"/>
  <c r="CJ124" i="14"/>
  <c r="CE124" i="14"/>
  <c r="BU124" i="14"/>
  <c r="BP124" i="14"/>
  <c r="DV123" i="14"/>
  <c r="DQ123" i="14"/>
  <c r="DB123" i="14"/>
  <c r="DA123" i="14"/>
  <c r="CZ123" i="14"/>
  <c r="CY123" i="14"/>
  <c r="CS123" i="14"/>
  <c r="CN123" i="14"/>
  <c r="CJ123" i="14"/>
  <c r="CE123" i="14"/>
  <c r="BU123" i="14"/>
  <c r="BP123" i="14"/>
  <c r="DV122" i="14"/>
  <c r="DQ122" i="14"/>
  <c r="DB122" i="14"/>
  <c r="DA122" i="14"/>
  <c r="CZ122" i="14"/>
  <c r="CY122" i="14"/>
  <c r="CS122" i="14"/>
  <c r="CN122" i="14"/>
  <c r="CJ122" i="14"/>
  <c r="CE122" i="14"/>
  <c r="BU122" i="14"/>
  <c r="BP122" i="14"/>
  <c r="DV121" i="14"/>
  <c r="DQ121" i="14"/>
  <c r="DB121" i="14"/>
  <c r="DA121" i="14"/>
  <c r="CZ121" i="14"/>
  <c r="CY121" i="14"/>
  <c r="CS121" i="14"/>
  <c r="CN121" i="14"/>
  <c r="CJ121" i="14"/>
  <c r="CE121" i="14"/>
  <c r="BU121" i="14"/>
  <c r="BP121" i="14"/>
  <c r="DV120" i="14"/>
  <c r="DQ120" i="14"/>
  <c r="DB120" i="14"/>
  <c r="DA120" i="14"/>
  <c r="CZ120" i="14"/>
  <c r="CY120" i="14"/>
  <c r="CS120" i="14"/>
  <c r="CN120" i="14"/>
  <c r="CJ120" i="14"/>
  <c r="CE120" i="14"/>
  <c r="BU120" i="14"/>
  <c r="BP120" i="14"/>
  <c r="DV119" i="14"/>
  <c r="DQ119" i="14"/>
  <c r="DB119" i="14"/>
  <c r="DA119" i="14"/>
  <c r="CZ119" i="14"/>
  <c r="CY119" i="14"/>
  <c r="CS119" i="14"/>
  <c r="CN119" i="14"/>
  <c r="CJ119" i="14"/>
  <c r="CE119" i="14"/>
  <c r="BU119" i="14"/>
  <c r="BP119" i="14"/>
  <c r="DV118" i="14"/>
  <c r="DQ118" i="14"/>
  <c r="DB118" i="14"/>
  <c r="DA118" i="14"/>
  <c r="CZ118" i="14"/>
  <c r="CY118" i="14"/>
  <c r="CS118" i="14"/>
  <c r="CN118" i="14"/>
  <c r="CJ118" i="14"/>
  <c r="CE118" i="14"/>
  <c r="BU118" i="14"/>
  <c r="BP118" i="14"/>
  <c r="DV117" i="14"/>
  <c r="DQ117" i="14"/>
  <c r="DB117" i="14"/>
  <c r="DA117" i="14"/>
  <c r="CZ117" i="14"/>
  <c r="CY117" i="14"/>
  <c r="CS117" i="14"/>
  <c r="CN117" i="14"/>
  <c r="CJ117" i="14"/>
  <c r="CE117" i="14"/>
  <c r="BU117" i="14"/>
  <c r="BP117" i="14"/>
  <c r="DV116" i="14"/>
  <c r="DQ116" i="14"/>
  <c r="DB116" i="14"/>
  <c r="DA116" i="14"/>
  <c r="CZ116" i="14"/>
  <c r="CY116" i="14"/>
  <c r="CS116" i="14"/>
  <c r="CN116" i="14"/>
  <c r="CJ116" i="14"/>
  <c r="CE116" i="14"/>
  <c r="BU116" i="14"/>
  <c r="BP116" i="14"/>
  <c r="DV115" i="14"/>
  <c r="DQ115" i="14"/>
  <c r="DB115" i="14"/>
  <c r="DA115" i="14"/>
  <c r="CZ115" i="14"/>
  <c r="CY115" i="14"/>
  <c r="CS115" i="14"/>
  <c r="CN115" i="14"/>
  <c r="CJ115" i="14"/>
  <c r="CE115" i="14"/>
  <c r="BU115" i="14"/>
  <c r="BP115" i="14"/>
  <c r="DZ114" i="14"/>
  <c r="DY114" i="14"/>
  <c r="DX114" i="14"/>
  <c r="DW114" i="14"/>
  <c r="DU114" i="14"/>
  <c r="DT114" i="14"/>
  <c r="DR114" i="14"/>
  <c r="DE114" i="14"/>
  <c r="DD114" i="14"/>
  <c r="DC114" i="14"/>
  <c r="CW114" i="14"/>
  <c r="CV114" i="14"/>
  <c r="CU114" i="14"/>
  <c r="CT114" i="14"/>
  <c r="CR114" i="14"/>
  <c r="CQ114" i="14"/>
  <c r="CP114" i="14"/>
  <c r="CO114" i="14"/>
  <c r="BY114" i="14"/>
  <c r="BT114" i="14"/>
  <c r="BS114" i="14"/>
  <c r="CD114" i="14" s="1"/>
  <c r="BR114" i="14"/>
  <c r="CC114" i="14" s="1"/>
  <c r="BQ114" i="14"/>
  <c r="CB114" i="14" s="1"/>
  <c r="DV113" i="14"/>
  <c r="DQ113" i="14"/>
  <c r="DB113" i="14"/>
  <c r="DA113" i="14"/>
  <c r="CZ113" i="14"/>
  <c r="CY113" i="14"/>
  <c r="CS113" i="14"/>
  <c r="CN113" i="14"/>
  <c r="CJ113" i="14"/>
  <c r="CE113" i="14"/>
  <c r="BU113" i="14"/>
  <c r="BP113" i="14"/>
  <c r="DV112" i="14"/>
  <c r="DQ112" i="14"/>
  <c r="DB112" i="14"/>
  <c r="DA112" i="14"/>
  <c r="CZ112" i="14"/>
  <c r="CY112" i="14"/>
  <c r="CS112" i="14"/>
  <c r="CN112" i="14"/>
  <c r="CJ112" i="14"/>
  <c r="CE112" i="14"/>
  <c r="BU112" i="14"/>
  <c r="BP112" i="14"/>
  <c r="DV111" i="14"/>
  <c r="DQ111" i="14"/>
  <c r="DB111" i="14"/>
  <c r="DA111" i="14"/>
  <c r="CZ111" i="14"/>
  <c r="CY111" i="14"/>
  <c r="CS111" i="14"/>
  <c r="CN111" i="14"/>
  <c r="CJ111" i="14"/>
  <c r="CE111" i="14"/>
  <c r="BU111" i="14"/>
  <c r="BP111" i="14"/>
  <c r="DV110" i="14"/>
  <c r="DQ110" i="14"/>
  <c r="DB110" i="14"/>
  <c r="DA110" i="14"/>
  <c r="CZ110" i="14"/>
  <c r="CY110" i="14"/>
  <c r="CS110" i="14"/>
  <c r="CN110" i="14"/>
  <c r="CJ110" i="14"/>
  <c r="CE110" i="14"/>
  <c r="BU110" i="14"/>
  <c r="BP110" i="14"/>
  <c r="DV109" i="14"/>
  <c r="DQ109" i="14"/>
  <c r="DB109" i="14"/>
  <c r="DA109" i="14"/>
  <c r="CZ109" i="14"/>
  <c r="CY109" i="14"/>
  <c r="CS109" i="14"/>
  <c r="CN109" i="14"/>
  <c r="CJ109" i="14"/>
  <c r="CE109" i="14"/>
  <c r="BU109" i="14"/>
  <c r="BP109" i="14"/>
  <c r="DV108" i="14"/>
  <c r="DQ108" i="14"/>
  <c r="DB108" i="14"/>
  <c r="DA108" i="14"/>
  <c r="CZ108" i="14"/>
  <c r="CY108" i="14"/>
  <c r="CS108" i="14"/>
  <c r="CN108" i="14"/>
  <c r="CJ108" i="14"/>
  <c r="CE108" i="14"/>
  <c r="BU108" i="14"/>
  <c r="BR94" i="14"/>
  <c r="CC94" i="14" s="1"/>
  <c r="BP108" i="14"/>
  <c r="DI108" i="14" s="1"/>
  <c r="DV107" i="14"/>
  <c r="DQ107" i="14"/>
  <c r="DB107" i="14"/>
  <c r="DA107" i="14"/>
  <c r="CZ107" i="14"/>
  <c r="CY107" i="14"/>
  <c r="CS107" i="14"/>
  <c r="CN107" i="14"/>
  <c r="CJ107" i="14"/>
  <c r="CE107" i="14"/>
  <c r="BU107" i="14"/>
  <c r="BP107" i="14"/>
  <c r="DV106" i="14"/>
  <c r="DQ106" i="14"/>
  <c r="DB106" i="14"/>
  <c r="DA106" i="14"/>
  <c r="CZ106" i="14"/>
  <c r="CY106" i="14"/>
  <c r="CS106" i="14"/>
  <c r="CN106" i="14"/>
  <c r="CJ106" i="14"/>
  <c r="CE106" i="14"/>
  <c r="BU106" i="14"/>
  <c r="BP106" i="14"/>
  <c r="DV105" i="14"/>
  <c r="DQ105" i="14"/>
  <c r="DB105" i="14"/>
  <c r="DA105" i="14"/>
  <c r="CZ105" i="14"/>
  <c r="CY105" i="14"/>
  <c r="CS105" i="14"/>
  <c r="CN105" i="14"/>
  <c r="CJ105" i="14"/>
  <c r="CE105" i="14"/>
  <c r="BU105" i="14"/>
  <c r="BP105" i="14"/>
  <c r="DV104" i="14"/>
  <c r="DQ104" i="14"/>
  <c r="DB104" i="14"/>
  <c r="DA104" i="14"/>
  <c r="CZ104" i="14"/>
  <c r="CY104" i="14"/>
  <c r="CS104" i="14"/>
  <c r="CN104" i="14"/>
  <c r="CJ104" i="14"/>
  <c r="CE104" i="14"/>
  <c r="BU104" i="14"/>
  <c r="BP104" i="14"/>
  <c r="DV103" i="14"/>
  <c r="DQ103" i="14"/>
  <c r="DB103" i="14"/>
  <c r="DA103" i="14"/>
  <c r="CZ103" i="14"/>
  <c r="CY103" i="14"/>
  <c r="CS103" i="14"/>
  <c r="CN103" i="14"/>
  <c r="CJ103" i="14"/>
  <c r="CE103" i="14"/>
  <c r="BU103" i="14"/>
  <c r="BP103" i="14"/>
  <c r="DV102" i="14"/>
  <c r="DQ102" i="14"/>
  <c r="DB102" i="14"/>
  <c r="DA102" i="14"/>
  <c r="CZ102" i="14"/>
  <c r="CY102" i="14"/>
  <c r="CS102" i="14"/>
  <c r="CN102" i="14"/>
  <c r="CJ102" i="14"/>
  <c r="CE102" i="14"/>
  <c r="BU102" i="14"/>
  <c r="BP102" i="14"/>
  <c r="DV101" i="14"/>
  <c r="DQ101" i="14"/>
  <c r="DB101" i="14"/>
  <c r="DA101" i="14"/>
  <c r="CZ101" i="14"/>
  <c r="CY101" i="14"/>
  <c r="CS101" i="14"/>
  <c r="CN101" i="14"/>
  <c r="CJ101" i="14"/>
  <c r="CE101" i="14"/>
  <c r="BU101" i="14"/>
  <c r="BP101" i="14"/>
  <c r="DV100" i="14"/>
  <c r="DQ100" i="14"/>
  <c r="DB100" i="14"/>
  <c r="DA100" i="14"/>
  <c r="CZ100" i="14"/>
  <c r="CY100" i="14"/>
  <c r="CS100" i="14"/>
  <c r="CN100" i="14"/>
  <c r="CJ100" i="14"/>
  <c r="CE100" i="14"/>
  <c r="BU100" i="14"/>
  <c r="BP100" i="14"/>
  <c r="DV99" i="14"/>
  <c r="DQ99" i="14"/>
  <c r="DB99" i="14"/>
  <c r="DA99" i="14"/>
  <c r="CZ99" i="14"/>
  <c r="CY99" i="14"/>
  <c r="CS99" i="14"/>
  <c r="CN99" i="14"/>
  <c r="CJ99" i="14"/>
  <c r="CE99" i="14"/>
  <c r="BU99" i="14"/>
  <c r="BP99" i="14"/>
  <c r="DV98" i="14"/>
  <c r="DQ98" i="14"/>
  <c r="DB98" i="14"/>
  <c r="DA98" i="14"/>
  <c r="CZ98" i="14"/>
  <c r="CY98" i="14"/>
  <c r="CS98" i="14"/>
  <c r="CN98" i="14"/>
  <c r="CJ98" i="14"/>
  <c r="CE98" i="14"/>
  <c r="BU98" i="14"/>
  <c r="BP98" i="14"/>
  <c r="DV97" i="14"/>
  <c r="DQ97" i="14"/>
  <c r="DB97" i="14"/>
  <c r="DA97" i="14"/>
  <c r="CZ97" i="14"/>
  <c r="CY97" i="14"/>
  <c r="CS97" i="14"/>
  <c r="CN97" i="14"/>
  <c r="CJ97" i="14"/>
  <c r="CE97" i="14"/>
  <c r="BU97" i="14"/>
  <c r="BP97" i="14"/>
  <c r="DV96" i="14"/>
  <c r="DQ96" i="14"/>
  <c r="DB96" i="14"/>
  <c r="DA96" i="14"/>
  <c r="CZ96" i="14"/>
  <c r="CY96" i="14"/>
  <c r="CS96" i="14"/>
  <c r="CN96" i="14"/>
  <c r="CJ96" i="14"/>
  <c r="CE96" i="14"/>
  <c r="BU96" i="14"/>
  <c r="BP96" i="14"/>
  <c r="DV95" i="14"/>
  <c r="DR94" i="14"/>
  <c r="DQ95" i="14"/>
  <c r="DB95" i="14"/>
  <c r="DA95" i="14"/>
  <c r="CZ95" i="14"/>
  <c r="CY95" i="14"/>
  <c r="CS95" i="14"/>
  <c r="CN95" i="14"/>
  <c r="CJ95" i="14"/>
  <c r="CE95" i="14"/>
  <c r="DZ94" i="14"/>
  <c r="DY94" i="14"/>
  <c r="DX94" i="14"/>
  <c r="DU94" i="14"/>
  <c r="DT94" i="14"/>
  <c r="DE94" i="14"/>
  <c r="DD94" i="14"/>
  <c r="DC94" i="14"/>
  <c r="CW94" i="14"/>
  <c r="CV94" i="14"/>
  <c r="CU94" i="14"/>
  <c r="CT94" i="14"/>
  <c r="CR94" i="14"/>
  <c r="CQ94" i="14"/>
  <c r="CP94" i="14"/>
  <c r="CO94" i="14"/>
  <c r="BY94" i="14"/>
  <c r="BT94" i="14"/>
  <c r="BS94" i="14"/>
  <c r="CD94" i="14" s="1"/>
  <c r="BQ94" i="14"/>
  <c r="CB94" i="14" s="1"/>
  <c r="DV93" i="14"/>
  <c r="DQ93" i="14"/>
  <c r="DB93" i="14"/>
  <c r="DA93" i="14"/>
  <c r="CZ93" i="14"/>
  <c r="CY93" i="14"/>
  <c r="CS93" i="14"/>
  <c r="CN93" i="14"/>
  <c r="CJ93" i="14"/>
  <c r="CE93" i="14"/>
  <c r="BU93" i="14"/>
  <c r="BP93" i="14"/>
  <c r="DV92" i="14"/>
  <c r="DQ92" i="14"/>
  <c r="DB92" i="14"/>
  <c r="DA92" i="14"/>
  <c r="CZ92" i="14"/>
  <c r="CY92" i="14"/>
  <c r="CS92" i="14"/>
  <c r="CN92" i="14"/>
  <c r="CJ92" i="14"/>
  <c r="CE92" i="14"/>
  <c r="BU92" i="14"/>
  <c r="BP92" i="14"/>
  <c r="DV91" i="14"/>
  <c r="DQ91" i="14"/>
  <c r="DB91" i="14"/>
  <c r="DA91" i="14"/>
  <c r="CZ91" i="14"/>
  <c r="CY91" i="14"/>
  <c r="CS91" i="14"/>
  <c r="CN91" i="14"/>
  <c r="CJ91" i="14"/>
  <c r="CE91" i="14"/>
  <c r="BU91" i="14"/>
  <c r="BP91" i="14"/>
  <c r="DV90" i="14"/>
  <c r="DQ90" i="14"/>
  <c r="DB90" i="14"/>
  <c r="DA90" i="14"/>
  <c r="CZ90" i="14"/>
  <c r="CY90" i="14"/>
  <c r="CS90" i="14"/>
  <c r="CN90" i="14"/>
  <c r="CJ90" i="14"/>
  <c r="CE90" i="14"/>
  <c r="BU90" i="14"/>
  <c r="BP90" i="14"/>
  <c r="DV89" i="14"/>
  <c r="DQ89" i="14"/>
  <c r="DB89" i="14"/>
  <c r="DA89" i="14"/>
  <c r="CZ89" i="14"/>
  <c r="CY89" i="14"/>
  <c r="CS89" i="14"/>
  <c r="CN89" i="14"/>
  <c r="CJ89" i="14"/>
  <c r="CE89" i="14"/>
  <c r="BU89" i="14"/>
  <c r="BP89" i="14"/>
  <c r="DV88" i="14"/>
  <c r="DQ88" i="14"/>
  <c r="DB88" i="14"/>
  <c r="DA88" i="14"/>
  <c r="CZ88" i="14"/>
  <c r="CY88" i="14"/>
  <c r="CS88" i="14"/>
  <c r="CN88" i="14"/>
  <c r="CJ88" i="14"/>
  <c r="CE88" i="14"/>
  <c r="BU88" i="14"/>
  <c r="BP88" i="14"/>
  <c r="DV87" i="14"/>
  <c r="DQ87" i="14"/>
  <c r="DB87" i="14"/>
  <c r="DA87" i="14"/>
  <c r="CZ87" i="14"/>
  <c r="CY87" i="14"/>
  <c r="CS87" i="14"/>
  <c r="CN87" i="14"/>
  <c r="CJ87" i="14"/>
  <c r="CE87" i="14"/>
  <c r="BU87" i="14"/>
  <c r="BP87" i="14"/>
  <c r="DV86" i="14"/>
  <c r="DQ86" i="14"/>
  <c r="DB86" i="14"/>
  <c r="DA86" i="14"/>
  <c r="CZ86" i="14"/>
  <c r="CY86" i="14"/>
  <c r="CS86" i="14"/>
  <c r="CN86" i="14"/>
  <c r="CJ86" i="14"/>
  <c r="CE86" i="14"/>
  <c r="BZ86" i="14"/>
  <c r="BU86" i="14"/>
  <c r="BP86" i="14"/>
  <c r="DI86" i="14" s="1"/>
  <c r="DV85" i="14"/>
  <c r="DQ85" i="14"/>
  <c r="DB85" i="14"/>
  <c r="DA85" i="14"/>
  <c r="CZ85" i="14"/>
  <c r="CY85" i="14"/>
  <c r="CS85" i="14"/>
  <c r="CN85" i="14"/>
  <c r="CJ85" i="14"/>
  <c r="CE85" i="14"/>
  <c r="BU85" i="14"/>
  <c r="BP85" i="14"/>
  <c r="DV84" i="14"/>
  <c r="DQ84" i="14"/>
  <c r="DB84" i="14"/>
  <c r="DA84" i="14"/>
  <c r="CZ84" i="14"/>
  <c r="CY84" i="14"/>
  <c r="CS84" i="14"/>
  <c r="CN84" i="14"/>
  <c r="CJ84" i="14"/>
  <c r="CE84" i="14"/>
  <c r="BU84" i="14"/>
  <c r="BP84" i="14"/>
  <c r="DV83" i="14"/>
  <c r="DQ83" i="14"/>
  <c r="DB83" i="14"/>
  <c r="DA83" i="14"/>
  <c r="CZ83" i="14"/>
  <c r="CY83" i="14"/>
  <c r="CS83" i="14"/>
  <c r="CN83" i="14"/>
  <c r="CJ83" i="14"/>
  <c r="CE83" i="14"/>
  <c r="BU83" i="14"/>
  <c r="BP83" i="14"/>
  <c r="DV82" i="14"/>
  <c r="DQ82" i="14"/>
  <c r="DB82" i="14"/>
  <c r="DA82" i="14"/>
  <c r="CZ82" i="14"/>
  <c r="CY82" i="14"/>
  <c r="CS82" i="14"/>
  <c r="CN82" i="14"/>
  <c r="CJ82" i="14"/>
  <c r="CE82" i="14"/>
  <c r="BU82" i="14"/>
  <c r="BP82" i="14"/>
  <c r="DV81" i="14"/>
  <c r="DQ81" i="14"/>
  <c r="DB81" i="14"/>
  <c r="DA81" i="14"/>
  <c r="CZ81" i="14"/>
  <c r="CY81" i="14"/>
  <c r="CS81" i="14"/>
  <c r="CN81" i="14"/>
  <c r="CJ81" i="14"/>
  <c r="CE81" i="14"/>
  <c r="BU81" i="14"/>
  <c r="BP81" i="14"/>
  <c r="DV80" i="14"/>
  <c r="DQ80" i="14"/>
  <c r="DB80" i="14"/>
  <c r="DA80" i="14"/>
  <c r="CZ80" i="14"/>
  <c r="CY80" i="14"/>
  <c r="CS80" i="14"/>
  <c r="CN80" i="14"/>
  <c r="CM80" i="14" s="1"/>
  <c r="CJ80" i="14"/>
  <c r="CE80" i="14"/>
  <c r="BU80" i="14"/>
  <c r="BP80" i="14"/>
  <c r="DZ79" i="14"/>
  <c r="DY79" i="14"/>
  <c r="DX79" i="14"/>
  <c r="DW79" i="14"/>
  <c r="DU79" i="14"/>
  <c r="DT79" i="14"/>
  <c r="DR79" i="14"/>
  <c r="DE79" i="14"/>
  <c r="DD79" i="14"/>
  <c r="DC79" i="14"/>
  <c r="CW79" i="14"/>
  <c r="CV79" i="14"/>
  <c r="CU79" i="14"/>
  <c r="CT79" i="14"/>
  <c r="CR79" i="14"/>
  <c r="CQ79" i="14"/>
  <c r="CP79" i="14"/>
  <c r="CO79" i="14"/>
  <c r="BY79" i="14"/>
  <c r="BT79" i="14"/>
  <c r="BS79" i="14"/>
  <c r="CD79" i="14" s="1"/>
  <c r="BR79" i="14"/>
  <c r="CC79" i="14" s="1"/>
  <c r="BQ79" i="14"/>
  <c r="CB79" i="14" s="1"/>
  <c r="DV78" i="14"/>
  <c r="DQ78" i="14"/>
  <c r="DB78" i="14"/>
  <c r="DA78" i="14"/>
  <c r="CZ78" i="14"/>
  <c r="CY78" i="14"/>
  <c r="CS78" i="14"/>
  <c r="CN78" i="14"/>
  <c r="CJ78" i="14"/>
  <c r="CE78" i="14"/>
  <c r="BU78" i="14"/>
  <c r="BP78" i="14"/>
  <c r="DV77" i="14"/>
  <c r="DQ77" i="14"/>
  <c r="DB77" i="14"/>
  <c r="DA77" i="14"/>
  <c r="CZ77" i="14"/>
  <c r="CY77" i="14"/>
  <c r="CS77" i="14"/>
  <c r="CN77" i="14"/>
  <c r="CJ77" i="14"/>
  <c r="CE77" i="14"/>
  <c r="BU77" i="14"/>
  <c r="BP77" i="14"/>
  <c r="DV76" i="14"/>
  <c r="DQ76" i="14"/>
  <c r="DB76" i="14"/>
  <c r="DA76" i="14"/>
  <c r="CZ76" i="14"/>
  <c r="CY76" i="14"/>
  <c r="CS76" i="14"/>
  <c r="CN76" i="14"/>
  <c r="CJ76" i="14"/>
  <c r="CE76" i="14"/>
  <c r="BU76" i="14"/>
  <c r="BP76" i="14"/>
  <c r="DV75" i="14"/>
  <c r="DQ75" i="14"/>
  <c r="DB75" i="14"/>
  <c r="DA75" i="14"/>
  <c r="CZ75" i="14"/>
  <c r="CY75" i="14"/>
  <c r="CS75" i="14"/>
  <c r="CN75" i="14"/>
  <c r="CJ75" i="14"/>
  <c r="CE75" i="14"/>
  <c r="BU75" i="14"/>
  <c r="BP75" i="14"/>
  <c r="DV74" i="14"/>
  <c r="DQ74" i="14"/>
  <c r="DB74" i="14"/>
  <c r="DA74" i="14"/>
  <c r="CZ74" i="14"/>
  <c r="CY74" i="14"/>
  <c r="CS74" i="14"/>
  <c r="CN74" i="14"/>
  <c r="CJ74" i="14"/>
  <c r="CE74" i="14"/>
  <c r="BU74" i="14"/>
  <c r="BP74" i="14"/>
  <c r="DV73" i="14"/>
  <c r="DQ73" i="14"/>
  <c r="DB73" i="14"/>
  <c r="DA73" i="14"/>
  <c r="CZ73" i="14"/>
  <c r="CY73" i="14"/>
  <c r="CS73" i="14"/>
  <c r="CN73" i="14"/>
  <c r="CJ73" i="14"/>
  <c r="CE73" i="14"/>
  <c r="BU73" i="14"/>
  <c r="BP73" i="14"/>
  <c r="DV72" i="14"/>
  <c r="DQ72" i="14"/>
  <c r="DB72" i="14"/>
  <c r="DA72" i="14"/>
  <c r="CZ72" i="14"/>
  <c r="CY72" i="14"/>
  <c r="CS72" i="14"/>
  <c r="CN72" i="14"/>
  <c r="CJ72" i="14"/>
  <c r="CE72" i="14"/>
  <c r="BU72" i="14"/>
  <c r="BP72" i="14"/>
  <c r="DV71" i="14"/>
  <c r="DQ71" i="14"/>
  <c r="DB71" i="14"/>
  <c r="DA71" i="14"/>
  <c r="CZ71" i="14"/>
  <c r="CY71" i="14"/>
  <c r="CS71" i="14"/>
  <c r="CN71" i="14"/>
  <c r="CJ71" i="14"/>
  <c r="CE71" i="14"/>
  <c r="BU71" i="14"/>
  <c r="BP71" i="14"/>
  <c r="DV70" i="14"/>
  <c r="DQ70" i="14"/>
  <c r="DB70" i="14"/>
  <c r="DA70" i="14"/>
  <c r="CZ70" i="14"/>
  <c r="CY70" i="14"/>
  <c r="CS70" i="14"/>
  <c r="CN70" i="14"/>
  <c r="CJ70" i="14"/>
  <c r="CE70" i="14"/>
  <c r="BU70" i="14"/>
  <c r="BP70" i="14"/>
  <c r="DV69" i="14"/>
  <c r="DQ69" i="14"/>
  <c r="DB69" i="14"/>
  <c r="DA69" i="14"/>
  <c r="CZ69" i="14"/>
  <c r="CY69" i="14"/>
  <c r="CS69" i="14"/>
  <c r="CN69" i="14"/>
  <c r="CJ69" i="14"/>
  <c r="CE69" i="14"/>
  <c r="BU69" i="14"/>
  <c r="BP69" i="14"/>
  <c r="DV68" i="14"/>
  <c r="DQ68" i="14"/>
  <c r="DB68" i="14"/>
  <c r="DA68" i="14"/>
  <c r="CZ68" i="14"/>
  <c r="CY68" i="14"/>
  <c r="CS68" i="14"/>
  <c r="CN68" i="14"/>
  <c r="CJ68" i="14"/>
  <c r="CE68" i="14"/>
  <c r="BU68" i="14"/>
  <c r="BP68" i="14"/>
  <c r="DV67" i="14"/>
  <c r="DQ67" i="14"/>
  <c r="DB67" i="14"/>
  <c r="DA67" i="14"/>
  <c r="CZ67" i="14"/>
  <c r="CY67" i="14"/>
  <c r="CS67" i="14"/>
  <c r="CN67" i="14"/>
  <c r="CJ67" i="14"/>
  <c r="CE67" i="14"/>
  <c r="BU67" i="14"/>
  <c r="BP67" i="14"/>
  <c r="DV66" i="14"/>
  <c r="DQ66" i="14"/>
  <c r="DB66" i="14"/>
  <c r="DA66" i="14"/>
  <c r="CZ66" i="14"/>
  <c r="CY66" i="14"/>
  <c r="CS66" i="14"/>
  <c r="CN66" i="14"/>
  <c r="CJ66" i="14"/>
  <c r="CE66" i="14"/>
  <c r="BU66" i="14"/>
  <c r="BP66" i="14"/>
  <c r="DV65" i="14"/>
  <c r="DQ65" i="14"/>
  <c r="DB65" i="14"/>
  <c r="DA65" i="14"/>
  <c r="CZ65" i="14"/>
  <c r="CY65" i="14"/>
  <c r="CS65" i="14"/>
  <c r="CN65" i="14"/>
  <c r="CJ65" i="14"/>
  <c r="CE65" i="14"/>
  <c r="BU65" i="14"/>
  <c r="BP65" i="14"/>
  <c r="DV64" i="14"/>
  <c r="DQ64" i="14"/>
  <c r="DB64" i="14"/>
  <c r="DA64" i="14"/>
  <c r="CZ64" i="14"/>
  <c r="CY64" i="14"/>
  <c r="CS64" i="14"/>
  <c r="CN64" i="14"/>
  <c r="CJ64" i="14"/>
  <c r="CE64" i="14"/>
  <c r="BU64" i="14"/>
  <c r="BP64" i="14"/>
  <c r="DV63" i="14"/>
  <c r="DQ63" i="14"/>
  <c r="DB63" i="14"/>
  <c r="DA63" i="14"/>
  <c r="CZ63" i="14"/>
  <c r="CY63" i="14"/>
  <c r="CS63" i="14"/>
  <c r="CN63" i="14"/>
  <c r="CJ63" i="14"/>
  <c r="CE63" i="14"/>
  <c r="BU63" i="14"/>
  <c r="BP63" i="14"/>
  <c r="DV62" i="14"/>
  <c r="DQ62" i="14"/>
  <c r="DB62" i="14"/>
  <c r="DA62" i="14"/>
  <c r="CZ62" i="14"/>
  <c r="CY62" i="14"/>
  <c r="CS62" i="14"/>
  <c r="CN62" i="14"/>
  <c r="CJ62" i="14"/>
  <c r="CE62" i="14"/>
  <c r="BU62" i="14"/>
  <c r="BP62" i="14"/>
  <c r="DV61" i="14"/>
  <c r="DQ61" i="14"/>
  <c r="DB61" i="14"/>
  <c r="DA61" i="14"/>
  <c r="CZ61" i="14"/>
  <c r="CY61" i="14"/>
  <c r="CS61" i="14"/>
  <c r="CN61" i="14"/>
  <c r="CJ61" i="14"/>
  <c r="CE61" i="14"/>
  <c r="BU61" i="14"/>
  <c r="BP61" i="14"/>
  <c r="DV60" i="14"/>
  <c r="DQ60" i="14"/>
  <c r="DB60" i="14"/>
  <c r="DA60" i="14"/>
  <c r="CZ60" i="14"/>
  <c r="CY60" i="14"/>
  <c r="CS60" i="14"/>
  <c r="CN60" i="14"/>
  <c r="CJ60" i="14"/>
  <c r="CE60" i="14"/>
  <c r="BU60" i="14"/>
  <c r="BP60" i="14"/>
  <c r="DV59" i="14"/>
  <c r="DQ59" i="14"/>
  <c r="CX59" i="14"/>
  <c r="CS59" i="14"/>
  <c r="CN59" i="14"/>
  <c r="CJ59" i="14"/>
  <c r="CE59" i="14"/>
  <c r="BU59" i="14"/>
  <c r="BP59" i="14"/>
  <c r="DV58" i="14"/>
  <c r="DQ58" i="14"/>
  <c r="CX58" i="14"/>
  <c r="CS58" i="14"/>
  <c r="CN58" i="14"/>
  <c r="CJ58" i="14"/>
  <c r="CE58" i="14"/>
  <c r="BU58" i="14"/>
  <c r="BP58" i="14"/>
  <c r="DZ57" i="14"/>
  <c r="DY57" i="14"/>
  <c r="DX57" i="14"/>
  <c r="DW57" i="14"/>
  <c r="DU57" i="14"/>
  <c r="DT57" i="14"/>
  <c r="DR57" i="14"/>
  <c r="DE57" i="14"/>
  <c r="DD57" i="14"/>
  <c r="DC57" i="14"/>
  <c r="CW57" i="14"/>
  <c r="CV57" i="14"/>
  <c r="CU57" i="14"/>
  <c r="CT57" i="14"/>
  <c r="CR57" i="14"/>
  <c r="CQ57" i="14"/>
  <c r="CP57" i="14"/>
  <c r="CO57" i="14"/>
  <c r="BY57" i="14"/>
  <c r="BT57" i="14"/>
  <c r="BS57" i="14"/>
  <c r="CD57" i="14" s="1"/>
  <c r="BR57" i="14"/>
  <c r="CC57" i="14" s="1"/>
  <c r="BQ57" i="14"/>
  <c r="CB57" i="14" s="1"/>
  <c r="DV56" i="14"/>
  <c r="DQ56" i="14"/>
  <c r="DB56" i="14"/>
  <c r="DA56" i="14"/>
  <c r="CZ56" i="14"/>
  <c r="CY56" i="14"/>
  <c r="CS56" i="14"/>
  <c r="CN56" i="14"/>
  <c r="CJ56" i="14"/>
  <c r="CE56" i="14"/>
  <c r="BU56" i="14"/>
  <c r="BP56" i="14"/>
  <c r="DV55" i="14"/>
  <c r="DQ55" i="14"/>
  <c r="DB55" i="14"/>
  <c r="DA55" i="14"/>
  <c r="CZ55" i="14"/>
  <c r="CY55" i="14"/>
  <c r="CS55" i="14"/>
  <c r="CN55" i="14"/>
  <c r="CJ55" i="14"/>
  <c r="CE55" i="14"/>
  <c r="BU55" i="14"/>
  <c r="BP55" i="14"/>
  <c r="DV54" i="14"/>
  <c r="DQ54" i="14"/>
  <c r="DB54" i="14"/>
  <c r="DA54" i="14"/>
  <c r="CZ54" i="14"/>
  <c r="CY54" i="14"/>
  <c r="CS54" i="14"/>
  <c r="CN54" i="14"/>
  <c r="CJ54" i="14"/>
  <c r="CE54" i="14"/>
  <c r="BU54" i="14"/>
  <c r="BP54" i="14"/>
  <c r="DV53" i="14"/>
  <c r="DQ53" i="14"/>
  <c r="DB53" i="14"/>
  <c r="DA53" i="14"/>
  <c r="CZ53" i="14"/>
  <c r="CY53" i="14"/>
  <c r="CS53" i="14"/>
  <c r="CN53" i="14"/>
  <c r="CJ53" i="14"/>
  <c r="CE53" i="14"/>
  <c r="BU53" i="14"/>
  <c r="BP53" i="14"/>
  <c r="DV52" i="14"/>
  <c r="DQ52" i="14"/>
  <c r="DB52" i="14"/>
  <c r="DA52" i="14"/>
  <c r="CZ52" i="14"/>
  <c r="CY52" i="14"/>
  <c r="CS52" i="14"/>
  <c r="CN52" i="14"/>
  <c r="CJ52" i="14"/>
  <c r="CE52" i="14"/>
  <c r="BU52" i="14"/>
  <c r="BP52" i="14"/>
  <c r="DV51" i="14"/>
  <c r="DQ51" i="14"/>
  <c r="DB51" i="14"/>
  <c r="DA51" i="14"/>
  <c r="CZ51" i="14"/>
  <c r="CY51" i="14"/>
  <c r="CS51" i="14"/>
  <c r="CN51" i="14"/>
  <c r="CJ51" i="14"/>
  <c r="CE51" i="14"/>
  <c r="BU51" i="14"/>
  <c r="BP51" i="14"/>
  <c r="DV50" i="14"/>
  <c r="DQ50" i="14"/>
  <c r="DB50" i="14"/>
  <c r="DA50" i="14"/>
  <c r="CZ50" i="14"/>
  <c r="CY50" i="14"/>
  <c r="CS50" i="14"/>
  <c r="CN50" i="14"/>
  <c r="CJ50" i="14"/>
  <c r="CE50" i="14"/>
  <c r="BU50" i="14"/>
  <c r="BP50" i="14"/>
  <c r="DV49" i="14"/>
  <c r="DQ49" i="14"/>
  <c r="DB49" i="14"/>
  <c r="DA49" i="14"/>
  <c r="CZ49" i="14"/>
  <c r="CY49" i="14"/>
  <c r="CS49" i="14"/>
  <c r="CN49" i="14"/>
  <c r="CJ49" i="14"/>
  <c r="CE49" i="14"/>
  <c r="BU49" i="14"/>
  <c r="BP49" i="14"/>
  <c r="DV48" i="14"/>
  <c r="DQ48" i="14"/>
  <c r="DE48" i="14"/>
  <c r="DE39" i="14" s="1"/>
  <c r="DB48" i="14"/>
  <c r="DA48" i="14"/>
  <c r="CZ48" i="14"/>
  <c r="CY48" i="14"/>
  <c r="CS48" i="14"/>
  <c r="CN48" i="14"/>
  <c r="CJ48" i="14"/>
  <c r="CE48" i="14"/>
  <c r="BU48" i="14"/>
  <c r="BP48" i="14"/>
  <c r="DV47" i="14"/>
  <c r="DQ47" i="14"/>
  <c r="DB47" i="14"/>
  <c r="DA47" i="14"/>
  <c r="CZ47" i="14"/>
  <c r="CY47" i="14"/>
  <c r="CS47" i="14"/>
  <c r="CN47" i="14"/>
  <c r="CJ47" i="14"/>
  <c r="CE47" i="14"/>
  <c r="BU47" i="14"/>
  <c r="BP47" i="14"/>
  <c r="DV46" i="14"/>
  <c r="DQ46" i="14"/>
  <c r="DB46" i="14"/>
  <c r="DA46" i="14"/>
  <c r="CZ46" i="14"/>
  <c r="CY46" i="14"/>
  <c r="CS46" i="14"/>
  <c r="CN46" i="14"/>
  <c r="CJ46" i="14"/>
  <c r="CE46" i="14"/>
  <c r="BU46" i="14"/>
  <c r="BP46" i="14"/>
  <c r="DV45" i="14"/>
  <c r="DQ45" i="14"/>
  <c r="DB45" i="14"/>
  <c r="DA45" i="14"/>
  <c r="CZ45" i="14"/>
  <c r="CY45" i="14"/>
  <c r="CS45" i="14"/>
  <c r="CN45" i="14"/>
  <c r="CJ45" i="14"/>
  <c r="CE45" i="14"/>
  <c r="BU45" i="14"/>
  <c r="BP45" i="14"/>
  <c r="DV44" i="14"/>
  <c r="DQ44" i="14"/>
  <c r="DB44" i="14"/>
  <c r="DA44" i="14"/>
  <c r="CZ44" i="14"/>
  <c r="CY44" i="14"/>
  <c r="CS44" i="14"/>
  <c r="CN44" i="14"/>
  <c r="CJ44" i="14"/>
  <c r="CE44" i="14"/>
  <c r="BU44" i="14"/>
  <c r="BP44" i="14"/>
  <c r="DV43" i="14"/>
  <c r="DQ43" i="14"/>
  <c r="DB43" i="14"/>
  <c r="DA43" i="14"/>
  <c r="CZ43" i="14"/>
  <c r="CY43" i="14"/>
  <c r="CS43" i="14"/>
  <c r="CN43" i="14"/>
  <c r="CJ43" i="14"/>
  <c r="CE43" i="14"/>
  <c r="BU43" i="14"/>
  <c r="BP43" i="14"/>
  <c r="DV42" i="14"/>
  <c r="DQ42" i="14"/>
  <c r="DB42" i="14"/>
  <c r="DA42" i="14"/>
  <c r="CZ42" i="14"/>
  <c r="CY42" i="14"/>
  <c r="CS42" i="14"/>
  <c r="CN42" i="14"/>
  <c r="CJ42" i="14"/>
  <c r="CE42" i="14"/>
  <c r="BU42" i="14"/>
  <c r="BP42" i="14"/>
  <c r="DV41" i="14"/>
  <c r="DQ41" i="14"/>
  <c r="DB41" i="14"/>
  <c r="DA41" i="14"/>
  <c r="CZ41" i="14"/>
  <c r="CY41" i="14"/>
  <c r="CS41" i="14"/>
  <c r="CN41" i="14"/>
  <c r="CJ41" i="14"/>
  <c r="CE41" i="14"/>
  <c r="BU41" i="14"/>
  <c r="BP41" i="14"/>
  <c r="DV40" i="14"/>
  <c r="DQ40" i="14"/>
  <c r="DB40" i="14"/>
  <c r="DA40" i="14"/>
  <c r="CZ40" i="14"/>
  <c r="CY40" i="14"/>
  <c r="CS40" i="14"/>
  <c r="CN40" i="14"/>
  <c r="CL40" i="14"/>
  <c r="CM40" i="14" s="1"/>
  <c r="CJ40" i="14"/>
  <c r="CE40" i="14"/>
  <c r="BU40" i="14"/>
  <c r="BP40" i="14"/>
  <c r="DZ39" i="14"/>
  <c r="DY39" i="14"/>
  <c r="DX39" i="14"/>
  <c r="DW39" i="14"/>
  <c r="DU39" i="14"/>
  <c r="DT39" i="14"/>
  <c r="DR39" i="14"/>
  <c r="DD39" i="14"/>
  <c r="DC39" i="14"/>
  <c r="CW39" i="14"/>
  <c r="CV39" i="14"/>
  <c r="CU39" i="14"/>
  <c r="CT39" i="14"/>
  <c r="CR39" i="14"/>
  <c r="CQ39" i="14"/>
  <c r="CP39" i="14"/>
  <c r="CO39" i="14"/>
  <c r="BY39" i="14"/>
  <c r="BT39" i="14"/>
  <c r="BS39" i="14"/>
  <c r="CD39" i="14" s="1"/>
  <c r="BR39" i="14"/>
  <c r="CC39" i="14" s="1"/>
  <c r="BQ39" i="14"/>
  <c r="CB39" i="14" s="1"/>
  <c r="DV38" i="14"/>
  <c r="DQ38" i="14"/>
  <c r="DB38" i="14"/>
  <c r="DA38" i="14"/>
  <c r="CZ38" i="14"/>
  <c r="CY38" i="14"/>
  <c r="CS38" i="14"/>
  <c r="CN38" i="14"/>
  <c r="CJ38" i="14"/>
  <c r="CE38" i="14"/>
  <c r="BU38" i="14"/>
  <c r="BP38" i="14"/>
  <c r="DV37" i="14"/>
  <c r="DQ37" i="14"/>
  <c r="DB37" i="14"/>
  <c r="DA37" i="14"/>
  <c r="CZ37" i="14"/>
  <c r="CY37" i="14"/>
  <c r="CS37" i="14"/>
  <c r="CN37" i="14"/>
  <c r="CJ37" i="14"/>
  <c r="CE37" i="14"/>
  <c r="BU37" i="14"/>
  <c r="BP37" i="14"/>
  <c r="DV36" i="14"/>
  <c r="DQ36" i="14"/>
  <c r="DB36" i="14"/>
  <c r="DA36" i="14"/>
  <c r="CZ36" i="14"/>
  <c r="CY36" i="14"/>
  <c r="CS36" i="14"/>
  <c r="CN36" i="14"/>
  <c r="CJ36" i="14"/>
  <c r="CE36" i="14"/>
  <c r="BU36" i="14"/>
  <c r="BP36" i="14"/>
  <c r="DV35" i="14"/>
  <c r="DQ35" i="14"/>
  <c r="DB35" i="14"/>
  <c r="DA35" i="14"/>
  <c r="CZ35" i="14"/>
  <c r="CY35" i="14"/>
  <c r="CS35" i="14"/>
  <c r="CN35" i="14"/>
  <c r="CJ35" i="14"/>
  <c r="CE35" i="14"/>
  <c r="BU35" i="14"/>
  <c r="BP35" i="14"/>
  <c r="DV34" i="14"/>
  <c r="DQ34" i="14"/>
  <c r="DB34" i="14"/>
  <c r="DA34" i="14"/>
  <c r="CZ34" i="14"/>
  <c r="CY34" i="14"/>
  <c r="CS34" i="14"/>
  <c r="CN34" i="14"/>
  <c r="CJ34" i="14"/>
  <c r="CE34" i="14"/>
  <c r="BU34" i="14"/>
  <c r="BP34" i="14"/>
  <c r="DV33" i="14"/>
  <c r="DQ33" i="14"/>
  <c r="DB33" i="14"/>
  <c r="DA33" i="14"/>
  <c r="CZ33" i="14"/>
  <c r="CY33" i="14"/>
  <c r="CS33" i="14"/>
  <c r="CN33" i="14"/>
  <c r="CJ33" i="14"/>
  <c r="CE33" i="14"/>
  <c r="BU33" i="14"/>
  <c r="BP33" i="14"/>
  <c r="DV32" i="14"/>
  <c r="DQ32" i="14"/>
  <c r="DB32" i="14"/>
  <c r="DA32" i="14"/>
  <c r="CZ32" i="14"/>
  <c r="CY32" i="14"/>
  <c r="CS32" i="14"/>
  <c r="CN32" i="14"/>
  <c r="CJ32" i="14"/>
  <c r="CE32" i="14"/>
  <c r="BU32" i="14"/>
  <c r="BP32" i="14"/>
  <c r="DV31" i="14"/>
  <c r="DQ31" i="14"/>
  <c r="DB31" i="14"/>
  <c r="DA31" i="14"/>
  <c r="CZ31" i="14"/>
  <c r="CY31" i="14"/>
  <c r="CS31" i="14"/>
  <c r="CN31" i="14"/>
  <c r="CJ31" i="14"/>
  <c r="CE31" i="14"/>
  <c r="BU31" i="14"/>
  <c r="BP31" i="14"/>
  <c r="DV30" i="14"/>
  <c r="DQ30" i="14"/>
  <c r="DB30" i="14"/>
  <c r="DA30" i="14"/>
  <c r="CZ30" i="14"/>
  <c r="CY30" i="14"/>
  <c r="CS30" i="14"/>
  <c r="CN30" i="14"/>
  <c r="CJ30" i="14"/>
  <c r="CE30" i="14"/>
  <c r="BU30" i="14"/>
  <c r="BP30" i="14"/>
  <c r="DV29" i="14"/>
  <c r="DQ29" i="14"/>
  <c r="DB29" i="14"/>
  <c r="DA29" i="14"/>
  <c r="CZ29" i="14"/>
  <c r="CY29" i="14"/>
  <c r="CS29" i="14"/>
  <c r="CN29" i="14"/>
  <c r="CJ29" i="14"/>
  <c r="CE29" i="14"/>
  <c r="BU29" i="14"/>
  <c r="BP29" i="14"/>
  <c r="DV28" i="14"/>
  <c r="DQ28" i="14"/>
  <c r="DB28" i="14"/>
  <c r="DA28" i="14"/>
  <c r="CZ28" i="14"/>
  <c r="CY28" i="14"/>
  <c r="CS28" i="14"/>
  <c r="CN28" i="14"/>
  <c r="CJ28" i="14"/>
  <c r="CE28" i="14"/>
  <c r="BU28" i="14"/>
  <c r="BP28" i="14"/>
  <c r="DV27" i="14"/>
  <c r="DQ27" i="14"/>
  <c r="DB27" i="14"/>
  <c r="DA27" i="14"/>
  <c r="CZ27" i="14"/>
  <c r="CY27" i="14"/>
  <c r="CS27" i="14"/>
  <c r="CN27" i="14"/>
  <c r="CJ27" i="14"/>
  <c r="CE27" i="14"/>
  <c r="BU27" i="14"/>
  <c r="BP27" i="14"/>
  <c r="DV26" i="14"/>
  <c r="DQ26" i="14"/>
  <c r="DB26" i="14"/>
  <c r="DA26" i="14"/>
  <c r="CZ26" i="14"/>
  <c r="CY26" i="14"/>
  <c r="CS26" i="14"/>
  <c r="CN26" i="14"/>
  <c r="CJ26" i="14"/>
  <c r="CE26" i="14"/>
  <c r="BU26" i="14"/>
  <c r="BP26" i="14"/>
  <c r="DV25" i="14"/>
  <c r="DQ25" i="14"/>
  <c r="DB25" i="14"/>
  <c r="DA25" i="14"/>
  <c r="CZ25" i="14"/>
  <c r="CY25" i="14"/>
  <c r="CS25" i="14"/>
  <c r="CN25" i="14"/>
  <c r="CJ25" i="14"/>
  <c r="CE25" i="14"/>
  <c r="BU25" i="14"/>
  <c r="BP25" i="14"/>
  <c r="DV24" i="14"/>
  <c r="DQ24" i="14"/>
  <c r="DB24" i="14"/>
  <c r="DA24" i="14"/>
  <c r="CZ24" i="14"/>
  <c r="CY24" i="14"/>
  <c r="CS24" i="14"/>
  <c r="CN24" i="14"/>
  <c r="CJ24" i="14"/>
  <c r="CE24" i="14"/>
  <c r="BU24" i="14"/>
  <c r="BP24" i="14"/>
  <c r="DV23" i="14"/>
  <c r="DQ23" i="14"/>
  <c r="DB23" i="14"/>
  <c r="DA23" i="14"/>
  <c r="CZ23" i="14"/>
  <c r="CY23" i="14"/>
  <c r="CS23" i="14"/>
  <c r="CN23" i="14"/>
  <c r="CJ23" i="14"/>
  <c r="CE23" i="14"/>
  <c r="BU23" i="14"/>
  <c r="BP23" i="14"/>
  <c r="DV22" i="14"/>
  <c r="DQ22" i="14"/>
  <c r="DB22" i="14"/>
  <c r="DA22" i="14"/>
  <c r="CZ22" i="14"/>
  <c r="CY22" i="14"/>
  <c r="CS22" i="14"/>
  <c r="CN22" i="14"/>
  <c r="CJ22" i="14"/>
  <c r="CE22" i="14"/>
  <c r="BU22" i="14"/>
  <c r="BP22" i="14"/>
  <c r="DV21" i="14"/>
  <c r="DQ21" i="14"/>
  <c r="DB21" i="14"/>
  <c r="DA21" i="14"/>
  <c r="CZ21" i="14"/>
  <c r="CY21" i="14"/>
  <c r="CS21" i="14"/>
  <c r="CN21" i="14"/>
  <c r="CJ21" i="14"/>
  <c r="CE21" i="14"/>
  <c r="BU21" i="14"/>
  <c r="BP21" i="14"/>
  <c r="DZ20" i="14"/>
  <c r="DY20" i="14"/>
  <c r="DX20" i="14"/>
  <c r="DW20" i="14"/>
  <c r="DU20" i="14"/>
  <c r="DT20" i="14"/>
  <c r="DR20" i="14"/>
  <c r="DE20" i="14"/>
  <c r="DD20" i="14"/>
  <c r="DC20" i="14"/>
  <c r="CW20" i="14"/>
  <c r="CV20" i="14"/>
  <c r="CU20" i="14"/>
  <c r="CT20" i="14"/>
  <c r="CR20" i="14"/>
  <c r="CQ20" i="14"/>
  <c r="CP20" i="14"/>
  <c r="CO20" i="14"/>
  <c r="BY20" i="14"/>
  <c r="BT20" i="14"/>
  <c r="BS20" i="14"/>
  <c r="CD20" i="14" s="1"/>
  <c r="BQ20" i="14"/>
  <c r="CB20" i="14" s="1"/>
  <c r="DV19" i="14"/>
  <c r="DQ19" i="14"/>
  <c r="DB19" i="14"/>
  <c r="DA19" i="14"/>
  <c r="CZ19" i="14"/>
  <c r="CY19" i="14"/>
  <c r="CS19" i="14"/>
  <c r="CN19" i="14"/>
  <c r="CJ19" i="14"/>
  <c r="CE19" i="14"/>
  <c r="BU19" i="14"/>
  <c r="BP19" i="14"/>
  <c r="DV18" i="14"/>
  <c r="DQ18" i="14"/>
  <c r="DB18" i="14"/>
  <c r="DA18" i="14"/>
  <c r="CZ18" i="14"/>
  <c r="CY18" i="14"/>
  <c r="CS18" i="14"/>
  <c r="CN18" i="14"/>
  <c r="CJ18" i="14"/>
  <c r="CE18" i="14"/>
  <c r="BU18" i="14"/>
  <c r="BP18" i="14"/>
  <c r="DV17" i="14"/>
  <c r="DQ17" i="14"/>
  <c r="DB17" i="14"/>
  <c r="DA17" i="14"/>
  <c r="CZ17" i="14"/>
  <c r="CY17" i="14"/>
  <c r="CS17" i="14"/>
  <c r="CN17" i="14"/>
  <c r="CJ17" i="14"/>
  <c r="CE17" i="14"/>
  <c r="BU17" i="14"/>
  <c r="BP17" i="14"/>
  <c r="DV16" i="14"/>
  <c r="DQ16" i="14"/>
  <c r="DB16" i="14"/>
  <c r="DA16" i="14"/>
  <c r="CZ16" i="14"/>
  <c r="CY16" i="14"/>
  <c r="CS16" i="14"/>
  <c r="DI16" i="14" s="1"/>
  <c r="CN16" i="14"/>
  <c r="CJ16" i="14"/>
  <c r="CE16" i="14"/>
  <c r="BU16" i="14"/>
  <c r="DV15" i="14"/>
  <c r="DQ15" i="14"/>
  <c r="DB15" i="14"/>
  <c r="DA15" i="14"/>
  <c r="CZ15" i="14"/>
  <c r="CY15" i="14"/>
  <c r="CS15" i="14"/>
  <c r="CN15" i="14"/>
  <c r="CJ15" i="14"/>
  <c r="CE15" i="14"/>
  <c r="BU15" i="14"/>
  <c r="BP15" i="14"/>
  <c r="DV14" i="14"/>
  <c r="DQ14" i="14"/>
  <c r="DB14" i="14"/>
  <c r="DA14" i="14"/>
  <c r="CZ14" i="14"/>
  <c r="CY14" i="14"/>
  <c r="CS14" i="14"/>
  <c r="CN14" i="14"/>
  <c r="CJ14" i="14"/>
  <c r="CE14" i="14"/>
  <c r="BU14" i="14"/>
  <c r="BP14" i="14"/>
  <c r="DV13" i="14"/>
  <c r="DQ13" i="14"/>
  <c r="DB13" i="14"/>
  <c r="DA13" i="14"/>
  <c r="CZ13" i="14"/>
  <c r="CY13" i="14"/>
  <c r="CS13" i="14"/>
  <c r="CN13" i="14"/>
  <c r="CJ13" i="14"/>
  <c r="CE13" i="14"/>
  <c r="BU13" i="14"/>
  <c r="BP13" i="14"/>
  <c r="DV12" i="14"/>
  <c r="DQ12" i="14"/>
  <c r="DB12" i="14"/>
  <c r="DA12" i="14"/>
  <c r="CZ12" i="14"/>
  <c r="CY12" i="14"/>
  <c r="CS12" i="14"/>
  <c r="CN12" i="14"/>
  <c r="CJ12" i="14"/>
  <c r="CE12" i="14"/>
  <c r="BU12" i="14"/>
  <c r="BP12" i="14"/>
  <c r="DV11" i="14"/>
  <c r="DQ11" i="14"/>
  <c r="DE11" i="14"/>
  <c r="DE8" i="14" s="1"/>
  <c r="DB11" i="14"/>
  <c r="DA11" i="14"/>
  <c r="CZ11" i="14"/>
  <c r="CY11" i="14"/>
  <c r="CS11" i="14"/>
  <c r="CN11" i="14"/>
  <c r="CJ11" i="14"/>
  <c r="CE11" i="14"/>
  <c r="BU11" i="14"/>
  <c r="BP11" i="14"/>
  <c r="DV10" i="14"/>
  <c r="DQ10" i="14"/>
  <c r="DB10" i="14"/>
  <c r="DA10" i="14"/>
  <c r="CZ10" i="14"/>
  <c r="CY10" i="14"/>
  <c r="CS10" i="14"/>
  <c r="CN10" i="14"/>
  <c r="CJ10" i="14"/>
  <c r="CE10" i="14"/>
  <c r="BU10" i="14"/>
  <c r="BP10" i="14"/>
  <c r="DV9" i="14"/>
  <c r="DQ9" i="14"/>
  <c r="DB9" i="14"/>
  <c r="DA9" i="14"/>
  <c r="CZ9" i="14"/>
  <c r="CY9" i="14"/>
  <c r="CS9" i="14"/>
  <c r="CN9" i="14"/>
  <c r="CL9" i="14"/>
  <c r="CJ9" i="14"/>
  <c r="CE9" i="14"/>
  <c r="BU9" i="14"/>
  <c r="BP9" i="14"/>
  <c r="DZ8" i="14"/>
  <c r="DY8" i="14"/>
  <c r="DX8" i="14"/>
  <c r="DW8" i="14"/>
  <c r="DU8" i="14"/>
  <c r="DT8" i="14"/>
  <c r="DR8" i="14"/>
  <c r="DD8" i="14"/>
  <c r="DC8" i="14"/>
  <c r="CW8" i="14"/>
  <c r="CV8" i="14"/>
  <c r="CU8" i="14"/>
  <c r="CT8" i="14"/>
  <c r="CR8" i="14"/>
  <c r="CQ8" i="14"/>
  <c r="CP8" i="14"/>
  <c r="CO8" i="14"/>
  <c r="BY8" i="14"/>
  <c r="BT8" i="14"/>
  <c r="BS8" i="14"/>
  <c r="CD8" i="14" s="1"/>
  <c r="BR8" i="14"/>
  <c r="CC8" i="14" s="1"/>
  <c r="BQ8" i="14"/>
  <c r="CB8" i="14" s="1"/>
  <c r="DV7" i="14"/>
  <c r="DV6" i="14" s="1"/>
  <c r="DQ7" i="14"/>
  <c r="DQ6" i="14" s="1"/>
  <c r="DB7" i="14"/>
  <c r="DB6" i="14" s="1"/>
  <c r="DA7" i="14"/>
  <c r="DA6" i="14" s="1"/>
  <c r="CZ7" i="14"/>
  <c r="CZ6" i="14" s="1"/>
  <c r="CY7" i="14"/>
  <c r="CY6" i="14" s="1"/>
  <c r="CS7" i="14"/>
  <c r="CN7" i="14"/>
  <c r="CN6" i="14" s="1"/>
  <c r="CJ7" i="14"/>
  <c r="CJ6" i="14" s="1"/>
  <c r="CE7" i="14"/>
  <c r="CE6" i="14" s="1"/>
  <c r="BP7" i="14"/>
  <c r="BP6" i="14" s="1"/>
  <c r="DZ6" i="14"/>
  <c r="DY6" i="14"/>
  <c r="DX6" i="14"/>
  <c r="DW6" i="14"/>
  <c r="DU6" i="14"/>
  <c r="DT6" i="14"/>
  <c r="DR6" i="14"/>
  <c r="DE6" i="14"/>
  <c r="DD6" i="14"/>
  <c r="DC6" i="14"/>
  <c r="CW6" i="14"/>
  <c r="CV6" i="14"/>
  <c r="CU6" i="14"/>
  <c r="CT6" i="14"/>
  <c r="CR6" i="14"/>
  <c r="CQ6" i="14"/>
  <c r="CP6" i="14"/>
  <c r="CO6" i="14"/>
  <c r="BY6" i="14"/>
  <c r="BT6" i="14"/>
  <c r="BS6" i="14"/>
  <c r="CD6" i="14" s="1"/>
  <c r="BR6" i="14"/>
  <c r="CC6" i="14" s="1"/>
  <c r="BQ6" i="14"/>
  <c r="CB6" i="14" s="1"/>
  <c r="BU296" i="14" l="1"/>
  <c r="DZ332" i="14"/>
  <c r="DI237" i="14"/>
  <c r="DI239" i="14"/>
  <c r="DK239" i="14" s="1"/>
  <c r="DI249" i="14"/>
  <c r="CN280" i="14"/>
  <c r="BU283" i="14"/>
  <c r="DS296" i="14"/>
  <c r="DF330" i="14"/>
  <c r="BU268" i="14"/>
  <c r="BU271" i="14"/>
  <c r="CA6" i="14"/>
  <c r="DI13" i="14"/>
  <c r="DI32" i="14"/>
  <c r="DI49" i="14"/>
  <c r="DI51" i="14"/>
  <c r="DI101" i="14"/>
  <c r="DI115" i="14"/>
  <c r="DK115" i="14" s="1"/>
  <c r="DI160" i="14"/>
  <c r="DK160" i="14" s="1"/>
  <c r="DI164" i="14"/>
  <c r="DI196" i="14"/>
  <c r="DK196" i="14" s="1"/>
  <c r="DN196" i="14" s="1"/>
  <c r="DI198" i="14"/>
  <c r="DI199" i="14"/>
  <c r="DK199" i="14" s="1"/>
  <c r="DI205" i="14"/>
  <c r="DK205" i="14" s="1"/>
  <c r="DI216" i="14"/>
  <c r="CA220" i="14"/>
  <c r="DI235" i="14"/>
  <c r="CA203" i="14"/>
  <c r="CA177" i="14"/>
  <c r="CA94" i="14"/>
  <c r="CA8" i="14"/>
  <c r="CA39" i="14"/>
  <c r="DI47" i="14"/>
  <c r="CA79" i="14"/>
  <c r="CA114" i="14"/>
  <c r="CA137" i="14"/>
  <c r="DI156" i="14"/>
  <c r="CA159" i="14"/>
  <c r="CA195" i="14"/>
  <c r="CA230" i="14"/>
  <c r="CS268" i="14"/>
  <c r="BP283" i="14"/>
  <c r="CS283" i="14"/>
  <c r="CS286" i="14"/>
  <c r="BP289" i="14"/>
  <c r="DQ296" i="14"/>
  <c r="CA57" i="14"/>
  <c r="CA128" i="14"/>
  <c r="CA151" i="14"/>
  <c r="CX238" i="14"/>
  <c r="CA348" i="14"/>
  <c r="BZ348" i="14" s="1"/>
  <c r="BZ354" i="14" s="1"/>
  <c r="CB349" i="14"/>
  <c r="V308" i="14"/>
  <c r="Y306" i="14"/>
  <c r="X306" i="14"/>
  <c r="Y332" i="14"/>
  <c r="Y316" i="14"/>
  <c r="Y330" i="14" s="1"/>
  <c r="DI24" i="14"/>
  <c r="BZ27" i="14"/>
  <c r="DI81" i="14"/>
  <c r="DK81" i="14" s="1"/>
  <c r="CX106" i="14"/>
  <c r="CA259" i="14"/>
  <c r="BZ259" i="14" s="1"/>
  <c r="DI85" i="14"/>
  <c r="DI97" i="14"/>
  <c r="CX143" i="14"/>
  <c r="DI166" i="14"/>
  <c r="DI193" i="14"/>
  <c r="DI221" i="14"/>
  <c r="DK221" i="14" s="1"/>
  <c r="DI253" i="14"/>
  <c r="CO265" i="14"/>
  <c r="CX83" i="14"/>
  <c r="DI89" i="14"/>
  <c r="CJ94" i="14"/>
  <c r="DI224" i="14"/>
  <c r="CC261" i="14"/>
  <c r="DA8" i="14"/>
  <c r="CX13" i="14"/>
  <c r="CX15" i="14"/>
  <c r="DI82" i="14"/>
  <c r="DI132" i="14"/>
  <c r="DI135" i="14"/>
  <c r="DI140" i="14"/>
  <c r="DI143" i="14"/>
  <c r="DI148" i="14"/>
  <c r="CX162" i="14"/>
  <c r="DI169" i="14"/>
  <c r="BZ171" i="14"/>
  <c r="DI175" i="14"/>
  <c r="DI209" i="14"/>
  <c r="CX253" i="14"/>
  <c r="BZ14" i="14"/>
  <c r="BZ67" i="14"/>
  <c r="DI76" i="14"/>
  <c r="CX123" i="14"/>
  <c r="CX124" i="14"/>
  <c r="CX127" i="14"/>
  <c r="DI133" i="14"/>
  <c r="DI167" i="14"/>
  <c r="DI194" i="14"/>
  <c r="DI225" i="14"/>
  <c r="DI238" i="14"/>
  <c r="BZ253" i="14"/>
  <c r="CN283" i="14"/>
  <c r="BR296" i="14"/>
  <c r="CS332" i="14"/>
  <c r="CS346" i="14"/>
  <c r="DI73" i="14"/>
  <c r="DI80" i="14"/>
  <c r="DK80" i="14" s="1"/>
  <c r="DN80" i="14" s="1"/>
  <c r="CE94" i="14"/>
  <c r="DI102" i="14"/>
  <c r="BZ119" i="14"/>
  <c r="CS114" i="14"/>
  <c r="DI121" i="14"/>
  <c r="DI124" i="14"/>
  <c r="DI144" i="14"/>
  <c r="DI163" i="14"/>
  <c r="DI189" i="14"/>
  <c r="DI200" i="14"/>
  <c r="BZ200" i="14"/>
  <c r="DI204" i="14"/>
  <c r="DK204" i="14" s="1"/>
  <c r="DI214" i="14"/>
  <c r="DI217" i="14"/>
  <c r="CX217" i="14"/>
  <c r="DF221" i="14"/>
  <c r="DL221" i="14" s="1"/>
  <c r="DI234" i="14"/>
  <c r="CX255" i="14"/>
  <c r="CX317" i="14"/>
  <c r="BP349" i="14"/>
  <c r="BU354" i="14"/>
  <c r="DI44" i="14"/>
  <c r="DI55" i="14"/>
  <c r="DI12" i="14"/>
  <c r="DI17" i="14"/>
  <c r="DI34" i="14"/>
  <c r="DI42" i="14"/>
  <c r="CX44" i="14"/>
  <c r="DI48" i="14"/>
  <c r="CX48" i="14"/>
  <c r="DI52" i="14"/>
  <c r="DI59" i="14"/>
  <c r="DK59" i="14" s="1"/>
  <c r="DI61" i="14"/>
  <c r="DI64" i="14"/>
  <c r="CX64" i="14"/>
  <c r="DI67" i="14"/>
  <c r="DI23" i="14"/>
  <c r="CX32" i="14"/>
  <c r="DI35" i="14"/>
  <c r="DI38" i="14"/>
  <c r="DI56" i="14"/>
  <c r="DI91" i="14"/>
  <c r="CX92" i="14"/>
  <c r="DI112" i="14"/>
  <c r="DI117" i="14"/>
  <c r="DI125" i="14"/>
  <c r="DI134" i="14"/>
  <c r="CX158" i="14"/>
  <c r="BZ169" i="14"/>
  <c r="DE177" i="14"/>
  <c r="DE258" i="14" s="1"/>
  <c r="DE260" i="14" s="1"/>
  <c r="BZ182" i="14"/>
  <c r="DI190" i="14"/>
  <c r="BZ197" i="14"/>
  <c r="DB203" i="14"/>
  <c r="CB280" i="14"/>
  <c r="BZ76" i="14"/>
  <c r="DB137" i="14"/>
  <c r="BZ158" i="14"/>
  <c r="DI165" i="14"/>
  <c r="CX184" i="14"/>
  <c r="BZ190" i="14"/>
  <c r="CX194" i="14"/>
  <c r="CX199" i="14"/>
  <c r="CX204" i="14"/>
  <c r="DI210" i="14"/>
  <c r="CX210" i="14"/>
  <c r="BZ211" i="14"/>
  <c r="DI213" i="14"/>
  <c r="BZ224" i="14"/>
  <c r="DI229" i="14"/>
  <c r="BZ235" i="14"/>
  <c r="BU267" i="14"/>
  <c r="CX46" i="14"/>
  <c r="CX47" i="14"/>
  <c r="CX51" i="14"/>
  <c r="BZ52" i="14"/>
  <c r="CE57" i="14"/>
  <c r="BZ59" i="14"/>
  <c r="DI62" i="14"/>
  <c r="DI65" i="14"/>
  <c r="CX65" i="14"/>
  <c r="CX66" i="14"/>
  <c r="DI74" i="14"/>
  <c r="BZ75" i="14"/>
  <c r="CX119" i="14"/>
  <c r="DI172" i="14"/>
  <c r="BU255" i="14"/>
  <c r="BU242" i="14" s="1"/>
  <c r="BW258" i="14"/>
  <c r="BW260" i="14" s="1"/>
  <c r="BW296" i="14"/>
  <c r="CA327" i="14"/>
  <c r="CC328" i="14"/>
  <c r="CX12" i="14"/>
  <c r="BZ13" i="14"/>
  <c r="DI18" i="14"/>
  <c r="CN20" i="14"/>
  <c r="CX29" i="14"/>
  <c r="BZ32" i="14"/>
  <c r="BZ56" i="14"/>
  <c r="CX136" i="14"/>
  <c r="CX102" i="14"/>
  <c r="CX133" i="14"/>
  <c r="DI168" i="14"/>
  <c r="DI170" i="14"/>
  <c r="CX213" i="14"/>
  <c r="CJ203" i="14"/>
  <c r="BZ217" i="14"/>
  <c r="CX219" i="14"/>
  <c r="BZ238" i="14"/>
  <c r="BZ240" i="14"/>
  <c r="DI248" i="14"/>
  <c r="BZ255" i="14"/>
  <c r="CP307" i="14"/>
  <c r="DI11" i="14"/>
  <c r="CX11" i="14"/>
  <c r="DI15" i="14"/>
  <c r="CX18" i="14"/>
  <c r="DI26" i="14"/>
  <c r="DK26" i="14" s="1"/>
  <c r="CX26" i="14"/>
  <c r="DI37" i="14"/>
  <c r="BZ37" i="14"/>
  <c r="CX37" i="14"/>
  <c r="BZ45" i="14"/>
  <c r="CX49" i="14"/>
  <c r="BZ62" i="14"/>
  <c r="DB57" i="14"/>
  <c r="DI69" i="14"/>
  <c r="DI71" i="14"/>
  <c r="CX71" i="14"/>
  <c r="BZ73" i="14"/>
  <c r="CX78" i="14"/>
  <c r="CZ79" i="14"/>
  <c r="DI96" i="14"/>
  <c r="DI103" i="14"/>
  <c r="CX108" i="14"/>
  <c r="DI110" i="14"/>
  <c r="DI113" i="14"/>
  <c r="CX117" i="14"/>
  <c r="CE114" i="14"/>
  <c r="DI126" i="14"/>
  <c r="DI130" i="14"/>
  <c r="DK130" i="14" s="1"/>
  <c r="DI139" i="14"/>
  <c r="DK139" i="14" s="1"/>
  <c r="DI145" i="14"/>
  <c r="BZ153" i="14"/>
  <c r="BZ163" i="14"/>
  <c r="CX170" i="14"/>
  <c r="CX172" i="14"/>
  <c r="DI174" i="14"/>
  <c r="BZ175" i="14"/>
  <c r="DI180" i="14"/>
  <c r="DI188" i="14"/>
  <c r="CX190" i="14"/>
  <c r="DI191" i="14"/>
  <c r="BZ196" i="14"/>
  <c r="DQ195" i="14"/>
  <c r="CE195" i="14"/>
  <c r="DI233" i="14"/>
  <c r="DI241" i="14"/>
  <c r="CX241" i="14"/>
  <c r="BU261" i="14"/>
  <c r="CT265" i="14"/>
  <c r="CN274" i="14"/>
  <c r="CN267" i="14"/>
  <c r="BP280" i="14"/>
  <c r="CS296" i="14"/>
  <c r="DD258" i="14"/>
  <c r="DD260" i="14" s="1"/>
  <c r="DD262" i="14" s="1"/>
  <c r="DI22" i="14"/>
  <c r="DK22" i="14" s="1"/>
  <c r="DF26" i="14"/>
  <c r="DL26" i="14" s="1"/>
  <c r="DI27" i="14"/>
  <c r="CX27" i="14"/>
  <c r="DI36" i="14"/>
  <c r="DI40" i="14"/>
  <c r="DK40" i="14" s="1"/>
  <c r="DN40" i="14" s="1"/>
  <c r="DI41" i="14"/>
  <c r="DK41" i="14" s="1"/>
  <c r="DI45" i="14"/>
  <c r="CX45" i="14"/>
  <c r="BZ53" i="14"/>
  <c r="BZ55" i="14"/>
  <c r="DI66" i="14"/>
  <c r="DI68" i="14"/>
  <c r="DI70" i="14"/>
  <c r="BZ71" i="14"/>
  <c r="CX86" i="14"/>
  <c r="CX87" i="14"/>
  <c r="BZ98" i="14"/>
  <c r="DI98" i="14"/>
  <c r="BZ101" i="14"/>
  <c r="DI109" i="14"/>
  <c r="DI129" i="14"/>
  <c r="DK129" i="14" s="1"/>
  <c r="DI138" i="14"/>
  <c r="DK138" i="14" s="1"/>
  <c r="DI146" i="14"/>
  <c r="DI154" i="14"/>
  <c r="DI157" i="14"/>
  <c r="DK156" i="14" s="1"/>
  <c r="DI162" i="14"/>
  <c r="BZ162" i="14"/>
  <c r="DI171" i="14"/>
  <c r="CX171" i="14"/>
  <c r="CX176" i="14"/>
  <c r="DI181" i="14"/>
  <c r="CX181" i="14"/>
  <c r="DI192" i="14"/>
  <c r="BZ199" i="14"/>
  <c r="CX209" i="14"/>
  <c r="DI211" i="14"/>
  <c r="CX215" i="14"/>
  <c r="DI222" i="14"/>
  <c r="DK222" i="14" s="1"/>
  <c r="BZ222" i="14"/>
  <c r="DI232" i="14"/>
  <c r="DK232" i="14" s="1"/>
  <c r="DI236" i="14"/>
  <c r="DF243" i="14"/>
  <c r="DL243" i="14" s="1"/>
  <c r="BZ246" i="14"/>
  <c r="CX248" i="14"/>
  <c r="DA242" i="14"/>
  <c r="DI250" i="14"/>
  <c r="BZ251" i="14"/>
  <c r="DI254" i="14"/>
  <c r="CX257" i="14"/>
  <c r="BV265" i="14"/>
  <c r="DW265" i="14"/>
  <c r="CB268" i="14"/>
  <c r="CB271" i="14"/>
  <c r="CN289" i="14"/>
  <c r="BR307" i="14"/>
  <c r="BR317" i="14" s="1"/>
  <c r="BR331" i="14" s="1"/>
  <c r="CU296" i="14"/>
  <c r="CN346" i="14"/>
  <c r="BZ109" i="14"/>
  <c r="BP268" i="14"/>
  <c r="BZ247" i="14"/>
  <c r="BZ189" i="14"/>
  <c r="BZ43" i="14"/>
  <c r="DQ39" i="14"/>
  <c r="BZ149" i="14"/>
  <c r="BP286" i="14"/>
  <c r="BQ265" i="14"/>
  <c r="BZ124" i="14"/>
  <c r="BZ17" i="14"/>
  <c r="DI155" i="14"/>
  <c r="BZ49" i="14"/>
  <c r="BZ74" i="14"/>
  <c r="DI19" i="14"/>
  <c r="DR265" i="14"/>
  <c r="BZ16" i="14"/>
  <c r="BZ25" i="14"/>
  <c r="BZ207" i="14"/>
  <c r="BZ176" i="14"/>
  <c r="BU151" i="14"/>
  <c r="DI120" i="14"/>
  <c r="DI7" i="14"/>
  <c r="DI6" i="14" s="1"/>
  <c r="DI212" i="14"/>
  <c r="BZ215" i="14"/>
  <c r="BZ54" i="14"/>
  <c r="BZ90" i="14"/>
  <c r="BZ110" i="14"/>
  <c r="BZ91" i="14"/>
  <c r="BZ33" i="14"/>
  <c r="BZ100" i="14"/>
  <c r="BZ234" i="14"/>
  <c r="DI183" i="14"/>
  <c r="BZ187" i="14"/>
  <c r="BU20" i="14"/>
  <c r="CB266" i="14"/>
  <c r="BU286" i="14"/>
  <c r="BU230" i="14"/>
  <c r="W332" i="14"/>
  <c r="V318" i="14"/>
  <c r="V332" i="14" s="1"/>
  <c r="BZ7" i="14"/>
  <c r="BZ6" i="14" s="1"/>
  <c r="BU6" i="14"/>
  <c r="DI9" i="14"/>
  <c r="DK9" i="14" s="1"/>
  <c r="BZ9" i="14"/>
  <c r="BU8" i="14"/>
  <c r="DV8" i="14"/>
  <c r="CX14" i="14"/>
  <c r="CX16" i="14"/>
  <c r="CX17" i="14"/>
  <c r="DF17" i="14" s="1"/>
  <c r="DI21" i="14"/>
  <c r="DK21" i="14" s="1"/>
  <c r="CX23" i="14"/>
  <c r="BZ24" i="14"/>
  <c r="CS20" i="14"/>
  <c r="DI33" i="14"/>
  <c r="CX34" i="14"/>
  <c r="BZ35" i="14"/>
  <c r="BZ36" i="14"/>
  <c r="BZ40" i="14"/>
  <c r="DV39" i="14"/>
  <c r="DA39" i="14"/>
  <c r="CX43" i="14"/>
  <c r="BZ46" i="14"/>
  <c r="CX63" i="14"/>
  <c r="CX67" i="14"/>
  <c r="BZ68" i="14"/>
  <c r="CX77" i="14"/>
  <c r="CX82" i="14"/>
  <c r="CX88" i="14"/>
  <c r="BZ89" i="14"/>
  <c r="BZ105" i="14"/>
  <c r="BZ117" i="14"/>
  <c r="BZ120" i="14"/>
  <c r="DI142" i="14"/>
  <c r="BT258" i="14"/>
  <c r="BT260" i="14" s="1"/>
  <c r="BT264" i="14" s="1"/>
  <c r="BT292" i="14" s="1"/>
  <c r="BX258" i="14"/>
  <c r="BX260" i="14" s="1"/>
  <c r="BX262" i="14" s="1"/>
  <c r="CR258" i="14"/>
  <c r="CR260" i="14" s="1"/>
  <c r="CR262" i="14" s="1"/>
  <c r="CV258" i="14"/>
  <c r="CV260" i="14" s="1"/>
  <c r="CV264" i="14" s="1"/>
  <c r="CV292" i="14" s="1"/>
  <c r="DB8" i="14"/>
  <c r="DF13" i="14"/>
  <c r="DQ8" i="14"/>
  <c r="DF15" i="14"/>
  <c r="BZ18" i="14"/>
  <c r="CX21" i="14"/>
  <c r="CX22" i="14"/>
  <c r="BZ26" i="14"/>
  <c r="DI29" i="14"/>
  <c r="DI30" i="14"/>
  <c r="DI31" i="14"/>
  <c r="DI46" i="14"/>
  <c r="DF48" i="14"/>
  <c r="DI50" i="14"/>
  <c r="CX50" i="14"/>
  <c r="CX52" i="14"/>
  <c r="CX53" i="14"/>
  <c r="CN57" i="14"/>
  <c r="DF59" i="14"/>
  <c r="BZ65" i="14"/>
  <c r="CX72" i="14"/>
  <c r="DI75" i="14"/>
  <c r="DF78" i="14"/>
  <c r="DV79" i="14"/>
  <c r="BZ88" i="14"/>
  <c r="DI93" i="14"/>
  <c r="DS258" i="14"/>
  <c r="DS260" i="14" s="1"/>
  <c r="DS264" i="14" s="1"/>
  <c r="DS292" i="14" s="1"/>
  <c r="DS294" i="14" s="1"/>
  <c r="DS318" i="14" s="1"/>
  <c r="CS94" i="14"/>
  <c r="BZ97" i="14"/>
  <c r="DQ94" i="14"/>
  <c r="DI105" i="14"/>
  <c r="BZ107" i="14"/>
  <c r="BZ112" i="14"/>
  <c r="CX113" i="14"/>
  <c r="DB114" i="14"/>
  <c r="BZ127" i="14"/>
  <c r="DI14" i="14"/>
  <c r="DK11" i="14" s="1"/>
  <c r="BU95" i="14"/>
  <c r="BU94" i="14" s="1"/>
  <c r="BZ95" i="14"/>
  <c r="CN128" i="14"/>
  <c r="CS6" i="14"/>
  <c r="DU258" i="14"/>
  <c r="DU260" i="14" s="1"/>
  <c r="DU264" i="14" s="1"/>
  <c r="DU292" i="14" s="1"/>
  <c r="DU306" i="14" s="1"/>
  <c r="CN8" i="14"/>
  <c r="BZ12" i="14"/>
  <c r="BZ22" i="14"/>
  <c r="CJ20" i="14"/>
  <c r="CX24" i="14"/>
  <c r="DQ20" i="14"/>
  <c r="DA20" i="14"/>
  <c r="BZ28" i="14"/>
  <c r="DI28" i="14"/>
  <c r="CX33" i="14"/>
  <c r="CX35" i="14"/>
  <c r="CX36" i="14"/>
  <c r="BZ38" i="14"/>
  <c r="CX40" i="14"/>
  <c r="BZ41" i="14"/>
  <c r="CJ39" i="14"/>
  <c r="CS39" i="14"/>
  <c r="DF51" i="14"/>
  <c r="DI53" i="14"/>
  <c r="CX56" i="14"/>
  <c r="CX61" i="14"/>
  <c r="DF61" i="14" s="1"/>
  <c r="BZ69" i="14"/>
  <c r="CX73" i="14"/>
  <c r="BZ84" i="14"/>
  <c r="DI88" i="14"/>
  <c r="CX110" i="14"/>
  <c r="BU114" i="14"/>
  <c r="CX125" i="14"/>
  <c r="BZ126" i="14"/>
  <c r="DI127" i="14"/>
  <c r="CX130" i="14"/>
  <c r="BZ142" i="14"/>
  <c r="CS128" i="14"/>
  <c r="CX134" i="14"/>
  <c r="BZ136" i="14"/>
  <c r="DI136" i="14"/>
  <c r="DK132" i="14" s="1"/>
  <c r="DQ137" i="14"/>
  <c r="CX144" i="14"/>
  <c r="CX149" i="14"/>
  <c r="BZ155" i="14"/>
  <c r="DA159" i="14"/>
  <c r="CX165" i="14"/>
  <c r="CX167" i="14"/>
  <c r="CX175" i="14"/>
  <c r="DI176" i="14"/>
  <c r="CX192" i="14"/>
  <c r="BZ193" i="14"/>
  <c r="CX224" i="14"/>
  <c r="CZ220" i="14"/>
  <c r="BU280" i="14"/>
  <c r="BU266" i="14"/>
  <c r="CX75" i="14"/>
  <c r="CX76" i="14"/>
  <c r="DI77" i="14"/>
  <c r="BZ78" i="14"/>
  <c r="CX80" i="14"/>
  <c r="CY79" i="14"/>
  <c r="DF83" i="14"/>
  <c r="CS79" i="14"/>
  <c r="DI84" i="14"/>
  <c r="DI90" i="14"/>
  <c r="CX93" i="14"/>
  <c r="CX100" i="14"/>
  <c r="CX105" i="14"/>
  <c r="DI107" i="14"/>
  <c r="DI122" i="14"/>
  <c r="BZ125" i="14"/>
  <c r="BP128" i="14"/>
  <c r="DI131" i="14"/>
  <c r="DV128" i="14"/>
  <c r="BZ134" i="14"/>
  <c r="CX135" i="14"/>
  <c r="CX138" i="14"/>
  <c r="BZ144" i="14"/>
  <c r="CX145" i="14"/>
  <c r="CX146" i="14"/>
  <c r="BZ147" i="14"/>
  <c r="DI149" i="14"/>
  <c r="CE151" i="14"/>
  <c r="DA151" i="14"/>
  <c r="CS159" i="14"/>
  <c r="CX163" i="14"/>
  <c r="BZ164" i="14"/>
  <c r="BZ167" i="14"/>
  <c r="CX168" i="14"/>
  <c r="CX179" i="14"/>
  <c r="DQ177" i="14"/>
  <c r="DI185" i="14"/>
  <c r="BU195" i="14"/>
  <c r="BZ198" i="14"/>
  <c r="DI208" i="14"/>
  <c r="CX208" i="14"/>
  <c r="BZ214" i="14"/>
  <c r="BU39" i="14"/>
  <c r="DI43" i="14"/>
  <c r="BZ44" i="14"/>
  <c r="CZ39" i="14"/>
  <c r="DI54" i="14"/>
  <c r="DI60" i="14"/>
  <c r="BZ61" i="14"/>
  <c r="BZ63" i="14"/>
  <c r="BZ64" i="14"/>
  <c r="CX68" i="14"/>
  <c r="CX69" i="14"/>
  <c r="DF69" i="14" s="1"/>
  <c r="DI78" i="14"/>
  <c r="CJ79" i="14"/>
  <c r="BZ83" i="14"/>
  <c r="CX84" i="14"/>
  <c r="BZ87" i="14"/>
  <c r="CX90" i="14"/>
  <c r="CX91" i="14"/>
  <c r="DI92" i="14"/>
  <c r="BZ93" i="14"/>
  <c r="DA94" i="14"/>
  <c r="CX97" i="14"/>
  <c r="CX99" i="14"/>
  <c r="DF100" i="14"/>
  <c r="BZ102" i="14"/>
  <c r="BZ103" i="14"/>
  <c r="DF106" i="14"/>
  <c r="DI106" i="14"/>
  <c r="CX107" i="14"/>
  <c r="CX112" i="14"/>
  <c r="DI119" i="14"/>
  <c r="CX120" i="14"/>
  <c r="DI123" i="14"/>
  <c r="BZ129" i="14"/>
  <c r="DB128" i="14"/>
  <c r="DA128" i="14"/>
  <c r="BZ135" i="14"/>
  <c r="BZ138" i="14"/>
  <c r="CX142" i="14"/>
  <c r="CX147" i="14"/>
  <c r="CE159" i="14"/>
  <c r="BU159" i="14"/>
  <c r="BZ172" i="14"/>
  <c r="BZ179" i="14"/>
  <c r="CX185" i="14"/>
  <c r="DI186" i="14"/>
  <c r="BZ221" i="14"/>
  <c r="CS230" i="14"/>
  <c r="CX251" i="14"/>
  <c r="BZ146" i="14"/>
  <c r="BZ148" i="14"/>
  <c r="DV137" i="14"/>
  <c r="DI153" i="14"/>
  <c r="DK153" i="14" s="1"/>
  <c r="CX155" i="14"/>
  <c r="DI158" i="14"/>
  <c r="CX166" i="14"/>
  <c r="DI173" i="14"/>
  <c r="CX174" i="14"/>
  <c r="DV177" i="14"/>
  <c r="BZ183" i="14"/>
  <c r="DI184" i="14"/>
  <c r="BZ185" i="14"/>
  <c r="BZ186" i="14"/>
  <c r="CX186" i="14"/>
  <c r="DB195" i="14"/>
  <c r="CX200" i="14"/>
  <c r="CX202" i="14"/>
  <c r="BZ204" i="14"/>
  <c r="DF204" i="14"/>
  <c r="DL204" i="14" s="1"/>
  <c r="CX205" i="14"/>
  <c r="DI207" i="14"/>
  <c r="DB220" i="14"/>
  <c r="DV220" i="14"/>
  <c r="DI244" i="14"/>
  <c r="DK244" i="14" s="1"/>
  <c r="CJ137" i="14"/>
  <c r="DI147" i="14"/>
  <c r="DI150" i="14"/>
  <c r="CJ151" i="14"/>
  <c r="DQ151" i="14"/>
  <c r="DF158" i="14"/>
  <c r="BZ165" i="14"/>
  <c r="BZ168" i="14"/>
  <c r="CX178" i="14"/>
  <c r="BZ188" i="14"/>
  <c r="CY203" i="14"/>
  <c r="CX212" i="14"/>
  <c r="CJ220" i="14"/>
  <c r="CY230" i="14"/>
  <c r="CX247" i="14"/>
  <c r="BZ248" i="14"/>
  <c r="DV266" i="14"/>
  <c r="DV267" i="14"/>
  <c r="DI178" i="14"/>
  <c r="DK178" i="14" s="1"/>
  <c r="BZ180" i="14"/>
  <c r="BZ181" i="14"/>
  <c r="CX182" i="14"/>
  <c r="BZ184" i="14"/>
  <c r="DI187" i="14"/>
  <c r="CX189" i="14"/>
  <c r="CX193" i="14"/>
  <c r="BZ194" i="14"/>
  <c r="DI201" i="14"/>
  <c r="CX201" i="14"/>
  <c r="DV203" i="14"/>
  <c r="BZ209" i="14"/>
  <c r="BZ210" i="14"/>
  <c r="CX211" i="14"/>
  <c r="BZ212" i="14"/>
  <c r="DI228" i="14"/>
  <c r="CX234" i="14"/>
  <c r="BZ236" i="14"/>
  <c r="DI243" i="14"/>
  <c r="DK243" i="14" s="1"/>
  <c r="DN243" i="14" s="1"/>
  <c r="DI246" i="14"/>
  <c r="BZ250" i="14"/>
  <c r="DI251" i="14"/>
  <c r="CX254" i="14"/>
  <c r="DI256" i="14"/>
  <c r="CN277" i="14"/>
  <c r="BU289" i="14"/>
  <c r="CC296" i="14"/>
  <c r="CN296" i="14"/>
  <c r="BU314" i="14"/>
  <c r="DQ314" i="14"/>
  <c r="DY332" i="14"/>
  <c r="CN349" i="14"/>
  <c r="CS349" i="14"/>
  <c r="DI202" i="14"/>
  <c r="CX207" i="14"/>
  <c r="BZ213" i="14"/>
  <c r="BZ226" i="14"/>
  <c r="DI226" i="14"/>
  <c r="CX233" i="14"/>
  <c r="CE230" i="14"/>
  <c r="DF244" i="14"/>
  <c r="CX249" i="14"/>
  <c r="BP261" i="14"/>
  <c r="CN261" i="14"/>
  <c r="DI218" i="14"/>
  <c r="CX218" i="14"/>
  <c r="DF224" i="14"/>
  <c r="CX226" i="14"/>
  <c r="BZ227" i="14"/>
  <c r="DI227" i="14"/>
  <c r="DK227" i="14" s="1"/>
  <c r="DQ230" i="14"/>
  <c r="CX237" i="14"/>
  <c r="DI240" i="14"/>
  <c r="BZ241" i="14"/>
  <c r="DI245" i="14"/>
  <c r="CX246" i="14"/>
  <c r="BZ249" i="14"/>
  <c r="CX256" i="14"/>
  <c r="CN268" i="14"/>
  <c r="BP274" i="14"/>
  <c r="DQ266" i="14"/>
  <c r="DQ293" i="14"/>
  <c r="BP296" i="14"/>
  <c r="CS317" i="14"/>
  <c r="CX332" i="14"/>
  <c r="DI215" i="14"/>
  <c r="BZ219" i="14"/>
  <c r="DI219" i="14"/>
  <c r="CX225" i="14"/>
  <c r="CX229" i="14"/>
  <c r="DA230" i="14"/>
  <c r="CX235" i="14"/>
  <c r="CX236" i="14"/>
  <c r="DF236" i="14" s="1"/>
  <c r="BZ237" i="14"/>
  <c r="CX239" i="14"/>
  <c r="BZ243" i="14"/>
  <c r="DQ242" i="14"/>
  <c r="DI247" i="14"/>
  <c r="BZ256" i="14"/>
  <c r="BZ257" i="14"/>
  <c r="DI257" i="14"/>
  <c r="BU274" i="14"/>
  <c r="BP277" i="14"/>
  <c r="DQ267" i="14"/>
  <c r="CB286" i="14"/>
  <c r="BW307" i="14"/>
  <c r="BW317" i="14" s="1"/>
  <c r="BW331" i="14" s="1"/>
  <c r="DR307" i="14"/>
  <c r="DQ307" i="14" s="1"/>
  <c r="BP314" i="14"/>
  <c r="DX332" i="14"/>
  <c r="CN332" i="14"/>
  <c r="BU346" i="14"/>
  <c r="BZ81" i="14"/>
  <c r="BT262" i="14"/>
  <c r="CY39" i="14"/>
  <c r="DI152" i="14"/>
  <c r="BP151" i="14"/>
  <c r="CX160" i="14"/>
  <c r="CY159" i="14"/>
  <c r="CX164" i="14"/>
  <c r="CZ159" i="14"/>
  <c r="BP39" i="14"/>
  <c r="CN39" i="14"/>
  <c r="CZ57" i="14"/>
  <c r="DV57" i="14"/>
  <c r="CJ57" i="14"/>
  <c r="CS57" i="14"/>
  <c r="BZ72" i="14"/>
  <c r="BP79" i="14"/>
  <c r="DA79" i="14"/>
  <c r="CX96" i="14"/>
  <c r="CY94" i="14"/>
  <c r="DI104" i="14"/>
  <c r="BP114" i="14"/>
  <c r="DI116" i="14"/>
  <c r="DI118" i="14"/>
  <c r="DI141" i="14"/>
  <c r="BZ202" i="14"/>
  <c r="BU353" i="14"/>
  <c r="BU349" i="14"/>
  <c r="CP258" i="14"/>
  <c r="CP260" i="14" s="1"/>
  <c r="CT258" i="14"/>
  <c r="CT260" i="14" s="1"/>
  <c r="CE8" i="14"/>
  <c r="CY261" i="14"/>
  <c r="CX10" i="14"/>
  <c r="CY8" i="14"/>
  <c r="BZ11" i="14"/>
  <c r="BZ15" i="14"/>
  <c r="CX19" i="14"/>
  <c r="CZ20" i="14"/>
  <c r="CE20" i="14"/>
  <c r="DB20" i="14"/>
  <c r="BZ23" i="14"/>
  <c r="DI25" i="14"/>
  <c r="CX30" i="14"/>
  <c r="CX31" i="14"/>
  <c r="BZ34" i="14"/>
  <c r="CX38" i="14"/>
  <c r="CX42" i="14"/>
  <c r="BZ47" i="14"/>
  <c r="BZ48" i="14"/>
  <c r="BZ50" i="14"/>
  <c r="BZ51" i="14"/>
  <c r="CX54" i="14"/>
  <c r="BU57" i="14"/>
  <c r="CX60" i="14"/>
  <c r="CY57" i="14"/>
  <c r="DI72" i="14"/>
  <c r="BZ77" i="14"/>
  <c r="DQ79" i="14"/>
  <c r="BZ92" i="14"/>
  <c r="DW94" i="14"/>
  <c r="DW258" i="14" s="1"/>
  <c r="DW260" i="14" s="1"/>
  <c r="DI95" i="14"/>
  <c r="CX95" i="14"/>
  <c r="CZ94" i="14"/>
  <c r="DI100" i="14"/>
  <c r="DI111" i="14"/>
  <c r="CX122" i="14"/>
  <c r="CY114" i="14"/>
  <c r="CX129" i="14"/>
  <c r="CZ128" i="14"/>
  <c r="BU128" i="14"/>
  <c r="DQ128" i="14"/>
  <c r="BP137" i="14"/>
  <c r="CN137" i="14"/>
  <c r="CX152" i="14"/>
  <c r="CY151" i="14"/>
  <c r="CS151" i="14"/>
  <c r="CJ159" i="14"/>
  <c r="DQ159" i="14"/>
  <c r="DA177" i="14"/>
  <c r="DI179" i="14"/>
  <c r="BP177" i="14"/>
  <c r="BZ269" i="14"/>
  <c r="CA268" i="14"/>
  <c r="BZ268" i="14" s="1"/>
  <c r="BZ270" i="14"/>
  <c r="BZ267" i="14" s="1"/>
  <c r="CA267" i="14"/>
  <c r="CB274" i="14"/>
  <c r="BZ58" i="14"/>
  <c r="BZ123" i="14"/>
  <c r="CZ137" i="14"/>
  <c r="CX139" i="14"/>
  <c r="BZ145" i="14"/>
  <c r="CZ151" i="14"/>
  <c r="CX153" i="14"/>
  <c r="BP159" i="14"/>
  <c r="DI161" i="14"/>
  <c r="DA195" i="14"/>
  <c r="CX197" i="14"/>
  <c r="CN203" i="14"/>
  <c r="BQ258" i="14"/>
  <c r="BY258" i="14"/>
  <c r="BY260" i="14" s="1"/>
  <c r="CO258" i="14"/>
  <c r="CO260" i="14" s="1"/>
  <c r="CW258" i="14"/>
  <c r="CW260" i="14" s="1"/>
  <c r="BP8" i="14"/>
  <c r="DI10" i="14"/>
  <c r="BP20" i="14"/>
  <c r="CX25" i="14"/>
  <c r="DI58" i="14"/>
  <c r="BP57" i="14"/>
  <c r="BU79" i="14"/>
  <c r="BP94" i="14"/>
  <c r="CN94" i="14"/>
  <c r="DI99" i="14"/>
  <c r="CN151" i="14"/>
  <c r="CN159" i="14"/>
  <c r="DI197" i="14"/>
  <c r="CS195" i="14"/>
  <c r="CS242" i="14"/>
  <c r="DI252" i="14"/>
  <c r="BS258" i="14"/>
  <c r="CD258" i="14" s="1"/>
  <c r="CQ258" i="14"/>
  <c r="CQ260" i="14" s="1"/>
  <c r="CU258" i="14"/>
  <c r="CU260" i="14" s="1"/>
  <c r="DC258" i="14"/>
  <c r="DC260" i="14" s="1"/>
  <c r="DT258" i="14"/>
  <c r="DT260" i="14" s="1"/>
  <c r="DT264" i="14" s="1"/>
  <c r="DT292" i="14" s="1"/>
  <c r="DX258" i="14"/>
  <c r="DX260" i="14" s="1"/>
  <c r="DX264" i="14" s="1"/>
  <c r="DX292" i="14" s="1"/>
  <c r="DX293" i="14" s="1"/>
  <c r="CX7" i="14"/>
  <c r="CX6" i="14" s="1"/>
  <c r="CS8" i="14"/>
  <c r="CX9" i="14"/>
  <c r="CB261" i="14"/>
  <c r="CJ261" i="14"/>
  <c r="CJ8" i="14"/>
  <c r="CZ261" i="14"/>
  <c r="CZ8" i="14"/>
  <c r="BZ19" i="14"/>
  <c r="BZ21" i="14"/>
  <c r="DV20" i="14"/>
  <c r="CY20" i="14"/>
  <c r="CX28" i="14"/>
  <c r="BZ29" i="14"/>
  <c r="BR20" i="14"/>
  <c r="CC20" i="14" s="1"/>
  <c r="CA20" i="14" s="1"/>
  <c r="BZ30" i="14"/>
  <c r="BZ31" i="14"/>
  <c r="DF40" i="14"/>
  <c r="DL40" i="14" s="1"/>
  <c r="CE39" i="14"/>
  <c r="CX41" i="14"/>
  <c r="DB39" i="14"/>
  <c r="BZ42" i="14"/>
  <c r="CX55" i="14"/>
  <c r="DF58" i="14"/>
  <c r="DL58" i="14" s="1"/>
  <c r="DQ57" i="14"/>
  <c r="DI63" i="14"/>
  <c r="CN79" i="14"/>
  <c r="CE79" i="14"/>
  <c r="CX81" i="14"/>
  <c r="DB79" i="14"/>
  <c r="DI83" i="14"/>
  <c r="DI87" i="14"/>
  <c r="CX98" i="14"/>
  <c r="DA114" i="14"/>
  <c r="DQ114" i="14"/>
  <c r="BZ131" i="14"/>
  <c r="CJ128" i="14"/>
  <c r="DA137" i="14"/>
  <c r="DV159" i="14"/>
  <c r="DA203" i="14"/>
  <c r="DY258" i="14"/>
  <c r="DY260" i="14" s="1"/>
  <c r="DY264" i="14" s="1"/>
  <c r="DY292" i="14" s="1"/>
  <c r="CD261" i="14"/>
  <c r="DA261" i="14"/>
  <c r="BZ60" i="14"/>
  <c r="CX62" i="14"/>
  <c r="BZ66" i="14"/>
  <c r="CX70" i="14"/>
  <c r="BZ80" i="14"/>
  <c r="BZ82" i="14"/>
  <c r="CX85" i="14"/>
  <c r="BZ99" i="14"/>
  <c r="CX104" i="14"/>
  <c r="BZ106" i="14"/>
  <c r="CX111" i="14"/>
  <c r="BZ113" i="14"/>
  <c r="BZ115" i="14"/>
  <c r="CX116" i="14"/>
  <c r="DV114" i="14"/>
  <c r="DF117" i="14"/>
  <c r="CN114" i="14"/>
  <c r="CZ114" i="14"/>
  <c r="CX118" i="14"/>
  <c r="BZ121" i="14"/>
  <c r="CX121" i="14"/>
  <c r="BZ122" i="14"/>
  <c r="CE128" i="14"/>
  <c r="CY128" i="14"/>
  <c r="CX131" i="14"/>
  <c r="BZ132" i="14"/>
  <c r="CX132" i="14"/>
  <c r="BZ133" i="14"/>
  <c r="BU137" i="14"/>
  <c r="BZ140" i="14"/>
  <c r="CS137" i="14"/>
  <c r="CX141" i="14"/>
  <c r="BZ143" i="14"/>
  <c r="CX150" i="14"/>
  <c r="DF150" i="14" s="1"/>
  <c r="CX154" i="14"/>
  <c r="BZ156" i="14"/>
  <c r="CX157" i="14"/>
  <c r="DB159" i="14"/>
  <c r="DB177" i="14"/>
  <c r="DI182" i="14"/>
  <c r="CS177" i="14"/>
  <c r="BU177" i="14"/>
  <c r="CZ195" i="14"/>
  <c r="CX198" i="14"/>
  <c r="CZ242" i="14"/>
  <c r="CX245" i="14"/>
  <c r="DR258" i="14"/>
  <c r="DR260" i="14" s="1"/>
  <c r="DZ258" i="14"/>
  <c r="DZ260" i="14" s="1"/>
  <c r="DZ264" i="14" s="1"/>
  <c r="DZ292" i="14" s="1"/>
  <c r="CE261" i="14"/>
  <c r="DB261" i="14"/>
  <c r="DA57" i="14"/>
  <c r="BZ70" i="14"/>
  <c r="CX74" i="14"/>
  <c r="BZ85" i="14"/>
  <c r="CX89" i="14"/>
  <c r="DB94" i="14"/>
  <c r="DV94" i="14"/>
  <c r="CX101" i="14"/>
  <c r="CX103" i="14"/>
  <c r="BZ104" i="14"/>
  <c r="CX109" i="14"/>
  <c r="BZ111" i="14"/>
  <c r="CX115" i="14"/>
  <c r="CJ114" i="14"/>
  <c r="BZ118" i="14"/>
  <c r="CX126" i="14"/>
  <c r="DF126" i="14" s="1"/>
  <c r="DF129" i="14"/>
  <c r="DL129" i="14" s="1"/>
  <c r="CE137" i="14"/>
  <c r="CY137" i="14"/>
  <c r="CX140" i="14"/>
  <c r="BZ141" i="14"/>
  <c r="CX148" i="14"/>
  <c r="BZ150" i="14"/>
  <c r="BZ152" i="14"/>
  <c r="DB151" i="14"/>
  <c r="DV151" i="14"/>
  <c r="BZ154" i="14"/>
  <c r="CX156" i="14"/>
  <c r="BZ157" i="14"/>
  <c r="BZ160" i="14"/>
  <c r="CX161" i="14"/>
  <c r="BZ178" i="14"/>
  <c r="CN177" i="14"/>
  <c r="DA220" i="14"/>
  <c r="CZ230" i="14"/>
  <c r="CX232" i="14"/>
  <c r="DF162" i="14"/>
  <c r="BZ166" i="14"/>
  <c r="CX169" i="14"/>
  <c r="BZ173" i="14"/>
  <c r="BZ174" i="14"/>
  <c r="CZ177" i="14"/>
  <c r="CJ177" i="14"/>
  <c r="CY177" i="14"/>
  <c r="CX188" i="14"/>
  <c r="DF188" i="14" s="1"/>
  <c r="CX196" i="14"/>
  <c r="CY195" i="14"/>
  <c r="CZ203" i="14"/>
  <c r="BZ205" i="14"/>
  <c r="CE203" i="14"/>
  <c r="CN220" i="14"/>
  <c r="BP255" i="14"/>
  <c r="DI255" i="14" s="1"/>
  <c r="BR242" i="14"/>
  <c r="CC242" i="14" s="1"/>
  <c r="CA242" i="14" s="1"/>
  <c r="BX331" i="14"/>
  <c r="CS293" i="14"/>
  <c r="CT307" i="14"/>
  <c r="CS307" i="14" s="1"/>
  <c r="BZ170" i="14"/>
  <c r="CX173" i="14"/>
  <c r="CX180" i="14"/>
  <c r="CX191" i="14"/>
  <c r="CN195" i="14"/>
  <c r="CS203" i="14"/>
  <c r="CS220" i="14"/>
  <c r="CN230" i="14"/>
  <c r="BZ245" i="14"/>
  <c r="CN242" i="14"/>
  <c r="CX250" i="14"/>
  <c r="DF250" i="14" s="1"/>
  <c r="CY242" i="14"/>
  <c r="CE177" i="14"/>
  <c r="CX183" i="14"/>
  <c r="CX187" i="14"/>
  <c r="BZ191" i="14"/>
  <c r="DV195" i="14"/>
  <c r="DI206" i="14"/>
  <c r="BP203" i="14"/>
  <c r="CE220" i="14"/>
  <c r="DI223" i="14"/>
  <c r="BP220" i="14"/>
  <c r="DV230" i="14"/>
  <c r="BZ291" i="14"/>
  <c r="CA289" i="14"/>
  <c r="BZ289" i="14" s="1"/>
  <c r="BZ192" i="14"/>
  <c r="BP195" i="14"/>
  <c r="CJ195" i="14"/>
  <c r="BZ201" i="14"/>
  <c r="DQ203" i="14"/>
  <c r="CX206" i="14"/>
  <c r="BZ208" i="14"/>
  <c r="CX216" i="14"/>
  <c r="BZ218" i="14"/>
  <c r="DQ220" i="14"/>
  <c r="CX223" i="14"/>
  <c r="CY220" i="14"/>
  <c r="BZ225" i="14"/>
  <c r="CX227" i="14"/>
  <c r="BZ228" i="14"/>
  <c r="CX228" i="14"/>
  <c r="BZ229" i="14"/>
  <c r="BZ231" i="14"/>
  <c r="CJ230" i="14"/>
  <c r="DB230" i="14"/>
  <c r="BZ239" i="14"/>
  <c r="CX240" i="14"/>
  <c r="BP242" i="14"/>
  <c r="CE242" i="14"/>
  <c r="DB242" i="14"/>
  <c r="BZ252" i="14"/>
  <c r="BU203" i="14"/>
  <c r="BZ206" i="14"/>
  <c r="CX214" i="14"/>
  <c r="BZ216" i="14"/>
  <c r="BU220" i="14"/>
  <c r="BZ223" i="14"/>
  <c r="DI231" i="14"/>
  <c r="BP230" i="14"/>
  <c r="CX231" i="14"/>
  <c r="BZ233" i="14"/>
  <c r="DF238" i="14"/>
  <c r="CX252" i="14"/>
  <c r="BZ254" i="14"/>
  <c r="CS261" i="14"/>
  <c r="BP266" i="14"/>
  <c r="CO307" i="14"/>
  <c r="CN293" i="14"/>
  <c r="CN271" i="14"/>
  <c r="CN266" i="14"/>
  <c r="CN265" i="14" s="1"/>
  <c r="BP267" i="14"/>
  <c r="BP271" i="14"/>
  <c r="BZ275" i="14"/>
  <c r="CA274" i="14"/>
  <c r="BZ274" i="14" s="1"/>
  <c r="BZ284" i="14"/>
  <c r="CA283" i="14"/>
  <c r="BZ283" i="14" s="1"/>
  <c r="BZ298" i="14"/>
  <c r="CA296" i="14"/>
  <c r="BZ296" i="14" s="1"/>
  <c r="DV302" i="14"/>
  <c r="DV297" i="14"/>
  <c r="DV296" i="14" s="1"/>
  <c r="CC307" i="14"/>
  <c r="CA347" i="14"/>
  <c r="CB353" i="14"/>
  <c r="CA354" i="14"/>
  <c r="CJ242" i="14"/>
  <c r="DV242" i="14"/>
  <c r="DR331" i="14"/>
  <c r="DQ317" i="14"/>
  <c r="DQ331" i="14" s="1"/>
  <c r="CS267" i="14"/>
  <c r="CS271" i="14"/>
  <c r="CA278" i="14"/>
  <c r="CA266" i="14" s="1"/>
  <c r="CB277" i="14"/>
  <c r="CS277" i="14"/>
  <c r="CS266" i="14"/>
  <c r="BZ281" i="14"/>
  <c r="CA280" i="14"/>
  <c r="BZ280" i="14" s="1"/>
  <c r="CS289" i="14"/>
  <c r="CJ331" i="14"/>
  <c r="BQ293" i="14"/>
  <c r="CB267" i="14"/>
  <c r="CA271" i="14"/>
  <c r="BZ271" i="14" s="1"/>
  <c r="BT331" i="14"/>
  <c r="CA311" i="14"/>
  <c r="BZ311" i="14" s="1"/>
  <c r="BZ314" i="14" s="1"/>
  <c r="CC314" i="14"/>
  <c r="BV307" i="14"/>
  <c r="BU293" i="14"/>
  <c r="CS274" i="14"/>
  <c r="CS280" i="14"/>
  <c r="CB289" i="14"/>
  <c r="CY307" i="14"/>
  <c r="DV314" i="14"/>
  <c r="DW331" i="14"/>
  <c r="CB283" i="14"/>
  <c r="CA286" i="14"/>
  <c r="BZ286" i="14" s="1"/>
  <c r="CN286" i="14"/>
  <c r="DX296" i="14"/>
  <c r="BY331" i="14"/>
  <c r="DW307" i="14"/>
  <c r="BP354" i="14"/>
  <c r="CN317" i="14"/>
  <c r="DT331" i="14"/>
  <c r="CB346" i="14"/>
  <c r="BP346" i="14"/>
  <c r="BP353" i="14"/>
  <c r="CA349" i="14"/>
  <c r="BZ349" i="14" s="1"/>
  <c r="BZ350" i="14"/>
  <c r="DK164" i="14" l="1"/>
  <c r="BQ260" i="14"/>
  <c r="DD264" i="14"/>
  <c r="DF36" i="14"/>
  <c r="DF253" i="14"/>
  <c r="DF72" i="14"/>
  <c r="CR264" i="14"/>
  <c r="CR292" i="14" s="1"/>
  <c r="CR306" i="14" s="1"/>
  <c r="DF166" i="14"/>
  <c r="DF235" i="14"/>
  <c r="DF43" i="14"/>
  <c r="DF107" i="14"/>
  <c r="DF24" i="14"/>
  <c r="DF172" i="14"/>
  <c r="DF196" i="14"/>
  <c r="DL196" i="14" s="1"/>
  <c r="CV262" i="14"/>
  <c r="DK12" i="14"/>
  <c r="DF198" i="14"/>
  <c r="DK209" i="14"/>
  <c r="DF179" i="14"/>
  <c r="DF202" i="14"/>
  <c r="DF194" i="14"/>
  <c r="DF76" i="14"/>
  <c r="DF68" i="14"/>
  <c r="DF44" i="14"/>
  <c r="DK44" i="14"/>
  <c r="DF71" i="14"/>
  <c r="DK163" i="14"/>
  <c r="BS260" i="14"/>
  <c r="BS262" i="14" s="1"/>
  <c r="DF157" i="14"/>
  <c r="CC317" i="14"/>
  <c r="CC331" i="14" s="1"/>
  <c r="CN307" i="14"/>
  <c r="DF149" i="14"/>
  <c r="DK146" i="14"/>
  <c r="DK131" i="14"/>
  <c r="DK82" i="14"/>
  <c r="DF64" i="14"/>
  <c r="DF228" i="14"/>
  <c r="DF227" i="14"/>
  <c r="DL227" i="14" s="1"/>
  <c r="DF110" i="14"/>
  <c r="DF55" i="14"/>
  <c r="DF105" i="14"/>
  <c r="DF87" i="14"/>
  <c r="DF142" i="14"/>
  <c r="DF12" i="14"/>
  <c r="DF191" i="14"/>
  <c r="DK246" i="14"/>
  <c r="DF131" i="14"/>
  <c r="DF53" i="14"/>
  <c r="DF11" i="14"/>
  <c r="DF164" i="14"/>
  <c r="DU294" i="14"/>
  <c r="DU318" i="14" s="1"/>
  <c r="DU332" i="14" s="1"/>
  <c r="DF181" i="14"/>
  <c r="DF208" i="14"/>
  <c r="DF133" i="14"/>
  <c r="DF248" i="14"/>
  <c r="DK7" i="14"/>
  <c r="DK6" i="14" s="1"/>
  <c r="CA265" i="14"/>
  <c r="BZ265" i="14" s="1"/>
  <c r="DK240" i="14"/>
  <c r="DF89" i="14"/>
  <c r="DK184" i="14"/>
  <c r="DF113" i="14"/>
  <c r="DK100" i="14"/>
  <c r="CB265" i="14"/>
  <c r="DF154" i="14"/>
  <c r="DI39" i="14"/>
  <c r="CS265" i="14"/>
  <c r="DF251" i="14"/>
  <c r="BZ195" i="14"/>
  <c r="DF147" i="14"/>
  <c r="DF109" i="14"/>
  <c r="DF77" i="14"/>
  <c r="DF98" i="14"/>
  <c r="DK62" i="14"/>
  <c r="DF122" i="14"/>
  <c r="DF50" i="14"/>
  <c r="DF31" i="14"/>
  <c r="DF225" i="14"/>
  <c r="DF201" i="14"/>
  <c r="DF174" i="14"/>
  <c r="DF185" i="14"/>
  <c r="DK119" i="14"/>
  <c r="BU265" i="14"/>
  <c r="DF86" i="14"/>
  <c r="DF28" i="14"/>
  <c r="CX203" i="14"/>
  <c r="DF178" i="14"/>
  <c r="DL178" i="14" s="1"/>
  <c r="DF103" i="14"/>
  <c r="DF70" i="14"/>
  <c r="DF37" i="14"/>
  <c r="DF96" i="14"/>
  <c r="DF241" i="14"/>
  <c r="DF67" i="14"/>
  <c r="DK63" i="14"/>
  <c r="DF22" i="14"/>
  <c r="DL22" i="14" s="1"/>
  <c r="DK158" i="14"/>
  <c r="CA328" i="14"/>
  <c r="BZ327" i="14"/>
  <c r="BZ328" i="14" s="1"/>
  <c r="BP265" i="14"/>
  <c r="DI265" i="14" s="1"/>
  <c r="DK128" i="14"/>
  <c r="DI128" i="14"/>
  <c r="DK121" i="14"/>
  <c r="DF207" i="14"/>
  <c r="DF212" i="14"/>
  <c r="DI79" i="14"/>
  <c r="DK43" i="14"/>
  <c r="DK39" i="14" s="1"/>
  <c r="DK245" i="14"/>
  <c r="DK198" i="14"/>
  <c r="BV258" i="14"/>
  <c r="BV260" i="14" s="1"/>
  <c r="DK185" i="14"/>
  <c r="CD260" i="14"/>
  <c r="CD262" i="14" s="1"/>
  <c r="DK27" i="14"/>
  <c r="DK20" i="14" s="1"/>
  <c r="DI20" i="14"/>
  <c r="CX79" i="14"/>
  <c r="BX264" i="14"/>
  <c r="DK152" i="14"/>
  <c r="DI151" i="14"/>
  <c r="DF232" i="14"/>
  <c r="DL232" i="14" s="1"/>
  <c r="BZ177" i="14"/>
  <c r="CZ258" i="14"/>
  <c r="CZ260" i="14" s="1"/>
  <c r="CZ264" i="14" s="1"/>
  <c r="CZ292" i="14" s="1"/>
  <c r="CX20" i="14"/>
  <c r="DI137" i="14"/>
  <c r="DK140" i="14"/>
  <c r="DI242" i="14"/>
  <c r="DF146" i="14"/>
  <c r="CS258" i="14"/>
  <c r="CY258" i="14"/>
  <c r="CY260" i="14" s="1"/>
  <c r="CY262" i="14" s="1"/>
  <c r="BZ57" i="14"/>
  <c r="CJ258" i="14"/>
  <c r="CJ260" i="14" s="1"/>
  <c r="CJ262" i="14" s="1"/>
  <c r="CX177" i="14"/>
  <c r="DF163" i="14"/>
  <c r="DF118" i="14"/>
  <c r="DF111" i="14"/>
  <c r="DK103" i="14"/>
  <c r="BP258" i="14"/>
  <c r="DF80" i="14"/>
  <c r="DL80" i="14" s="1"/>
  <c r="DF152" i="14"/>
  <c r="DL152" i="14" s="1"/>
  <c r="DF226" i="14"/>
  <c r="DV265" i="14"/>
  <c r="DF138" i="14"/>
  <c r="DL138" i="14" s="1"/>
  <c r="DF192" i="14"/>
  <c r="DF145" i="14"/>
  <c r="DQ265" i="14"/>
  <c r="CX220" i="14"/>
  <c r="BR258" i="14"/>
  <c r="CC258" i="14" s="1"/>
  <c r="DF186" i="14"/>
  <c r="BZ108" i="14"/>
  <c r="DV258" i="14"/>
  <c r="DA258" i="14"/>
  <c r="DA260" i="14" s="1"/>
  <c r="DA264" i="14" s="1"/>
  <c r="DA292" i="14" s="1"/>
  <c r="DF38" i="14"/>
  <c r="CX128" i="14"/>
  <c r="DQ258" i="14"/>
  <c r="CX57" i="14"/>
  <c r="DB258" i="14"/>
  <c r="DB260" i="14" s="1"/>
  <c r="DB262" i="14" s="1"/>
  <c r="CE258" i="14"/>
  <c r="CE260" i="14" s="1"/>
  <c r="CE262" i="14" s="1"/>
  <c r="CN258" i="14"/>
  <c r="DF237" i="14"/>
  <c r="DF233" i="14"/>
  <c r="DF254" i="14"/>
  <c r="DF200" i="14"/>
  <c r="DF167" i="14"/>
  <c r="BU258" i="14"/>
  <c r="CY264" i="14"/>
  <c r="DB264" i="14"/>
  <c r="DB292" i="14" s="1"/>
  <c r="DK228" i="14"/>
  <c r="DK220" i="14" s="1"/>
  <c r="DI220" i="14"/>
  <c r="DI203" i="14"/>
  <c r="DK210" i="14"/>
  <c r="DK203" i="14" s="1"/>
  <c r="BZ203" i="14"/>
  <c r="BQ307" i="14"/>
  <c r="BP293" i="14"/>
  <c r="CB293" i="14"/>
  <c r="BZ244" i="14"/>
  <c r="BZ242" i="14" s="1"/>
  <c r="CX159" i="14"/>
  <c r="DL179" i="14"/>
  <c r="CX39" i="14"/>
  <c r="DF30" i="14"/>
  <c r="BZ10" i="14"/>
  <c r="BZ8" i="14" s="1"/>
  <c r="DT306" i="14"/>
  <c r="DT294" i="14"/>
  <c r="DT318" i="14" s="1"/>
  <c r="CQ264" i="14"/>
  <c r="CQ292" i="14" s="1"/>
  <c r="CQ262" i="14"/>
  <c r="DI195" i="14"/>
  <c r="DK197" i="14"/>
  <c r="DI57" i="14"/>
  <c r="DK58" i="14"/>
  <c r="DE264" i="14"/>
  <c r="DE262" i="14"/>
  <c r="DF180" i="14"/>
  <c r="DF116" i="14"/>
  <c r="DF41" i="14"/>
  <c r="CV306" i="14"/>
  <c r="CV318" i="14" s="1"/>
  <c r="CV294" i="14"/>
  <c r="CV308" i="14" s="1"/>
  <c r="DF161" i="14"/>
  <c r="DK95" i="14"/>
  <c r="DI94" i="14"/>
  <c r="CX8" i="14"/>
  <c r="DS332" i="14"/>
  <c r="DS316" i="14"/>
  <c r="DS330" i="14" s="1"/>
  <c r="BT306" i="14"/>
  <c r="BT294" i="14"/>
  <c r="BT308" i="14" s="1"/>
  <c r="BT318" i="14" s="1"/>
  <c r="BZ39" i="14"/>
  <c r="BZ278" i="14"/>
  <c r="BZ266" i="14" s="1"/>
  <c r="CA277" i="14"/>
  <c r="BZ277" i="14" s="1"/>
  <c r="DL244" i="14"/>
  <c r="DF206" i="14"/>
  <c r="DF222" i="14"/>
  <c r="DF130" i="14"/>
  <c r="DR294" i="14"/>
  <c r="DQ260" i="14"/>
  <c r="DR264" i="14"/>
  <c r="CX114" i="14"/>
  <c r="CA261" i="14"/>
  <c r="BZ261" i="14" s="1"/>
  <c r="DC264" i="14"/>
  <c r="DC262" i="14"/>
  <c r="CW264" i="14"/>
  <c r="CW292" i="14" s="1"/>
  <c r="CW262" i="14"/>
  <c r="BQ264" i="14"/>
  <c r="BQ294" i="14" s="1"/>
  <c r="BQ262" i="14"/>
  <c r="DF205" i="14"/>
  <c r="DK161" i="14"/>
  <c r="DI159" i="14"/>
  <c r="CX137" i="14"/>
  <c r="DF81" i="14"/>
  <c r="DI177" i="14"/>
  <c r="DK179" i="14"/>
  <c r="BZ139" i="14"/>
  <c r="BZ137" i="14" s="1"/>
  <c r="BZ96" i="14"/>
  <c r="DK84" i="14"/>
  <c r="CX261" i="14"/>
  <c r="DF153" i="14"/>
  <c r="DF139" i="14"/>
  <c r="BZ151" i="14"/>
  <c r="BZ20" i="14"/>
  <c r="BV317" i="14"/>
  <c r="BU307" i="14"/>
  <c r="CA353" i="14"/>
  <c r="BZ347" i="14"/>
  <c r="BZ353" i="14" s="1"/>
  <c r="CA346" i="14"/>
  <c r="BZ346" i="14" s="1"/>
  <c r="DI230" i="14"/>
  <c r="DK231" i="14"/>
  <c r="BZ220" i="14"/>
  <c r="CX242" i="14"/>
  <c r="DF10" i="14"/>
  <c r="CX195" i="14"/>
  <c r="BZ161" i="14"/>
  <c r="BZ159" i="14" s="1"/>
  <c r="CT294" i="14"/>
  <c r="CT262" i="14"/>
  <c r="CT264" i="14"/>
  <c r="CS260" i="14"/>
  <c r="DK116" i="14"/>
  <c r="DI114" i="14"/>
  <c r="DL59" i="14"/>
  <c r="CA314" i="14"/>
  <c r="DF245" i="14"/>
  <c r="BZ232" i="14"/>
  <c r="BZ230" i="14" s="1"/>
  <c r="DF214" i="14"/>
  <c r="CX230" i="14"/>
  <c r="BZ116" i="14"/>
  <c r="BZ114" i="14" s="1"/>
  <c r="DZ293" i="14"/>
  <c r="DZ306" i="14"/>
  <c r="DY293" i="14"/>
  <c r="DY306" i="14"/>
  <c r="DF9" i="14"/>
  <c r="DL9" i="14" s="1"/>
  <c r="DX317" i="14"/>
  <c r="CU264" i="14"/>
  <c r="CU292" i="14" s="1"/>
  <c r="CU262" i="14"/>
  <c r="BW264" i="14"/>
  <c r="BW262" i="14"/>
  <c r="DI261" i="14"/>
  <c r="DK10" i="14"/>
  <c r="DK8" i="14" s="1"/>
  <c r="DI8" i="14"/>
  <c r="CO294" i="14"/>
  <c r="CN260" i="14"/>
  <c r="CO264" i="14"/>
  <c r="CO262" i="14"/>
  <c r="BY264" i="14"/>
  <c r="BY262" i="14"/>
  <c r="CX151" i="14"/>
  <c r="BZ130" i="14"/>
  <c r="BZ128" i="14" s="1"/>
  <c r="DW294" i="14"/>
  <c r="DW264" i="14"/>
  <c r="DV260" i="14"/>
  <c r="CP264" i="14"/>
  <c r="CP292" i="14" s="1"/>
  <c r="CP262" i="14"/>
  <c r="DF197" i="14"/>
  <c r="CX94" i="14"/>
  <c r="BZ79" i="14"/>
  <c r="BX292" i="14" l="1"/>
  <c r="BX294" i="14"/>
  <c r="CB258" i="14"/>
  <c r="BW292" i="14"/>
  <c r="BW294" i="14"/>
  <c r="BY292" i="14"/>
  <c r="BY294" i="14"/>
  <c r="CR294" i="14"/>
  <c r="CR308" i="14" s="1"/>
  <c r="CR316" i="14"/>
  <c r="DA262" i="14"/>
  <c r="DL131" i="14"/>
  <c r="DU316" i="14"/>
  <c r="DU330" i="14" s="1"/>
  <c r="DK159" i="14"/>
  <c r="CZ262" i="14"/>
  <c r="CX262" i="14" s="1"/>
  <c r="BS264" i="14"/>
  <c r="CC260" i="14"/>
  <c r="CC264" i="14" s="1"/>
  <c r="DK242" i="14"/>
  <c r="BR260" i="14"/>
  <c r="BP260" i="14" s="1"/>
  <c r="DK151" i="14"/>
  <c r="DL198" i="14"/>
  <c r="BZ94" i="14"/>
  <c r="DK137" i="14"/>
  <c r="BV264" i="14"/>
  <c r="BU260" i="14"/>
  <c r="DK195" i="14"/>
  <c r="CE264" i="14"/>
  <c r="DK114" i="14"/>
  <c r="BX306" i="14"/>
  <c r="DK177" i="14"/>
  <c r="BR264" i="14"/>
  <c r="BV262" i="14"/>
  <c r="BU262" i="14" s="1"/>
  <c r="DI258" i="14"/>
  <c r="DI260" i="14" s="1"/>
  <c r="DI316" i="14" s="1"/>
  <c r="CX258" i="14"/>
  <c r="CD264" i="14"/>
  <c r="CJ264" i="14"/>
  <c r="CJ292" i="14" s="1"/>
  <c r="CJ306" i="14" s="1"/>
  <c r="CX260" i="14"/>
  <c r="CY294" i="14"/>
  <c r="CY308" i="14" s="1"/>
  <c r="CX308" i="14" s="1"/>
  <c r="DK94" i="14"/>
  <c r="DV294" i="14"/>
  <c r="DW318" i="14"/>
  <c r="DW308" i="14"/>
  <c r="DV308" i="14" s="1"/>
  <c r="DY317" i="14"/>
  <c r="DY307" i="14"/>
  <c r="BV331" i="14"/>
  <c r="BU317" i="14"/>
  <c r="BU331" i="14" s="1"/>
  <c r="DL81" i="14"/>
  <c r="BQ292" i="14"/>
  <c r="DZ317" i="14"/>
  <c r="DZ307" i="14"/>
  <c r="DL205" i="14"/>
  <c r="BQ317" i="14"/>
  <c r="BP307" i="14"/>
  <c r="DB293" i="14"/>
  <c r="DB307" i="14" s="1"/>
  <c r="DB306" i="14"/>
  <c r="DB316" i="14" s="1"/>
  <c r="DL197" i="14"/>
  <c r="BY306" i="14"/>
  <c r="BY308" i="14"/>
  <c r="BY318" i="14" s="1"/>
  <c r="CO308" i="14"/>
  <c r="DV293" i="14"/>
  <c r="DK230" i="14"/>
  <c r="CW294" i="14"/>
  <c r="CW308" i="14" s="1"/>
  <c r="CW306" i="14"/>
  <c r="CW318" i="14" s="1"/>
  <c r="DL161" i="14"/>
  <c r="CV316" i="14"/>
  <c r="CV331" i="14"/>
  <c r="CV330" i="14" s="1"/>
  <c r="DT332" i="14"/>
  <c r="DT316" i="14"/>
  <c r="DT330" i="14" s="1"/>
  <c r="CO292" i="14"/>
  <c r="CN264" i="14"/>
  <c r="CS262" i="14"/>
  <c r="DL153" i="14"/>
  <c r="DL130" i="14"/>
  <c r="DL116" i="14"/>
  <c r="CY292" i="14"/>
  <c r="CX264" i="14"/>
  <c r="CP316" i="14"/>
  <c r="CP294" i="14"/>
  <c r="CP308" i="14" s="1"/>
  <c r="CP306" i="14"/>
  <c r="CP318" i="14" s="1"/>
  <c r="CP331" i="14" s="1"/>
  <c r="CU306" i="14"/>
  <c r="CU318" i="14" s="1"/>
  <c r="CU294" i="14"/>
  <c r="CU308" i="14" s="1"/>
  <c r="CT308" i="14"/>
  <c r="DN84" i="14"/>
  <c r="DK79" i="14"/>
  <c r="DR318" i="14"/>
  <c r="DR308" i="14"/>
  <c r="DQ308" i="14" s="1"/>
  <c r="DQ294" i="14"/>
  <c r="DL222" i="14"/>
  <c r="DN58" i="14"/>
  <c r="DK57" i="14"/>
  <c r="CQ316" i="14"/>
  <c r="CQ306" i="14"/>
  <c r="CQ294" i="14"/>
  <c r="CQ308" i="14" s="1"/>
  <c r="DW292" i="14"/>
  <c r="DV264" i="14"/>
  <c r="CN262" i="14"/>
  <c r="BW308" i="14"/>
  <c r="BW318" i="14" s="1"/>
  <c r="BW306" i="14"/>
  <c r="DX331" i="14"/>
  <c r="DX316" i="14"/>
  <c r="DX330" i="14" s="1"/>
  <c r="CT292" i="14"/>
  <c r="CS264" i="14"/>
  <c r="DF261" i="14"/>
  <c r="DL10" i="14"/>
  <c r="DL139" i="14"/>
  <c r="DR292" i="14"/>
  <c r="DQ264" i="14"/>
  <c r="BT332" i="14"/>
  <c r="BT316" i="14"/>
  <c r="BT330" i="14" s="1"/>
  <c r="DL41" i="14"/>
  <c r="CB307" i="14"/>
  <c r="CA293" i="14"/>
  <c r="BZ293" i="14" s="1"/>
  <c r="CZ293" i="14"/>
  <c r="CZ306" i="14"/>
  <c r="DA306" i="14"/>
  <c r="DA316" i="14" s="1"/>
  <c r="DA293" i="14"/>
  <c r="DA307" i="14" s="1"/>
  <c r="CD292" i="14" l="1"/>
  <c r="CD306" i="14" s="1"/>
  <c r="CD294" i="14"/>
  <c r="BR292" i="14"/>
  <c r="BR294" i="14"/>
  <c r="CE292" i="14"/>
  <c r="CE294" i="14"/>
  <c r="CC292" i="14"/>
  <c r="CC294" i="14"/>
  <c r="BU264" i="14"/>
  <c r="BU294" i="14" s="1"/>
  <c r="BV294" i="14"/>
  <c r="BV308" i="14" s="1"/>
  <c r="BS292" i="14"/>
  <c r="BS306" i="14" s="1"/>
  <c r="BS294" i="14"/>
  <c r="CA258" i="14"/>
  <c r="CB260" i="14"/>
  <c r="CB262" i="14" s="1"/>
  <c r="BX308" i="14"/>
  <c r="BX318" i="14" s="1"/>
  <c r="CJ294" i="14"/>
  <c r="CJ308" i="14" s="1"/>
  <c r="CJ318" i="14" s="1"/>
  <c r="CJ316" i="14" s="1"/>
  <c r="CJ330" i="14" s="1"/>
  <c r="BR262" i="14"/>
  <c r="BP262" i="14" s="1"/>
  <c r="BS308" i="14"/>
  <c r="BS318" i="14" s="1"/>
  <c r="BS332" i="14" s="1"/>
  <c r="DV317" i="14"/>
  <c r="DV331" i="14" s="1"/>
  <c r="CC262" i="14"/>
  <c r="CA262" i="14" s="1"/>
  <c r="BZ262" i="14" s="1"/>
  <c r="CA260" i="14"/>
  <c r="BZ260" i="14" s="1"/>
  <c r="CE306" i="14"/>
  <c r="BV292" i="14"/>
  <c r="BU292" i="14" s="1"/>
  <c r="BU306" i="14" s="1"/>
  <c r="CB264" i="14"/>
  <c r="CN308" i="14"/>
  <c r="CX294" i="14"/>
  <c r="CD308" i="14"/>
  <c r="CD318" i="14" s="1"/>
  <c r="CD332" i="14" s="1"/>
  <c r="BP264" i="14"/>
  <c r="BP294" i="14" s="1"/>
  <c r="BR306" i="14"/>
  <c r="DI262" i="14"/>
  <c r="DK258" i="14"/>
  <c r="DK260" i="14" s="1"/>
  <c r="DK264" i="14" s="1"/>
  <c r="DV307" i="14"/>
  <c r="CN294" i="14"/>
  <c r="CZ316" i="14"/>
  <c r="CZ318" i="14"/>
  <c r="CZ331" i="14" s="1"/>
  <c r="CA307" i="14"/>
  <c r="BZ307" i="14" s="1"/>
  <c r="CB317" i="14"/>
  <c r="DR306" i="14"/>
  <c r="DQ306" i="14" s="1"/>
  <c r="DQ292" i="14"/>
  <c r="BW332" i="14"/>
  <c r="BW316" i="14"/>
  <c r="BW330" i="14" s="1"/>
  <c r="BQ331" i="14"/>
  <c r="BP317" i="14"/>
  <c r="BP331" i="14" s="1"/>
  <c r="CT306" i="14"/>
  <c r="CT318" i="14" s="1"/>
  <c r="CS292" i="14"/>
  <c r="CS306" i="14" s="1"/>
  <c r="CU331" i="14"/>
  <c r="CU330" i="14" s="1"/>
  <c r="CU316" i="14"/>
  <c r="BQ308" i="14"/>
  <c r="CJ332" i="14"/>
  <c r="BV318" i="14"/>
  <c r="BU308" i="14"/>
  <c r="CS308" i="14"/>
  <c r="CY306" i="14"/>
  <c r="CX292" i="14"/>
  <c r="CX306" i="14" s="1"/>
  <c r="CX316" i="14" s="1"/>
  <c r="BY332" i="14"/>
  <c r="BY316" i="14"/>
  <c r="BY330" i="14" s="1"/>
  <c r="DW332" i="14"/>
  <c r="DV318" i="14"/>
  <c r="DV332" i="14" s="1"/>
  <c r="DW316" i="14"/>
  <c r="CC306" i="14"/>
  <c r="CC308" i="14"/>
  <c r="DV292" i="14"/>
  <c r="DW306" i="14"/>
  <c r="DV306" i="14" s="1"/>
  <c r="BQ306" i="14"/>
  <c r="BP292" i="14"/>
  <c r="BP306" i="14" s="1"/>
  <c r="DY316" i="14"/>
  <c r="DY330" i="14" s="1"/>
  <c r="DY331" i="14"/>
  <c r="CZ307" i="14"/>
  <c r="CX307" i="14" s="1"/>
  <c r="CX293" i="14"/>
  <c r="DQ318" i="14"/>
  <c r="DQ332" i="14" s="1"/>
  <c r="DR332" i="14"/>
  <c r="DR316" i="14"/>
  <c r="CS294" i="14"/>
  <c r="CO306" i="14"/>
  <c r="CO318" i="14" s="1"/>
  <c r="CN292" i="14"/>
  <c r="CO316" i="14"/>
  <c r="CW331" i="14"/>
  <c r="CW330" i="14" s="1"/>
  <c r="CW316" i="14"/>
  <c r="DZ331" i="14"/>
  <c r="DZ316" i="14"/>
  <c r="DZ330" i="14" s="1"/>
  <c r="CE308" i="14" l="1"/>
  <c r="CE318" i="14" s="1"/>
  <c r="BR308" i="14"/>
  <c r="BR318" i="14" s="1"/>
  <c r="CA264" i="14"/>
  <c r="CB294" i="14"/>
  <c r="BX332" i="14"/>
  <c r="BX316" i="14"/>
  <c r="BX330" i="14" s="1"/>
  <c r="BS316" i="14"/>
  <c r="BS330" i="14" s="1"/>
  <c r="BV306" i="14"/>
  <c r="CB292" i="14"/>
  <c r="CA292" i="14" s="1"/>
  <c r="CD316" i="14"/>
  <c r="CD330" i="14" s="1"/>
  <c r="DQ316" i="14"/>
  <c r="DQ330" i="14" s="1"/>
  <c r="DR330" i="14"/>
  <c r="CN316" i="14"/>
  <c r="CN306" i="14"/>
  <c r="CB308" i="14"/>
  <c r="DW330" i="14"/>
  <c r="DV316" i="14"/>
  <c r="DV330" i="14" s="1"/>
  <c r="BV332" i="14"/>
  <c r="BU318" i="14"/>
  <c r="BU332" i="14" s="1"/>
  <c r="BV316" i="14"/>
  <c r="CS318" i="14"/>
  <c r="CT316" i="14"/>
  <c r="CS316" i="14" s="1"/>
  <c r="CT331" i="14"/>
  <c r="CB331" i="14"/>
  <c r="CA317" i="14"/>
  <c r="CO331" i="14"/>
  <c r="CN331" i="14" s="1"/>
  <c r="CN318" i="14"/>
  <c r="CY318" i="14"/>
  <c r="CY316" i="14"/>
  <c r="BP308" i="14"/>
  <c r="BQ318" i="14"/>
  <c r="CE316" i="14" l="1"/>
  <c r="CE330" i="14" s="1"/>
  <c r="CE332" i="14"/>
  <c r="BR332" i="14"/>
  <c r="CC318" i="14"/>
  <c r="CC332" i="14" s="1"/>
  <c r="BR316" i="14"/>
  <c r="BZ264" i="14"/>
  <c r="BZ294" i="14" s="1"/>
  <c r="CA294" i="14"/>
  <c r="CB306" i="14"/>
  <c r="CA306" i="14"/>
  <c r="BZ306" i="14" s="1"/>
  <c r="BZ292" i="14"/>
  <c r="BV330" i="14"/>
  <c r="BU316" i="14"/>
  <c r="BU330" i="14" s="1"/>
  <c r="BQ332" i="14"/>
  <c r="BP318" i="14"/>
  <c r="BP332" i="14" s="1"/>
  <c r="BQ316" i="14"/>
  <c r="CY331" i="14"/>
  <c r="CX331" i="14" s="1"/>
  <c r="CX318" i="14"/>
  <c r="CS331" i="14"/>
  <c r="CT330" i="14"/>
  <c r="CS330" i="14" s="1"/>
  <c r="CB318" i="14"/>
  <c r="CA308" i="14"/>
  <c r="BZ308" i="14" s="1"/>
  <c r="BZ317" i="14"/>
  <c r="BZ331" i="14" s="1"/>
  <c r="CA331" i="14"/>
  <c r="BR330" i="14" l="1"/>
  <c r="CC316" i="14"/>
  <c r="CC330" i="14" s="1"/>
  <c r="BP316" i="14"/>
  <c r="BP330" i="14" s="1"/>
  <c r="BQ330" i="14"/>
  <c r="CB332" i="14"/>
  <c r="CA318" i="14"/>
  <c r="CB316" i="14"/>
  <c r="CA332" i="14" l="1"/>
  <c r="BZ318" i="14"/>
  <c r="BZ332" i="14" s="1"/>
  <c r="CB330" i="14"/>
  <c r="CA316" i="14"/>
  <c r="CA330" i="14" l="1"/>
  <c r="BZ316" i="14"/>
  <c r="BZ330" i="14" s="1"/>
  <c r="BL267" i="14" l="1"/>
  <c r="CG267" i="14" s="1"/>
  <c r="CF267" i="14" s="1"/>
  <c r="BL266" i="14"/>
  <c r="CG266" i="14" s="1"/>
  <c r="CF266" i="14" s="1"/>
  <c r="BB267" i="14"/>
  <c r="BB266" i="14"/>
  <c r="AR266" i="14"/>
  <c r="AW266" i="14" s="1"/>
  <c r="AV266" i="14" s="1"/>
  <c r="AB266" i="14"/>
  <c r="AB267" i="14"/>
  <c r="BK291" i="14"/>
  <c r="BF291" i="14"/>
  <c r="BA291" i="14"/>
  <c r="AQ291" i="14"/>
  <c r="AK291" i="14"/>
  <c r="AF291" i="14"/>
  <c r="AA291" i="14"/>
  <c r="BK290" i="14"/>
  <c r="BF290" i="14"/>
  <c r="BA290" i="14"/>
  <c r="BA289" i="14" s="1"/>
  <c r="AQ290" i="14"/>
  <c r="AK290" i="14"/>
  <c r="AK289" i="14" s="1"/>
  <c r="AF290" i="14"/>
  <c r="AA290" i="14"/>
  <c r="BL289" i="14"/>
  <c r="CG289" i="14" s="1"/>
  <c r="CF289" i="14" s="1"/>
  <c r="BG289" i="14"/>
  <c r="BF289" i="14"/>
  <c r="AL289" i="14"/>
  <c r="AG289" i="14"/>
  <c r="AB289" i="14"/>
  <c r="BK288" i="14"/>
  <c r="BF288" i="14"/>
  <c r="BA288" i="14"/>
  <c r="AK288" i="14"/>
  <c r="AF288" i="14"/>
  <c r="AA288" i="14"/>
  <c r="W288" i="14" s="1"/>
  <c r="BK287" i="14"/>
  <c r="BK286" i="14" s="1"/>
  <c r="BF287" i="14"/>
  <c r="BF286" i="14" s="1"/>
  <c r="BA287" i="14"/>
  <c r="AQ287" i="14"/>
  <c r="AK287" i="14"/>
  <c r="AK286" i="14" s="1"/>
  <c r="AF287" i="14"/>
  <c r="AF286" i="14" s="1"/>
  <c r="AA287" i="14"/>
  <c r="AA286" i="14" s="1"/>
  <c r="BL286" i="14"/>
  <c r="CG286" i="14" s="1"/>
  <c r="CF286" i="14" s="1"/>
  <c r="BG286" i="14"/>
  <c r="AL286" i="14"/>
  <c r="AG286" i="14"/>
  <c r="AB286" i="14"/>
  <c r="BK285" i="14"/>
  <c r="BF285" i="14"/>
  <c r="BA285" i="14"/>
  <c r="AQ285" i="14"/>
  <c r="AK285" i="14"/>
  <c r="AF285" i="14"/>
  <c r="AA285" i="14"/>
  <c r="BK284" i="14"/>
  <c r="BF284" i="14"/>
  <c r="BA284" i="14"/>
  <c r="AQ284" i="14"/>
  <c r="AK284" i="14"/>
  <c r="AF284" i="14"/>
  <c r="AA284" i="14"/>
  <c r="BL283" i="14"/>
  <c r="CG283" i="14" s="1"/>
  <c r="CF283" i="14" s="1"/>
  <c r="BG283" i="14"/>
  <c r="AL283" i="14"/>
  <c r="AG283" i="14"/>
  <c r="AB283" i="14"/>
  <c r="AF289" i="14" l="1"/>
  <c r="V288" i="14"/>
  <c r="W286" i="14"/>
  <c r="W267" i="14"/>
  <c r="AQ289" i="14"/>
  <c r="BA286" i="14"/>
  <c r="BL265" i="14"/>
  <c r="CG265" i="14" s="1"/>
  <c r="CF265" i="14" s="1"/>
  <c r="BF283" i="14"/>
  <c r="AA289" i="14"/>
  <c r="BK289" i="14"/>
  <c r="BB265" i="14"/>
  <c r="AQ283" i="14"/>
  <c r="AK283" i="14"/>
  <c r="BA283" i="14"/>
  <c r="AF283" i="14"/>
  <c r="AA283" i="14"/>
  <c r="BK283" i="14"/>
  <c r="BN101" i="14"/>
  <c r="CI101" i="14" s="1"/>
  <c r="BD101" i="14"/>
  <c r="AT101" i="14"/>
  <c r="AY101" i="14" s="1"/>
  <c r="W293" i="14" l="1"/>
  <c r="W265" i="14"/>
  <c r="W292" i="14" s="1"/>
  <c r="V286" i="14"/>
  <c r="V267" i="14"/>
  <c r="V265" i="14" s="1"/>
  <c r="S101" i="14"/>
  <c r="BN82" i="14"/>
  <c r="CI82" i="14" s="1"/>
  <c r="BD82" i="14"/>
  <c r="AT82" i="14"/>
  <c r="AY82" i="14" s="1"/>
  <c r="W306" i="14" l="1"/>
  <c r="V292" i="14"/>
  <c r="V306" i="14" s="1"/>
  <c r="W307" i="14"/>
  <c r="V293" i="14"/>
  <c r="S82" i="14"/>
  <c r="DF95" i="14"/>
  <c r="BN169" i="14"/>
  <c r="CI169" i="14" s="1"/>
  <c r="CF169" i="14" s="1"/>
  <c r="BD169" i="14"/>
  <c r="AT169" i="14"/>
  <c r="AY169" i="14" s="1"/>
  <c r="AV169" i="14" s="1"/>
  <c r="W317" i="14" l="1"/>
  <c r="V307" i="14"/>
  <c r="S169" i="14"/>
  <c r="DF169" i="14"/>
  <c r="DL95" i="14"/>
  <c r="AA354" i="14"/>
  <c r="AA353" i="14"/>
  <c r="AA351" i="14"/>
  <c r="AA350" i="14"/>
  <c r="AB349" i="14"/>
  <c r="AA348" i="14"/>
  <c r="AA347" i="14"/>
  <c r="AB346" i="14"/>
  <c r="AE328" i="14"/>
  <c r="AD328" i="14"/>
  <c r="AC328" i="14"/>
  <c r="AB328" i="14"/>
  <c r="AA327" i="14"/>
  <c r="AA328" i="14" s="1"/>
  <c r="AC314" i="14"/>
  <c r="AA314" i="14" s="1"/>
  <c r="AA311" i="14"/>
  <c r="AA310" i="14"/>
  <c r="AE307" i="14"/>
  <c r="AE317" i="14" s="1"/>
  <c r="AD307" i="14"/>
  <c r="AD317" i="14" s="1"/>
  <c r="AD331" i="14" s="1"/>
  <c r="AC302" i="14"/>
  <c r="AA302" i="14"/>
  <c r="AC299" i="14"/>
  <c r="AA299" i="14"/>
  <c r="AC298" i="14"/>
  <c r="AA298" i="14"/>
  <c r="AC297" i="14"/>
  <c r="AC296" i="14" s="1"/>
  <c r="AA297" i="14"/>
  <c r="AA282" i="14"/>
  <c r="AA281" i="14"/>
  <c r="AB280" i="14"/>
  <c r="AA279" i="14"/>
  <c r="AA278" i="14"/>
  <c r="AB277" i="14"/>
  <c r="AA276" i="14"/>
  <c r="AA275" i="14"/>
  <c r="AB274" i="14"/>
  <c r="AA273" i="14"/>
  <c r="AA272" i="14"/>
  <c r="AB271" i="14"/>
  <c r="AA270" i="14"/>
  <c r="AA269" i="14"/>
  <c r="AB268" i="14"/>
  <c r="AB293" i="14"/>
  <c r="AE261" i="14"/>
  <c r="AD261" i="14"/>
  <c r="AC261" i="14"/>
  <c r="AB261" i="14"/>
  <c r="AA257" i="14"/>
  <c r="AA256" i="14"/>
  <c r="AA255" i="14"/>
  <c r="AA254" i="14"/>
  <c r="AA253" i="14"/>
  <c r="AA252" i="14"/>
  <c r="AA251" i="14"/>
  <c r="AA250" i="14"/>
  <c r="AA249" i="14"/>
  <c r="AA248" i="14"/>
  <c r="AA247" i="14"/>
  <c r="AA246" i="14"/>
  <c r="AA245" i="14"/>
  <c r="AA244" i="14"/>
  <c r="AA243" i="14"/>
  <c r="AE242" i="14"/>
  <c r="AD242" i="14"/>
  <c r="AC242" i="14"/>
  <c r="AB242" i="14"/>
  <c r="AA241" i="14"/>
  <c r="AA240" i="14"/>
  <c r="AA239" i="14"/>
  <c r="AA238" i="14"/>
  <c r="AA237" i="14"/>
  <c r="AA236" i="14"/>
  <c r="AA235" i="14"/>
  <c r="AA234" i="14"/>
  <c r="AA233" i="14"/>
  <c r="AA232" i="14"/>
  <c r="AA231" i="14"/>
  <c r="AE230" i="14"/>
  <c r="AD230" i="14"/>
  <c r="AC230" i="14"/>
  <c r="AB230" i="14"/>
  <c r="AA229" i="14"/>
  <c r="AA228" i="14"/>
  <c r="AA227" i="14"/>
  <c r="AA226" i="14"/>
  <c r="AA225" i="14"/>
  <c r="AA224" i="14"/>
  <c r="AA223" i="14"/>
  <c r="AA222" i="14"/>
  <c r="AA221" i="14"/>
  <c r="AE220" i="14"/>
  <c r="AD220" i="14"/>
  <c r="AC220" i="14"/>
  <c r="AB220" i="14"/>
  <c r="AA219" i="14"/>
  <c r="AA218" i="14"/>
  <c r="AA217" i="14"/>
  <c r="AA216" i="14"/>
  <c r="AA215" i="14"/>
  <c r="AA214" i="14"/>
  <c r="AA213" i="14"/>
  <c r="AA212" i="14"/>
  <c r="AA211" i="14"/>
  <c r="AA210" i="14"/>
  <c r="AA209" i="14"/>
  <c r="AA208" i="14"/>
  <c r="AA207" i="14"/>
  <c r="AA206" i="14"/>
  <c r="AA205" i="14"/>
  <c r="AA204" i="14"/>
  <c r="AE203" i="14"/>
  <c r="AD203" i="14"/>
  <c r="AC203" i="14"/>
  <c r="AB203" i="14"/>
  <c r="AA202" i="14"/>
  <c r="AA201" i="14"/>
  <c r="AA200" i="14"/>
  <c r="AA199" i="14"/>
  <c r="AA198" i="14"/>
  <c r="AA197" i="14"/>
  <c r="AA196" i="14"/>
  <c r="AE195" i="14"/>
  <c r="AD195" i="14"/>
  <c r="AC195" i="14"/>
  <c r="AB195" i="14"/>
  <c r="AA194" i="14"/>
  <c r="AA193" i="14"/>
  <c r="AA192" i="14"/>
  <c r="AA191" i="14"/>
  <c r="AA190" i="14"/>
  <c r="AA189" i="14"/>
  <c r="AA188" i="14"/>
  <c r="AA187" i="14"/>
  <c r="AA186" i="14"/>
  <c r="AA185" i="14"/>
  <c r="AA184" i="14"/>
  <c r="AA183" i="14"/>
  <c r="AA182" i="14"/>
  <c r="AA181" i="14"/>
  <c r="AA180" i="14"/>
  <c r="AA179" i="14"/>
  <c r="AA178" i="14"/>
  <c r="AE177" i="14"/>
  <c r="AD177" i="14"/>
  <c r="AC177" i="14"/>
  <c r="AB177" i="14"/>
  <c r="AA176" i="14"/>
  <c r="AA175" i="14"/>
  <c r="AA174" i="14"/>
  <c r="AA173" i="14"/>
  <c r="AA172" i="14"/>
  <c r="AA171" i="14"/>
  <c r="AA170" i="14"/>
  <c r="AA169" i="14"/>
  <c r="AA168" i="14"/>
  <c r="AA167" i="14"/>
  <c r="AA166" i="14"/>
  <c r="AA165" i="14"/>
  <c r="AA164" i="14"/>
  <c r="AA163" i="14"/>
  <c r="AA162" i="14"/>
  <c r="AA161" i="14"/>
  <c r="AA160" i="14"/>
  <c r="AE159" i="14"/>
  <c r="AD159" i="14"/>
  <c r="AC159" i="14"/>
  <c r="AB159" i="14"/>
  <c r="AA158" i="14"/>
  <c r="AA157" i="14"/>
  <c r="AA156" i="14"/>
  <c r="AA155" i="14"/>
  <c r="AA154" i="14"/>
  <c r="AA153" i="14"/>
  <c r="AA152" i="14"/>
  <c r="AE151" i="14"/>
  <c r="AD151" i="14"/>
  <c r="AC151" i="14"/>
  <c r="AB151" i="14"/>
  <c r="AA150" i="14"/>
  <c r="AA149" i="14"/>
  <c r="AA148" i="14"/>
  <c r="AA147" i="14"/>
  <c r="AA146" i="14"/>
  <c r="AA145" i="14"/>
  <c r="AA144" i="14"/>
  <c r="AA143" i="14"/>
  <c r="AA142" i="14"/>
  <c r="AA141" i="14"/>
  <c r="AA140" i="14"/>
  <c r="AA139" i="14"/>
  <c r="AA138" i="14"/>
  <c r="AE137" i="14"/>
  <c r="AD137" i="14"/>
  <c r="AC137" i="14"/>
  <c r="AB137" i="14"/>
  <c r="AA136" i="14"/>
  <c r="AA135" i="14"/>
  <c r="AA134" i="14"/>
  <c r="AA133" i="14"/>
  <c r="AA132" i="14"/>
  <c r="AA131" i="14"/>
  <c r="AA130" i="14"/>
  <c r="AA129" i="14"/>
  <c r="AE128" i="14"/>
  <c r="AD128" i="14"/>
  <c r="AC128" i="14"/>
  <c r="AB128" i="14"/>
  <c r="AA127" i="14"/>
  <c r="AA126" i="14"/>
  <c r="AA125" i="14"/>
  <c r="AA124" i="14"/>
  <c r="AA123" i="14"/>
  <c r="AA122" i="14"/>
  <c r="AA121" i="14"/>
  <c r="AA120" i="14"/>
  <c r="AA119" i="14"/>
  <c r="AA118" i="14"/>
  <c r="AA117" i="14"/>
  <c r="AA116" i="14"/>
  <c r="AA115" i="14"/>
  <c r="AE114" i="14"/>
  <c r="AD114" i="14"/>
  <c r="AC114" i="14"/>
  <c r="AB114" i="14"/>
  <c r="AA113" i="14"/>
  <c r="AA112" i="14"/>
  <c r="AA111" i="14"/>
  <c r="AA110" i="14"/>
  <c r="AA109" i="14"/>
  <c r="AA108" i="14"/>
  <c r="AA107" i="14"/>
  <c r="AA106" i="14"/>
  <c r="AA105" i="14"/>
  <c r="AA104" i="14"/>
  <c r="AA103" i="14"/>
  <c r="AA102" i="14"/>
  <c r="AA101" i="14"/>
  <c r="AA100" i="14"/>
  <c r="AA99" i="14"/>
  <c r="AA98" i="14"/>
  <c r="AA97" i="14"/>
  <c r="AA96" i="14"/>
  <c r="AA95" i="14"/>
  <c r="AE94" i="14"/>
  <c r="AD94" i="14"/>
  <c r="AC94" i="14"/>
  <c r="AB94" i="14"/>
  <c r="AA93" i="14"/>
  <c r="AA92" i="14"/>
  <c r="AA91" i="14"/>
  <c r="AA90" i="14"/>
  <c r="AA89" i="14"/>
  <c r="AA88" i="14"/>
  <c r="AA87" i="14"/>
  <c r="AA86" i="14"/>
  <c r="AA85" i="14"/>
  <c r="AA84" i="14"/>
  <c r="AA83" i="14"/>
  <c r="AA82" i="14"/>
  <c r="AA81" i="14"/>
  <c r="AA80" i="14"/>
  <c r="AE79" i="14"/>
  <c r="AD79" i="14"/>
  <c r="AC79" i="14"/>
  <c r="AB79" i="14"/>
  <c r="AA78" i="14"/>
  <c r="AA77" i="14"/>
  <c r="AA76" i="14"/>
  <c r="AA75" i="14"/>
  <c r="AA74" i="14"/>
  <c r="AA73" i="14"/>
  <c r="AA72" i="14"/>
  <c r="AA71" i="14"/>
  <c r="AA70" i="14"/>
  <c r="AA69" i="14"/>
  <c r="AA68" i="14"/>
  <c r="AA67" i="14"/>
  <c r="AA66" i="14"/>
  <c r="AA65" i="14"/>
  <c r="AA64" i="14"/>
  <c r="AA63" i="14"/>
  <c r="AA62" i="14"/>
  <c r="AA61" i="14"/>
  <c r="AA60" i="14"/>
  <c r="AA59" i="14"/>
  <c r="AA58" i="14"/>
  <c r="AE57" i="14"/>
  <c r="AD57" i="14"/>
  <c r="AC57" i="14"/>
  <c r="AB57" i="14"/>
  <c r="AA56" i="14"/>
  <c r="AA55" i="14"/>
  <c r="AA54" i="14"/>
  <c r="AA53" i="14"/>
  <c r="AA52" i="14"/>
  <c r="AA51" i="14"/>
  <c r="AA50" i="14"/>
  <c r="AA49" i="14"/>
  <c r="AA48" i="14"/>
  <c r="AA47" i="14"/>
  <c r="AA46" i="14"/>
  <c r="AA45" i="14"/>
  <c r="AA44" i="14"/>
  <c r="AA43" i="14"/>
  <c r="AA42" i="14"/>
  <c r="AA41" i="14"/>
  <c r="AA40" i="14"/>
  <c r="AE39" i="14"/>
  <c r="AD39" i="14"/>
  <c r="AC39" i="14"/>
  <c r="AB39" i="14"/>
  <c r="AA38" i="14"/>
  <c r="AA37" i="14"/>
  <c r="AA36" i="14"/>
  <c r="AA35" i="14"/>
  <c r="AA34" i="14"/>
  <c r="AA33" i="14"/>
  <c r="AA32" i="14"/>
  <c r="AA31" i="14"/>
  <c r="AA30" i="14"/>
  <c r="AA29" i="14"/>
  <c r="AA28" i="14"/>
  <c r="AA27" i="14"/>
  <c r="AA26" i="14"/>
  <c r="AA25" i="14"/>
  <c r="AA24" i="14"/>
  <c r="AA23" i="14"/>
  <c r="AA22" i="14"/>
  <c r="AA21" i="14"/>
  <c r="AE20" i="14"/>
  <c r="AD20" i="14"/>
  <c r="AC20" i="14"/>
  <c r="AB20" i="14"/>
  <c r="AA19" i="14"/>
  <c r="AA18" i="14"/>
  <c r="AA17" i="14"/>
  <c r="AA16" i="14"/>
  <c r="AA15" i="14"/>
  <c r="AA14" i="14"/>
  <c r="AA13" i="14"/>
  <c r="AA12" i="14"/>
  <c r="AA11" i="14"/>
  <c r="AA10" i="14"/>
  <c r="AA9" i="14"/>
  <c r="AE8" i="14"/>
  <c r="AD8" i="14"/>
  <c r="AC8" i="14"/>
  <c r="AB8" i="14"/>
  <c r="AA7" i="14"/>
  <c r="AA6" i="14" s="1"/>
  <c r="AE6" i="14"/>
  <c r="AD6" i="14"/>
  <c r="AC6" i="14"/>
  <c r="AB6" i="14"/>
  <c r="W331" i="14" l="1"/>
  <c r="V317" i="14"/>
  <c r="V331" i="14" s="1"/>
  <c r="W316" i="14"/>
  <c r="AC307" i="14"/>
  <c r="AC317" i="14" s="1"/>
  <c r="AA267" i="14"/>
  <c r="AA277" i="14"/>
  <c r="AA274" i="14"/>
  <c r="AA296" i="14"/>
  <c r="AA271" i="14"/>
  <c r="AA349" i="14"/>
  <c r="AA346" i="14"/>
  <c r="AC258" i="14"/>
  <c r="AC260" i="14" s="1"/>
  <c r="AC264" i="14" s="1"/>
  <c r="AC292" i="14" s="1"/>
  <c r="AC306" i="14" s="1"/>
  <c r="AA261" i="14"/>
  <c r="AA266" i="14"/>
  <c r="AA265" i="14" s="1"/>
  <c r="AE258" i="14"/>
  <c r="AE260" i="14" s="1"/>
  <c r="AE294" i="14" s="1"/>
  <c r="AE308" i="14" s="1"/>
  <c r="AE318" i="14" s="1"/>
  <c r="AA128" i="14"/>
  <c r="AA280" i="14"/>
  <c r="AA8" i="14"/>
  <c r="AA114" i="14"/>
  <c r="AA177" i="14"/>
  <c r="AA220" i="14"/>
  <c r="AA230" i="14"/>
  <c r="AA20" i="14"/>
  <c r="AA94" i="14"/>
  <c r="AA159" i="14"/>
  <c r="AA79" i="14"/>
  <c r="AA137" i="14"/>
  <c r="AA151" i="14"/>
  <c r="AA203" i="14"/>
  <c r="AA195" i="14"/>
  <c r="AA268" i="14"/>
  <c r="AB265" i="14"/>
  <c r="AA57" i="14"/>
  <c r="AD258" i="14"/>
  <c r="AD260" i="14" s="1"/>
  <c r="AD262" i="14" s="1"/>
  <c r="AA242" i="14"/>
  <c r="AA39" i="14"/>
  <c r="AB258" i="14"/>
  <c r="AB260" i="14" s="1"/>
  <c r="AB262" i="14" s="1"/>
  <c r="AB307" i="14"/>
  <c r="AA293" i="14"/>
  <c r="AE331" i="14"/>
  <c r="AC331" i="14"/>
  <c r="BM101" i="14"/>
  <c r="CH101" i="14" s="1"/>
  <c r="CF101" i="14" s="1"/>
  <c r="BC101" i="14"/>
  <c r="AS101" i="14"/>
  <c r="AX101" i="14" s="1"/>
  <c r="AV101" i="14" s="1"/>
  <c r="BM65" i="14"/>
  <c r="CH65" i="14" s="1"/>
  <c r="CF65" i="14" s="1"/>
  <c r="BC65" i="14"/>
  <c r="AS65" i="14"/>
  <c r="AX65" i="14" s="1"/>
  <c r="AV65" i="14" s="1"/>
  <c r="BM102" i="14"/>
  <c r="CH102" i="14" s="1"/>
  <c r="CF102" i="14" s="1"/>
  <c r="BC102" i="14"/>
  <c r="AS102" i="14"/>
  <c r="AX102" i="14" s="1"/>
  <c r="AV102" i="14" s="1"/>
  <c r="W330" i="14" l="1"/>
  <c r="V316" i="14"/>
  <c r="V330" i="14" s="1"/>
  <c r="DF65" i="14"/>
  <c r="R65" i="14"/>
  <c r="DF101" i="14"/>
  <c r="R101" i="14"/>
  <c r="DF102" i="14"/>
  <c r="DL100" i="14" s="1"/>
  <c r="R102" i="14"/>
  <c r="AC262" i="14"/>
  <c r="AE264" i="14"/>
  <c r="AE292" i="14" s="1"/>
  <c r="AE306" i="14" s="1"/>
  <c r="AE262" i="14"/>
  <c r="AC294" i="14"/>
  <c r="AC308" i="14" s="1"/>
  <c r="AC318" i="14" s="1"/>
  <c r="AC332" i="14" s="1"/>
  <c r="AE332" i="14"/>
  <c r="AE316" i="14"/>
  <c r="AE330" i="14" s="1"/>
  <c r="AB264" i="14"/>
  <c r="AD294" i="14"/>
  <c r="AD308" i="14" s="1"/>
  <c r="AD318" i="14" s="1"/>
  <c r="AD316" i="14" s="1"/>
  <c r="AD330" i="14" s="1"/>
  <c r="AD264" i="14"/>
  <c r="AD292" i="14" s="1"/>
  <c r="AD306" i="14" s="1"/>
  <c r="AA260" i="14"/>
  <c r="AB294" i="14"/>
  <c r="AB308" i="14" s="1"/>
  <c r="AA258" i="14"/>
  <c r="AB317" i="14"/>
  <c r="AA307" i="14"/>
  <c r="BM213" i="14"/>
  <c r="CH213" i="14" s="1"/>
  <c r="CF213" i="14" s="1"/>
  <c r="BC213" i="14"/>
  <c r="AS213" i="14"/>
  <c r="AX213" i="14" s="1"/>
  <c r="AV213" i="14" s="1"/>
  <c r="BM25" i="14"/>
  <c r="CH25" i="14" s="1"/>
  <c r="CF25" i="14" s="1"/>
  <c r="BC25" i="14"/>
  <c r="AS25" i="14"/>
  <c r="AX25" i="14" s="1"/>
  <c r="AV25" i="14" s="1"/>
  <c r="BM108" i="14"/>
  <c r="CH108" i="14" s="1"/>
  <c r="CF108" i="14" s="1"/>
  <c r="BC108" i="14"/>
  <c r="AS108" i="14"/>
  <c r="AX108" i="14" s="1"/>
  <c r="AV108" i="14" s="1"/>
  <c r="BM184" i="14"/>
  <c r="CH184" i="14" s="1"/>
  <c r="CF184" i="14" s="1"/>
  <c r="BC184" i="14"/>
  <c r="AS184" i="14"/>
  <c r="AX184" i="14" s="1"/>
  <c r="AV184" i="14" s="1"/>
  <c r="BM165" i="14"/>
  <c r="CH165" i="14" s="1"/>
  <c r="CF165" i="14" s="1"/>
  <c r="BC165" i="14"/>
  <c r="AS165" i="14"/>
  <c r="AX165" i="14" s="1"/>
  <c r="AV165" i="14" s="1"/>
  <c r="AA262" i="14" l="1"/>
  <c r="AC316" i="14"/>
  <c r="AC330" i="14" s="1"/>
  <c r="DF108" i="14"/>
  <c r="R108" i="14"/>
  <c r="DF184" i="14"/>
  <c r="DL184" i="14" s="1"/>
  <c r="R184" i="14"/>
  <c r="DF165" i="14"/>
  <c r="R165" i="14"/>
  <c r="DF213" i="14"/>
  <c r="R213" i="14"/>
  <c r="DF25" i="14"/>
  <c r="R25" i="14"/>
  <c r="AA264" i="14"/>
  <c r="AB292" i="14"/>
  <c r="AB306" i="14" s="1"/>
  <c r="AD332" i="14"/>
  <c r="AA294" i="14"/>
  <c r="AA317" i="14"/>
  <c r="AA331" i="14" s="1"/>
  <c r="AB331" i="14"/>
  <c r="AB318" i="14"/>
  <c r="AA308" i="14"/>
  <c r="BM160" i="14"/>
  <c r="CH160" i="14" s="1"/>
  <c r="CF160" i="14" s="1"/>
  <c r="BC160" i="14"/>
  <c r="AS160" i="14"/>
  <c r="AX160" i="14" s="1"/>
  <c r="AV160" i="14" s="1"/>
  <c r="BM32" i="14"/>
  <c r="CH32" i="14" s="1"/>
  <c r="CF32" i="14" s="1"/>
  <c r="BC32" i="14"/>
  <c r="AS32" i="14"/>
  <c r="AX32" i="14" s="1"/>
  <c r="AV32" i="14" s="1"/>
  <c r="DF32" i="14" l="1"/>
  <c r="R32" i="14"/>
  <c r="R160" i="14"/>
  <c r="AA292" i="14"/>
  <c r="AA306" i="14" s="1"/>
  <c r="AB332" i="14"/>
  <c r="AA318" i="14"/>
  <c r="AA332" i="14" s="1"/>
  <c r="AB316" i="14"/>
  <c r="DF160" i="14" l="1"/>
  <c r="AA316" i="14"/>
  <c r="AA330" i="14" s="1"/>
  <c r="AB330" i="14"/>
  <c r="BM75" i="14"/>
  <c r="CH75" i="14" s="1"/>
  <c r="CF75" i="14" s="1"/>
  <c r="BC75" i="14"/>
  <c r="AS75" i="14"/>
  <c r="AX75" i="14" s="1"/>
  <c r="AV75" i="14" s="1"/>
  <c r="CL231" i="14"/>
  <c r="BM88" i="14"/>
  <c r="CH88" i="14" s="1"/>
  <c r="CF88" i="14" s="1"/>
  <c r="BC88" i="14"/>
  <c r="AS88" i="14"/>
  <c r="AX88" i="14" s="1"/>
  <c r="AV88" i="14" s="1"/>
  <c r="BM252" i="14"/>
  <c r="CH252" i="14" s="1"/>
  <c r="CF252" i="14" s="1"/>
  <c r="BC252" i="14"/>
  <c r="AS252" i="14"/>
  <c r="AX252" i="14" s="1"/>
  <c r="AV252" i="14" s="1"/>
  <c r="BM47" i="14"/>
  <c r="CH47" i="14" s="1"/>
  <c r="CF47" i="14" s="1"/>
  <c r="BC47" i="14"/>
  <c r="AS47" i="14"/>
  <c r="AX47" i="14" s="1"/>
  <c r="AV47" i="14" s="1"/>
  <c r="DF47" i="14" l="1"/>
  <c r="R47" i="14"/>
  <c r="DF252" i="14"/>
  <c r="R252" i="14"/>
  <c r="DF75" i="14"/>
  <c r="R75" i="14"/>
  <c r="DF88" i="14"/>
  <c r="R88" i="14"/>
  <c r="CM231" i="14"/>
  <c r="DL160" i="14"/>
  <c r="BM223" i="14"/>
  <c r="CH223" i="14" s="1"/>
  <c r="CF223" i="14" s="1"/>
  <c r="BC223" i="14"/>
  <c r="AS223" i="14"/>
  <c r="AX223" i="14" s="1"/>
  <c r="AV223" i="14" s="1"/>
  <c r="R223" i="14" l="1"/>
  <c r="DN231" i="14"/>
  <c r="DF231" i="14"/>
  <c r="BM45" i="14"/>
  <c r="CH45" i="14" s="1"/>
  <c r="CF45" i="14" s="1"/>
  <c r="BC45" i="14"/>
  <c r="AS45" i="14"/>
  <c r="AX45" i="14" s="1"/>
  <c r="AV45" i="14" s="1"/>
  <c r="DF45" i="14" l="1"/>
  <c r="R45" i="14"/>
  <c r="DF223" i="14"/>
  <c r="DL231" i="14"/>
  <c r="BM176" i="14"/>
  <c r="CH176" i="14" s="1"/>
  <c r="CF176" i="14" s="1"/>
  <c r="BC176" i="14"/>
  <c r="AS176" i="14"/>
  <c r="AX176" i="14" s="1"/>
  <c r="AV176" i="14" s="1"/>
  <c r="BM74" i="14"/>
  <c r="CH74" i="14" s="1"/>
  <c r="CF74" i="14" s="1"/>
  <c r="BC74" i="14"/>
  <c r="AS74" i="14"/>
  <c r="AX74" i="14" s="1"/>
  <c r="AV74" i="14" s="1"/>
  <c r="BM234" i="14"/>
  <c r="CH234" i="14" s="1"/>
  <c r="CF234" i="14" s="1"/>
  <c r="BC234" i="14"/>
  <c r="AS234" i="14"/>
  <c r="AX234" i="14" s="1"/>
  <c r="AV234" i="14" s="1"/>
  <c r="DF156" i="14"/>
  <c r="DL156" i="14" s="1"/>
  <c r="BM175" i="14"/>
  <c r="CH175" i="14" s="1"/>
  <c r="CF175" i="14" s="1"/>
  <c r="BC175" i="14"/>
  <c r="AS175" i="14"/>
  <c r="AX175" i="14" s="1"/>
  <c r="AV175" i="14" s="1"/>
  <c r="DF74" i="14" l="1"/>
  <c r="R74" i="14"/>
  <c r="DF175" i="14"/>
  <c r="R175" i="14"/>
  <c r="R234" i="14"/>
  <c r="DF176" i="14"/>
  <c r="R176" i="14"/>
  <c r="BM239" i="14"/>
  <c r="CH239" i="14" s="1"/>
  <c r="CF239" i="14" s="1"/>
  <c r="BC239" i="14"/>
  <c r="AS239" i="14"/>
  <c r="AX239" i="14" s="1"/>
  <c r="AV239" i="14" s="1"/>
  <c r="DF62" i="14"/>
  <c r="BM256" i="14"/>
  <c r="CH256" i="14" s="1"/>
  <c r="CF256" i="14" s="1"/>
  <c r="BC256" i="14"/>
  <c r="AS256" i="14"/>
  <c r="AX256" i="14" s="1"/>
  <c r="AV256" i="14" s="1"/>
  <c r="BM140" i="14"/>
  <c r="CH140" i="14" s="1"/>
  <c r="CF140" i="14" s="1"/>
  <c r="BC140" i="14"/>
  <c r="AS140" i="14"/>
  <c r="AX140" i="14" s="1"/>
  <c r="AV140" i="14" s="1"/>
  <c r="DF256" i="14" l="1"/>
  <c r="R256" i="14"/>
  <c r="DF239" i="14"/>
  <c r="DL239" i="14" s="1"/>
  <c r="R239" i="14"/>
  <c r="R140" i="14"/>
  <c r="DF234" i="14"/>
  <c r="BM115" i="14"/>
  <c r="CH115" i="14" s="1"/>
  <c r="CF115" i="14" s="1"/>
  <c r="BC115" i="14"/>
  <c r="AS115" i="14"/>
  <c r="AX115" i="14" s="1"/>
  <c r="AV115" i="14" s="1"/>
  <c r="BM135" i="14"/>
  <c r="CH135" i="14" s="1"/>
  <c r="CF135" i="14" s="1"/>
  <c r="BC135" i="14"/>
  <c r="AS135" i="14"/>
  <c r="AX135" i="14" s="1"/>
  <c r="AV135" i="14" s="1"/>
  <c r="DF135" i="14" l="1"/>
  <c r="R135" i="14"/>
  <c r="R115" i="14"/>
  <c r="DF140" i="14"/>
  <c r="BM170" i="14"/>
  <c r="CH170" i="14" s="1"/>
  <c r="CF170" i="14" s="1"/>
  <c r="BC170" i="14"/>
  <c r="AS170" i="14"/>
  <c r="AX170" i="14" s="1"/>
  <c r="AV170" i="14" s="1"/>
  <c r="BM189" i="14"/>
  <c r="CH189" i="14" s="1"/>
  <c r="CF189" i="14" s="1"/>
  <c r="BC189" i="14"/>
  <c r="AS189" i="14"/>
  <c r="AX189" i="14" s="1"/>
  <c r="AV189" i="14" s="1"/>
  <c r="BM90" i="14"/>
  <c r="CH90" i="14" s="1"/>
  <c r="CF90" i="14" s="1"/>
  <c r="BC90" i="14"/>
  <c r="AS90" i="14"/>
  <c r="AX90" i="14" s="1"/>
  <c r="AV90" i="14" s="1"/>
  <c r="BM120" i="14"/>
  <c r="CH120" i="14" s="1"/>
  <c r="CF120" i="14" s="1"/>
  <c r="BC120" i="14"/>
  <c r="AS120" i="14"/>
  <c r="AX120" i="14" s="1"/>
  <c r="AV120" i="14" s="1"/>
  <c r="BM257" i="14"/>
  <c r="CH257" i="14" s="1"/>
  <c r="CF257" i="14" s="1"/>
  <c r="BC257" i="14"/>
  <c r="AS257" i="14"/>
  <c r="AX257" i="14" s="1"/>
  <c r="AV257" i="14" s="1"/>
  <c r="BM199" i="14"/>
  <c r="CH199" i="14" s="1"/>
  <c r="CF199" i="14" s="1"/>
  <c r="BC199" i="14"/>
  <c r="AS199" i="14"/>
  <c r="AX199" i="14" s="1"/>
  <c r="AV199" i="14" s="1"/>
  <c r="BM136" i="14"/>
  <c r="CH136" i="14" s="1"/>
  <c r="CF136" i="14" s="1"/>
  <c r="BC136" i="14"/>
  <c r="AS136" i="14"/>
  <c r="AX136" i="14" s="1"/>
  <c r="AV136" i="14" s="1"/>
  <c r="BM240" i="14"/>
  <c r="CH240" i="14" s="1"/>
  <c r="CF240" i="14" s="1"/>
  <c r="BC240" i="14"/>
  <c r="BM134" i="14"/>
  <c r="CH134" i="14" s="1"/>
  <c r="CF134" i="14" s="1"/>
  <c r="BC134" i="14"/>
  <c r="AS134" i="14"/>
  <c r="AX134" i="14" s="1"/>
  <c r="AV134" i="14" s="1"/>
  <c r="R240" i="14" l="1"/>
  <c r="DF120" i="14"/>
  <c r="R120" i="14"/>
  <c r="DF257" i="14"/>
  <c r="R257" i="14"/>
  <c r="DF170" i="14"/>
  <c r="DL163" i="14" s="1"/>
  <c r="R170" i="14"/>
  <c r="DF134" i="14"/>
  <c r="R134" i="14"/>
  <c r="R199" i="14"/>
  <c r="DF189" i="14"/>
  <c r="R189" i="14"/>
  <c r="DF136" i="14"/>
  <c r="R136" i="14"/>
  <c r="DF90" i="14"/>
  <c r="R90" i="14"/>
  <c r="DF115" i="14"/>
  <c r="BM173" i="14"/>
  <c r="CH173" i="14" s="1"/>
  <c r="CF173" i="14" s="1"/>
  <c r="BC173" i="14"/>
  <c r="AS173" i="14"/>
  <c r="AX173" i="14" s="1"/>
  <c r="AV173" i="14" s="1"/>
  <c r="BM54" i="14"/>
  <c r="CH54" i="14" s="1"/>
  <c r="CF54" i="14" s="1"/>
  <c r="BC54" i="14"/>
  <c r="AS54" i="14"/>
  <c r="AX54" i="14" s="1"/>
  <c r="AV54" i="14" s="1"/>
  <c r="BM123" i="14"/>
  <c r="CH123" i="14" s="1"/>
  <c r="CF123" i="14" s="1"/>
  <c r="BC123" i="14"/>
  <c r="AS123" i="14"/>
  <c r="AX123" i="14" s="1"/>
  <c r="AV123" i="14" s="1"/>
  <c r="BM183" i="14"/>
  <c r="CH183" i="14" s="1"/>
  <c r="CF183" i="14" s="1"/>
  <c r="BC183" i="14"/>
  <c r="AS183" i="14"/>
  <c r="AX183" i="14" s="1"/>
  <c r="AV183" i="14" s="1"/>
  <c r="BM46" i="14"/>
  <c r="CH46" i="14" s="1"/>
  <c r="CF46" i="14" s="1"/>
  <c r="BC46" i="14"/>
  <c r="AS46" i="14"/>
  <c r="AX46" i="14" s="1"/>
  <c r="AV46" i="14" s="1"/>
  <c r="BM249" i="14"/>
  <c r="CH249" i="14" s="1"/>
  <c r="CF249" i="14" s="1"/>
  <c r="BC249" i="14"/>
  <c r="AS249" i="14"/>
  <c r="AX249" i="14" s="1"/>
  <c r="AV249" i="14" s="1"/>
  <c r="BM218" i="14"/>
  <c r="CH218" i="14" s="1"/>
  <c r="CF218" i="14" s="1"/>
  <c r="BC218" i="14"/>
  <c r="AS218" i="14"/>
  <c r="AX218" i="14" s="1"/>
  <c r="AV218" i="14" s="1"/>
  <c r="DF183" i="14" l="1"/>
  <c r="R183" i="14"/>
  <c r="DF46" i="14"/>
  <c r="R46" i="14"/>
  <c r="DF173" i="14"/>
  <c r="R173" i="14"/>
  <c r="DF249" i="14"/>
  <c r="R249" i="14"/>
  <c r="DF54" i="14"/>
  <c r="DL43" i="14" s="1"/>
  <c r="R54" i="14"/>
  <c r="DF218" i="14"/>
  <c r="R218" i="14"/>
  <c r="DF123" i="14"/>
  <c r="R123" i="14"/>
  <c r="DF240" i="14"/>
  <c r="DF199" i="14"/>
  <c r="DL115" i="14"/>
  <c r="DF215" i="14"/>
  <c r="BM34" i="14"/>
  <c r="CH34" i="14" s="1"/>
  <c r="CF34" i="14" s="1"/>
  <c r="BC34" i="14"/>
  <c r="AS34" i="14"/>
  <c r="AX34" i="14" s="1"/>
  <c r="AV34" i="14" s="1"/>
  <c r="DF85" i="14"/>
  <c r="DF34" i="14" l="1"/>
  <c r="R34" i="14"/>
  <c r="DL240" i="14"/>
  <c r="DL230" i="14" s="1"/>
  <c r="DF230" i="14"/>
  <c r="DL199" i="14"/>
  <c r="DL195" i="14" s="1"/>
  <c r="DF195" i="14"/>
  <c r="BM155" i="14"/>
  <c r="CH155" i="14" s="1"/>
  <c r="CF155" i="14" s="1"/>
  <c r="BC155" i="14"/>
  <c r="AS155" i="14"/>
  <c r="AX155" i="14" s="1"/>
  <c r="AV155" i="14" s="1"/>
  <c r="BM99" i="14"/>
  <c r="CH99" i="14" s="1"/>
  <c r="CF99" i="14" s="1"/>
  <c r="BC99" i="14"/>
  <c r="AS99" i="14"/>
  <c r="AX99" i="14" s="1"/>
  <c r="AV99" i="14" s="1"/>
  <c r="BM216" i="14"/>
  <c r="CH216" i="14" s="1"/>
  <c r="CF216" i="14" s="1"/>
  <c r="BC216" i="14"/>
  <c r="AS216" i="14"/>
  <c r="AX216" i="14" s="1"/>
  <c r="AV216" i="14" s="1"/>
  <c r="BM209" i="14"/>
  <c r="CH209" i="14" s="1"/>
  <c r="CF209" i="14" s="1"/>
  <c r="BC209" i="14"/>
  <c r="AS209" i="14"/>
  <c r="AX209" i="14" s="1"/>
  <c r="AV209" i="14" s="1"/>
  <c r="BM144" i="14"/>
  <c r="CH144" i="14" s="1"/>
  <c r="CF144" i="14" s="1"/>
  <c r="BC144" i="14"/>
  <c r="AS144" i="14"/>
  <c r="AX144" i="14" s="1"/>
  <c r="AV144" i="14" s="1"/>
  <c r="BM125" i="14"/>
  <c r="CH125" i="14" s="1"/>
  <c r="CF125" i="14" s="1"/>
  <c r="BC125" i="14"/>
  <c r="AS125" i="14"/>
  <c r="AX125" i="14" s="1"/>
  <c r="AV125" i="14" s="1"/>
  <c r="BM247" i="14"/>
  <c r="CH247" i="14" s="1"/>
  <c r="CF247" i="14" s="1"/>
  <c r="BC247" i="14"/>
  <c r="AS247" i="14"/>
  <c r="AX247" i="14" s="1"/>
  <c r="AV247" i="14" s="1"/>
  <c r="BM91" i="14"/>
  <c r="CH91" i="14" s="1"/>
  <c r="CF91" i="14" s="1"/>
  <c r="BC91" i="14"/>
  <c r="AS91" i="14"/>
  <c r="AX91" i="14" s="1"/>
  <c r="AV91" i="14" s="1"/>
  <c r="BM255" i="14"/>
  <c r="CH255" i="14" s="1"/>
  <c r="CF255" i="14" s="1"/>
  <c r="BC255" i="14"/>
  <c r="AS255" i="14"/>
  <c r="AX255" i="14" s="1"/>
  <c r="AV255" i="14" s="1"/>
  <c r="BM92" i="14"/>
  <c r="CH92" i="14" s="1"/>
  <c r="CF92" i="14" s="1"/>
  <c r="BC92" i="14"/>
  <c r="AS92" i="14"/>
  <c r="AX92" i="14" s="1"/>
  <c r="AV92" i="14" s="1"/>
  <c r="DF216" i="14" l="1"/>
  <c r="R216" i="14"/>
  <c r="DF91" i="14"/>
  <c r="R91" i="14"/>
  <c r="R209" i="14"/>
  <c r="DF247" i="14"/>
  <c r="DL245" i="14" s="1"/>
  <c r="R247" i="14"/>
  <c r="DF255" i="14"/>
  <c r="R255" i="14"/>
  <c r="DF144" i="14"/>
  <c r="R144" i="14"/>
  <c r="R155" i="14"/>
  <c r="DF92" i="14"/>
  <c r="R92" i="14"/>
  <c r="DF125" i="14"/>
  <c r="R125" i="14"/>
  <c r="DF99" i="14"/>
  <c r="R99" i="14"/>
  <c r="BM19" i="14"/>
  <c r="CH19" i="14" s="1"/>
  <c r="CF19" i="14" s="1"/>
  <c r="BC19" i="14"/>
  <c r="AS19" i="14"/>
  <c r="AX19" i="14" s="1"/>
  <c r="AV19" i="14" s="1"/>
  <c r="BM14" i="14"/>
  <c r="CH14" i="14" s="1"/>
  <c r="CF14" i="14" s="1"/>
  <c r="BC14" i="14"/>
  <c r="AS14" i="14"/>
  <c r="AX14" i="14" s="1"/>
  <c r="AV14" i="14" s="1"/>
  <c r="R14" i="14" l="1"/>
  <c r="DF19" i="14"/>
  <c r="R19" i="14"/>
  <c r="DF155" i="14"/>
  <c r="DF209" i="14"/>
  <c r="BM121" i="14"/>
  <c r="CH121" i="14" s="1"/>
  <c r="CF121" i="14" s="1"/>
  <c r="BC121" i="14"/>
  <c r="AS121" i="14"/>
  <c r="AX121" i="14" s="1"/>
  <c r="AV121" i="14" s="1"/>
  <c r="BM219" i="14"/>
  <c r="CH219" i="14" s="1"/>
  <c r="CF219" i="14" s="1"/>
  <c r="BC219" i="14"/>
  <c r="AS219" i="14"/>
  <c r="AX219" i="14" s="1"/>
  <c r="AV219" i="14" s="1"/>
  <c r="DF121" i="14" l="1"/>
  <c r="R121" i="14"/>
  <c r="DF219" i="14"/>
  <c r="R219" i="14"/>
  <c r="DF14" i="14"/>
  <c r="DL158" i="14"/>
  <c r="DL151" i="14" s="1"/>
  <c r="DF151" i="14"/>
  <c r="DL209" i="14"/>
  <c r="BM112" i="14"/>
  <c r="CH112" i="14" s="1"/>
  <c r="CF112" i="14" s="1"/>
  <c r="BC112" i="14"/>
  <c r="AS112" i="14"/>
  <c r="AX112" i="14" s="1"/>
  <c r="AV112" i="14" s="1"/>
  <c r="BM52" i="14"/>
  <c r="CH52" i="14" s="1"/>
  <c r="CF52" i="14" s="1"/>
  <c r="BC52" i="14"/>
  <c r="AS52" i="14"/>
  <c r="AX52" i="14" s="1"/>
  <c r="AV52" i="14" s="1"/>
  <c r="BM211" i="14"/>
  <c r="CH211" i="14" s="1"/>
  <c r="CF211" i="14" s="1"/>
  <c r="BC211" i="14"/>
  <c r="AS211" i="14"/>
  <c r="AX211" i="14" s="1"/>
  <c r="AV211" i="14" s="1"/>
  <c r="DF211" i="14" l="1"/>
  <c r="R211" i="14"/>
  <c r="DF52" i="14"/>
  <c r="R52" i="14"/>
  <c r="DF112" i="14"/>
  <c r="R112" i="14"/>
  <c r="DL11" i="14"/>
  <c r="BM18" i="14"/>
  <c r="CH18" i="14" s="1"/>
  <c r="CF18" i="14" s="1"/>
  <c r="BC18" i="14"/>
  <c r="AS18" i="14"/>
  <c r="AX18" i="14" s="1"/>
  <c r="AV18" i="14" s="1"/>
  <c r="DF18" i="14" l="1"/>
  <c r="R18" i="14"/>
  <c r="BM84" i="14"/>
  <c r="CH84" i="14" s="1"/>
  <c r="CF84" i="14" s="1"/>
  <c r="BC84" i="14"/>
  <c r="AS84" i="14"/>
  <c r="AX84" i="14" s="1"/>
  <c r="AV84" i="14" s="1"/>
  <c r="BM246" i="14"/>
  <c r="CH246" i="14" s="1"/>
  <c r="CF246" i="14" s="1"/>
  <c r="BC246" i="14"/>
  <c r="AS246" i="14"/>
  <c r="AX246" i="14" s="1"/>
  <c r="AV246" i="14" s="1"/>
  <c r="BM16" i="14"/>
  <c r="CH16" i="14" s="1"/>
  <c r="CF16" i="14" s="1"/>
  <c r="BC16" i="14"/>
  <c r="AS16" i="14"/>
  <c r="AX16" i="14" s="1"/>
  <c r="AV16" i="14" s="1"/>
  <c r="DF73" i="14"/>
  <c r="DF84" i="14" l="1"/>
  <c r="DL84" i="14" s="1"/>
  <c r="R84" i="14"/>
  <c r="R246" i="14"/>
  <c r="R16" i="14"/>
  <c r="BM49" i="14"/>
  <c r="CH49" i="14" s="1"/>
  <c r="CF49" i="14" s="1"/>
  <c r="BC49" i="14"/>
  <c r="AS49" i="14"/>
  <c r="AX49" i="14" s="1"/>
  <c r="AV49" i="14" s="1"/>
  <c r="BM63" i="14"/>
  <c r="CH63" i="14" s="1"/>
  <c r="CF63" i="14" s="1"/>
  <c r="BC63" i="14"/>
  <c r="AS63" i="14"/>
  <c r="AX63" i="14" s="1"/>
  <c r="AV63" i="14" s="1"/>
  <c r="BM168" i="14"/>
  <c r="CH168" i="14" s="1"/>
  <c r="CF168" i="14" s="1"/>
  <c r="BC168" i="14"/>
  <c r="AS168" i="14"/>
  <c r="AX168" i="14" s="1"/>
  <c r="AV168" i="14" s="1"/>
  <c r="DF49" i="14" l="1"/>
  <c r="R49" i="14"/>
  <c r="DF63" i="14"/>
  <c r="R63" i="14"/>
  <c r="R168" i="14"/>
  <c r="DF246" i="14"/>
  <c r="DF16" i="14"/>
  <c r="DF60" i="14"/>
  <c r="BM171" i="14"/>
  <c r="CH171" i="14" s="1"/>
  <c r="CF171" i="14" s="1"/>
  <c r="BC171" i="14"/>
  <c r="AS171" i="14"/>
  <c r="AX171" i="14" s="1"/>
  <c r="AV171" i="14" s="1"/>
  <c r="BM141" i="14"/>
  <c r="CH141" i="14" s="1"/>
  <c r="CF141" i="14" s="1"/>
  <c r="BC141" i="14"/>
  <c r="AS141" i="14"/>
  <c r="AX141" i="14" s="1"/>
  <c r="AV141" i="14" s="1"/>
  <c r="R141" i="14" l="1"/>
  <c r="DF171" i="14"/>
  <c r="R171" i="14"/>
  <c r="DL246" i="14"/>
  <c r="DL242" i="14" s="1"/>
  <c r="DF242" i="14"/>
  <c r="DL12" i="14"/>
  <c r="DL8" i="14" s="1"/>
  <c r="DF8" i="14"/>
  <c r="DF168" i="14"/>
  <c r="DL63" i="14"/>
  <c r="BM97" i="14"/>
  <c r="CH97" i="14" s="1"/>
  <c r="CF97" i="14" s="1"/>
  <c r="BC97" i="14"/>
  <c r="AS97" i="14"/>
  <c r="AX97" i="14" s="1"/>
  <c r="AV97" i="14" s="1"/>
  <c r="R97" i="14" l="1"/>
  <c r="DF141" i="14"/>
  <c r="DF159" i="14"/>
  <c r="DL164" i="14"/>
  <c r="DL159" i="14" s="1"/>
  <c r="DF97" i="14" l="1"/>
  <c r="BM23" i="14"/>
  <c r="CH23" i="14" s="1"/>
  <c r="CF23" i="14" s="1"/>
  <c r="BC23" i="14"/>
  <c r="AS23" i="14"/>
  <c r="AX23" i="14" s="1"/>
  <c r="AV23" i="14" s="1"/>
  <c r="DF23" i="14" l="1"/>
  <c r="R23" i="14"/>
  <c r="BM21" i="14"/>
  <c r="CH21" i="14" s="1"/>
  <c r="CF21" i="14" s="1"/>
  <c r="BC21" i="14"/>
  <c r="CL21" i="14" s="1"/>
  <c r="AS21" i="14"/>
  <c r="AX21" i="14" s="1"/>
  <c r="AV21" i="14" s="1"/>
  <c r="BM210" i="14"/>
  <c r="CH210" i="14" s="1"/>
  <c r="CF210" i="14" s="1"/>
  <c r="BC210" i="14"/>
  <c r="AS210" i="14"/>
  <c r="AX210" i="14" s="1"/>
  <c r="AV210" i="14" s="1"/>
  <c r="BM42" i="14"/>
  <c r="CH42" i="14" s="1"/>
  <c r="CF42" i="14" s="1"/>
  <c r="BC42" i="14"/>
  <c r="AS42" i="14"/>
  <c r="AX42" i="14" s="1"/>
  <c r="AV42" i="14" s="1"/>
  <c r="R21" i="14" l="1"/>
  <c r="R210" i="14"/>
  <c r="R42" i="14"/>
  <c r="CM21" i="14"/>
  <c r="BM93" i="14"/>
  <c r="CH93" i="14" s="1"/>
  <c r="CF93" i="14" s="1"/>
  <c r="BC93" i="14"/>
  <c r="AS93" i="14"/>
  <c r="AX93" i="14" s="1"/>
  <c r="AV93" i="14" s="1"/>
  <c r="BM229" i="14"/>
  <c r="CH229" i="14" s="1"/>
  <c r="CF229" i="14" s="1"/>
  <c r="BC229" i="14"/>
  <c r="AS229" i="14"/>
  <c r="AX229" i="14" s="1"/>
  <c r="AV229" i="14" s="1"/>
  <c r="BM187" i="14"/>
  <c r="CH187" i="14" s="1"/>
  <c r="CF187" i="14" s="1"/>
  <c r="BC187" i="14"/>
  <c r="AS187" i="14"/>
  <c r="AX187" i="14" s="1"/>
  <c r="AV187" i="14" s="1"/>
  <c r="BM35" i="14"/>
  <c r="CH35" i="14" s="1"/>
  <c r="CF35" i="14" s="1"/>
  <c r="BC35" i="14"/>
  <c r="AS35" i="14"/>
  <c r="AX35" i="14" s="1"/>
  <c r="AV35" i="14" s="1"/>
  <c r="BM104" i="14"/>
  <c r="CH104" i="14" s="1"/>
  <c r="CF104" i="14" s="1"/>
  <c r="BC104" i="14"/>
  <c r="AS104" i="14"/>
  <c r="AX104" i="14" s="1"/>
  <c r="AV104" i="14" s="1"/>
  <c r="R104" i="14" l="1"/>
  <c r="R229" i="14"/>
  <c r="DF93" i="14"/>
  <c r="R93" i="14"/>
  <c r="DF187" i="14"/>
  <c r="R187" i="14"/>
  <c r="DF35" i="14"/>
  <c r="R35" i="14"/>
  <c r="DF66" i="14"/>
  <c r="DF210" i="14"/>
  <c r="DF42" i="14"/>
  <c r="DF21" i="14"/>
  <c r="DN21" i="14"/>
  <c r="BM127" i="14"/>
  <c r="CH127" i="14" s="1"/>
  <c r="CF127" i="14" s="1"/>
  <c r="BC127" i="14"/>
  <c r="AS127" i="14"/>
  <c r="AX127" i="14" s="1"/>
  <c r="AV127" i="14" s="1"/>
  <c r="BM132" i="14"/>
  <c r="CH132" i="14" s="1"/>
  <c r="CF132" i="14" s="1"/>
  <c r="BC132" i="14"/>
  <c r="AS132" i="14"/>
  <c r="AX132" i="14" s="1"/>
  <c r="AV132" i="14" s="1"/>
  <c r="BM82" i="14"/>
  <c r="CH82" i="14" s="1"/>
  <c r="CF82" i="14" s="1"/>
  <c r="BC82" i="14"/>
  <c r="AS82" i="14"/>
  <c r="AX82" i="14" s="1"/>
  <c r="AV82" i="14" s="1"/>
  <c r="DF127" i="14" l="1"/>
  <c r="R127" i="14"/>
  <c r="R132" i="14"/>
  <c r="R82" i="14"/>
  <c r="DL21" i="14"/>
  <c r="DF229" i="14"/>
  <c r="DF104" i="14"/>
  <c r="DL62" i="14"/>
  <c r="DL57" i="14" s="1"/>
  <c r="DF57" i="14"/>
  <c r="BM182" i="14"/>
  <c r="CH182" i="14" s="1"/>
  <c r="CF182" i="14" s="1"/>
  <c r="BC182" i="14"/>
  <c r="AS182" i="14"/>
  <c r="AX182" i="14" s="1"/>
  <c r="AV182" i="14" s="1"/>
  <c r="R182" i="14" l="1"/>
  <c r="DL228" i="14"/>
  <c r="DL220" i="14" s="1"/>
  <c r="DF220" i="14"/>
  <c r="DF82" i="14"/>
  <c r="DL103" i="14"/>
  <c r="DL94" i="14" s="1"/>
  <c r="DF94" i="14"/>
  <c r="DF132" i="14"/>
  <c r="BM217" i="14"/>
  <c r="CH217" i="14" s="1"/>
  <c r="CF217" i="14" s="1"/>
  <c r="BC217" i="14"/>
  <c r="AS217" i="14"/>
  <c r="AX217" i="14" s="1"/>
  <c r="AV217" i="14" s="1"/>
  <c r="R217" i="14" l="1"/>
  <c r="DF182" i="14"/>
  <c r="DL132" i="14"/>
  <c r="DL128" i="14" s="1"/>
  <c r="DF128" i="14"/>
  <c r="DL82" i="14"/>
  <c r="DL79" i="14" s="1"/>
  <c r="DF79" i="14"/>
  <c r="BM119" i="14"/>
  <c r="CH119" i="14" s="1"/>
  <c r="CF119" i="14" s="1"/>
  <c r="BC119" i="14"/>
  <c r="AS119" i="14"/>
  <c r="AX119" i="14" s="1"/>
  <c r="AV119" i="14" s="1"/>
  <c r="R119" i="14" l="1"/>
  <c r="DF217" i="14"/>
  <c r="AF354" i="14"/>
  <c r="AF353" i="14"/>
  <c r="AF351" i="14"/>
  <c r="AF350" i="14"/>
  <c r="AG349" i="14"/>
  <c r="AF348" i="14"/>
  <c r="AF347" i="14"/>
  <c r="AG346" i="14"/>
  <c r="AJ328" i="14"/>
  <c r="AI328" i="14"/>
  <c r="AH328" i="14"/>
  <c r="AG328" i="14"/>
  <c r="AF327" i="14"/>
  <c r="AF328" i="14" s="1"/>
  <c r="AH314" i="14"/>
  <c r="AF314" i="14" s="1"/>
  <c r="AF311" i="14"/>
  <c r="AF310" i="14"/>
  <c r="AJ307" i="14"/>
  <c r="AJ317" i="14" s="1"/>
  <c r="AJ331" i="14" s="1"/>
  <c r="AI307" i="14"/>
  <c r="AI317" i="14" s="1"/>
  <c r="AI331" i="14" s="1"/>
  <c r="AH302" i="14"/>
  <c r="AF302" i="14"/>
  <c r="AH299" i="14"/>
  <c r="AF299" i="14"/>
  <c r="AH298" i="14"/>
  <c r="AF298" i="14"/>
  <c r="AH297" i="14"/>
  <c r="AH307" i="14" s="1"/>
  <c r="AH317" i="14" s="1"/>
  <c r="AF297" i="14"/>
  <c r="AF282" i="14"/>
  <c r="AF281" i="14"/>
  <c r="AG280" i="14"/>
  <c r="AF279" i="14"/>
  <c r="AF278" i="14"/>
  <c r="AG277" i="14"/>
  <c r="AF276" i="14"/>
  <c r="AF275" i="14"/>
  <c r="AG274" i="14"/>
  <c r="AF273" i="14"/>
  <c r="AF272" i="14"/>
  <c r="AG271" i="14"/>
  <c r="AF270" i="14"/>
  <c r="AF269" i="14"/>
  <c r="AG268" i="14"/>
  <c r="AG267" i="14"/>
  <c r="AG293" i="14" s="1"/>
  <c r="AG307" i="14" s="1"/>
  <c r="AG317" i="14" s="1"/>
  <c r="AG266" i="14"/>
  <c r="AJ261" i="14"/>
  <c r="AI261" i="14"/>
  <c r="AH261" i="14"/>
  <c r="AG261" i="14"/>
  <c r="AF259" i="14"/>
  <c r="AF257" i="14"/>
  <c r="AF256" i="14"/>
  <c r="AF255" i="14"/>
  <c r="AF254" i="14"/>
  <c r="AF253" i="14"/>
  <c r="AF252" i="14"/>
  <c r="AF251" i="14"/>
  <c r="AF250" i="14"/>
  <c r="AF249" i="14"/>
  <c r="AF248" i="14"/>
  <c r="AF247" i="14"/>
  <c r="AF246" i="14"/>
  <c r="AF245" i="14"/>
  <c r="AF244" i="14"/>
  <c r="AF243" i="14"/>
  <c r="AJ242" i="14"/>
  <c r="AI242" i="14"/>
  <c r="AH242" i="14"/>
  <c r="AG242" i="14"/>
  <c r="AF241" i="14"/>
  <c r="AF240" i="14"/>
  <c r="AF239" i="14"/>
  <c r="AF238" i="14"/>
  <c r="AF237" i="14"/>
  <c r="AF236" i="14"/>
  <c r="AF235" i="14"/>
  <c r="AF234" i="14"/>
  <c r="AF233" i="14"/>
  <c r="AF232" i="14"/>
  <c r="AF231" i="14"/>
  <c r="AJ230" i="14"/>
  <c r="AI230" i="14"/>
  <c r="AH230" i="14"/>
  <c r="AG230" i="14"/>
  <c r="AF229" i="14"/>
  <c r="AF228" i="14"/>
  <c r="AF227" i="14"/>
  <c r="AF226" i="14"/>
  <c r="AF225" i="14"/>
  <c r="AF224" i="14"/>
  <c r="AF223" i="14"/>
  <c r="AF222" i="14"/>
  <c r="AF221" i="14"/>
  <c r="AJ220" i="14"/>
  <c r="AI220" i="14"/>
  <c r="AH220" i="14"/>
  <c r="AG220" i="14"/>
  <c r="AF219" i="14"/>
  <c r="AF218" i="14"/>
  <c r="AF217" i="14"/>
  <c r="AF216" i="14"/>
  <c r="AF215" i="14"/>
  <c r="AF214" i="14"/>
  <c r="AF213" i="14"/>
  <c r="AF212" i="14"/>
  <c r="AF211" i="14"/>
  <c r="AF210" i="14"/>
  <c r="AF209" i="14"/>
  <c r="AF208" i="14"/>
  <c r="AF207" i="14"/>
  <c r="AF206" i="14"/>
  <c r="AF205" i="14"/>
  <c r="AF204" i="14"/>
  <c r="AJ203" i="14"/>
  <c r="AI203" i="14"/>
  <c r="AH203" i="14"/>
  <c r="AG203" i="14"/>
  <c r="AF202" i="14"/>
  <c r="AF201" i="14"/>
  <c r="AF200" i="14"/>
  <c r="AF199" i="14"/>
  <c r="AF198" i="14"/>
  <c r="AF197" i="14"/>
  <c r="AF196" i="14"/>
  <c r="AJ195" i="14"/>
  <c r="AI195" i="14"/>
  <c r="AH195" i="14"/>
  <c r="AG195" i="14"/>
  <c r="AF194" i="14"/>
  <c r="AF193" i="14"/>
  <c r="AF192" i="14"/>
  <c r="AF191" i="14"/>
  <c r="AF190" i="14"/>
  <c r="AF189" i="14"/>
  <c r="AF188" i="14"/>
  <c r="AF187" i="14"/>
  <c r="AF186" i="14"/>
  <c r="AF185" i="14"/>
  <c r="AF184" i="14"/>
  <c r="AF183" i="14"/>
  <c r="AF182" i="14"/>
  <c r="AF181" i="14"/>
  <c r="AF180" i="14"/>
  <c r="AF179" i="14"/>
  <c r="AF178" i="14"/>
  <c r="AJ177" i="14"/>
  <c r="AI177" i="14"/>
  <c r="AH177" i="14"/>
  <c r="AG177" i="14"/>
  <c r="AF176" i="14"/>
  <c r="AF175" i="14"/>
  <c r="AF174" i="14"/>
  <c r="AF173" i="14"/>
  <c r="AF172" i="14"/>
  <c r="AF171" i="14"/>
  <c r="AF170" i="14"/>
  <c r="AF169" i="14"/>
  <c r="AF168" i="14"/>
  <c r="AF167" i="14"/>
  <c r="AF166" i="14"/>
  <c r="AF165" i="14"/>
  <c r="AF164" i="14"/>
  <c r="AF163" i="14"/>
  <c r="AF162" i="14"/>
  <c r="AF161" i="14"/>
  <c r="AF160" i="14"/>
  <c r="AJ159" i="14"/>
  <c r="AI159" i="14"/>
  <c r="AH159" i="14"/>
  <c r="AG159" i="14"/>
  <c r="AF158" i="14"/>
  <c r="AF157" i="14"/>
  <c r="AF156" i="14"/>
  <c r="AF155" i="14"/>
  <c r="AF154" i="14"/>
  <c r="AF153" i="14"/>
  <c r="AF152" i="14"/>
  <c r="AJ151" i="14"/>
  <c r="AI151" i="14"/>
  <c r="AH151" i="14"/>
  <c r="AG151" i="14"/>
  <c r="AF150" i="14"/>
  <c r="AF149" i="14"/>
  <c r="AF148" i="14"/>
  <c r="AF147" i="14"/>
  <c r="AF146" i="14"/>
  <c r="AF145" i="14"/>
  <c r="AF144" i="14"/>
  <c r="AF143" i="14"/>
  <c r="AF142" i="14"/>
  <c r="AF141" i="14"/>
  <c r="AF140" i="14"/>
  <c r="AF139" i="14"/>
  <c r="AF138" i="14"/>
  <c r="AJ137" i="14"/>
  <c r="AI137" i="14"/>
  <c r="AH137" i="14"/>
  <c r="AG137" i="14"/>
  <c r="AF136" i="14"/>
  <c r="AF135" i="14"/>
  <c r="AF134" i="14"/>
  <c r="AF133" i="14"/>
  <c r="AF132" i="14"/>
  <c r="AF131" i="14"/>
  <c r="AF130" i="14"/>
  <c r="AF129" i="14"/>
  <c r="AJ128" i="14"/>
  <c r="AI128" i="14"/>
  <c r="AH128" i="14"/>
  <c r="AG128" i="14"/>
  <c r="AF127" i="14"/>
  <c r="AF126" i="14"/>
  <c r="AF125" i="14"/>
  <c r="AF124" i="14"/>
  <c r="AF123" i="14"/>
  <c r="AF122" i="14"/>
  <c r="AF121" i="14"/>
  <c r="AF120" i="14"/>
  <c r="AF119" i="14"/>
  <c r="AF118" i="14"/>
  <c r="AF117" i="14"/>
  <c r="AF116" i="14"/>
  <c r="AF115" i="14"/>
  <c r="AJ114" i="14"/>
  <c r="AI114" i="14"/>
  <c r="AH114" i="14"/>
  <c r="AG114" i="14"/>
  <c r="AF113" i="14"/>
  <c r="AF112" i="14"/>
  <c r="AF111" i="14"/>
  <c r="AF110" i="14"/>
  <c r="AF109" i="14"/>
  <c r="AF108" i="14"/>
  <c r="AF107" i="14"/>
  <c r="AF106" i="14"/>
  <c r="AF105" i="14"/>
  <c r="AF104" i="14"/>
  <c r="AF103" i="14"/>
  <c r="AF102" i="14"/>
  <c r="AF101" i="14"/>
  <c r="AF100" i="14"/>
  <c r="AF99" i="14"/>
  <c r="AF98" i="14"/>
  <c r="AF97" i="14"/>
  <c r="AF96" i="14"/>
  <c r="AF95" i="14"/>
  <c r="AJ94" i="14"/>
  <c r="AI94" i="14"/>
  <c r="AH94" i="14"/>
  <c r="AG94" i="14"/>
  <c r="AF93" i="14"/>
  <c r="AF92" i="14"/>
  <c r="AF91" i="14"/>
  <c r="AF90" i="14"/>
  <c r="AF89" i="14"/>
  <c r="AF88" i="14"/>
  <c r="AF87" i="14"/>
  <c r="AF86" i="14"/>
  <c r="AF85" i="14"/>
  <c r="AF84" i="14"/>
  <c r="AF83" i="14"/>
  <c r="AF82" i="14"/>
  <c r="AF81" i="14"/>
  <c r="AF80" i="14"/>
  <c r="AJ79" i="14"/>
  <c r="AI79" i="14"/>
  <c r="AH79" i="14"/>
  <c r="AG79" i="14"/>
  <c r="AF78" i="14"/>
  <c r="AF77" i="14"/>
  <c r="AF76" i="14"/>
  <c r="AF75" i="14"/>
  <c r="AF74" i="14"/>
  <c r="AF73" i="14"/>
  <c r="AF72" i="14"/>
  <c r="AF71" i="14"/>
  <c r="AF70" i="14"/>
  <c r="AF69" i="14"/>
  <c r="AF68" i="14"/>
  <c r="AF67" i="14"/>
  <c r="AF66" i="14"/>
  <c r="AF65" i="14"/>
  <c r="AF64" i="14"/>
  <c r="AF63" i="14"/>
  <c r="AF62" i="14"/>
  <c r="AF61" i="14"/>
  <c r="AF60" i="14"/>
  <c r="AF59" i="14"/>
  <c r="AF58" i="14"/>
  <c r="AJ57" i="14"/>
  <c r="AI57" i="14"/>
  <c r="AH57" i="14"/>
  <c r="AG57" i="14"/>
  <c r="AF56" i="14"/>
  <c r="AF55" i="14"/>
  <c r="AF54" i="14"/>
  <c r="AF53" i="14"/>
  <c r="AF52" i="14"/>
  <c r="AF51" i="14"/>
  <c r="AF50" i="14"/>
  <c r="AF49" i="14"/>
  <c r="AF48" i="14"/>
  <c r="AF47" i="14"/>
  <c r="AF46" i="14"/>
  <c r="AF45" i="14"/>
  <c r="AF44" i="14"/>
  <c r="AF43" i="14"/>
  <c r="AF42" i="14"/>
  <c r="AF41" i="14"/>
  <c r="AF40" i="14"/>
  <c r="AJ39" i="14"/>
  <c r="AI39" i="14"/>
  <c r="AH39" i="14"/>
  <c r="AG39" i="14"/>
  <c r="AF38" i="14"/>
  <c r="AF37" i="14"/>
  <c r="AF36" i="14"/>
  <c r="AF35" i="14"/>
  <c r="AF34" i="14"/>
  <c r="AF33" i="14"/>
  <c r="AF32" i="14"/>
  <c r="AF31" i="14"/>
  <c r="AF30" i="14"/>
  <c r="AF29" i="14"/>
  <c r="AF28" i="14"/>
  <c r="AF27" i="14"/>
  <c r="AF26" i="14"/>
  <c r="AF25" i="14"/>
  <c r="AF24" i="14"/>
  <c r="AF23" i="14"/>
  <c r="AF22" i="14"/>
  <c r="AF21" i="14"/>
  <c r="AJ20" i="14"/>
  <c r="AI20" i="14"/>
  <c r="AH20" i="14"/>
  <c r="AG20" i="14"/>
  <c r="AF19" i="14"/>
  <c r="AF18" i="14"/>
  <c r="AF17" i="14"/>
  <c r="AF16" i="14"/>
  <c r="AF15" i="14"/>
  <c r="AF14" i="14"/>
  <c r="AF13" i="14"/>
  <c r="AF12" i="14"/>
  <c r="AF11" i="14"/>
  <c r="AF10" i="14"/>
  <c r="AF9" i="14"/>
  <c r="AJ8" i="14"/>
  <c r="AI8" i="14"/>
  <c r="AH8" i="14"/>
  <c r="AG8" i="14"/>
  <c r="AF7" i="14"/>
  <c r="AF6" i="14" s="1"/>
  <c r="AJ6" i="14"/>
  <c r="AI6" i="14"/>
  <c r="AH6" i="14"/>
  <c r="AG6" i="14"/>
  <c r="AF268" i="14" l="1"/>
  <c r="AF296" i="14"/>
  <c r="AF274" i="14"/>
  <c r="AH296" i="14"/>
  <c r="AF271" i="14"/>
  <c r="AF267" i="14"/>
  <c r="AF277" i="14"/>
  <c r="DF203" i="14"/>
  <c r="DL210" i="14"/>
  <c r="DL203" i="14" s="1"/>
  <c r="DF119" i="14"/>
  <c r="AG265" i="14"/>
  <c r="AF280" i="14"/>
  <c r="AI258" i="14"/>
  <c r="AI260" i="14" s="1"/>
  <c r="AI264" i="14" s="1"/>
  <c r="AI292" i="14" s="1"/>
  <c r="AI306" i="14" s="1"/>
  <c r="AF195" i="14"/>
  <c r="AF349" i="14"/>
  <c r="AJ258" i="14"/>
  <c r="AJ260" i="14" s="1"/>
  <c r="AJ264" i="14" s="1"/>
  <c r="AJ292" i="14" s="1"/>
  <c r="AJ306" i="14" s="1"/>
  <c r="AF346" i="14"/>
  <c r="AG258" i="14"/>
  <c r="AG260" i="14" s="1"/>
  <c r="AG264" i="14" s="1"/>
  <c r="AF261" i="14"/>
  <c r="AF266" i="14"/>
  <c r="AF293" i="14"/>
  <c r="AF242" i="14"/>
  <c r="AF230" i="14"/>
  <c r="AF220" i="14"/>
  <c r="AF203" i="14"/>
  <c r="AF177" i="14"/>
  <c r="AF159" i="14"/>
  <c r="AF151" i="14"/>
  <c r="AF137" i="14"/>
  <c r="AF128" i="14"/>
  <c r="AF114" i="14"/>
  <c r="AF94" i="14"/>
  <c r="AF79" i="14"/>
  <c r="AF57" i="14"/>
  <c r="AF39" i="14"/>
  <c r="AF20" i="14"/>
  <c r="AF8" i="14"/>
  <c r="AH258" i="14"/>
  <c r="AH260" i="14" s="1"/>
  <c r="AH264" i="14" s="1"/>
  <c r="AH292" i="14" s="1"/>
  <c r="AH306" i="14" s="1"/>
  <c r="AF317" i="14"/>
  <c r="AF331" i="14" s="1"/>
  <c r="AG331" i="14"/>
  <c r="AH331" i="14"/>
  <c r="AF307" i="14"/>
  <c r="BM7" i="14"/>
  <c r="CH7" i="14" s="1"/>
  <c r="CF7" i="14" s="1"/>
  <c r="BC7" i="14"/>
  <c r="AS7" i="14"/>
  <c r="AX7" i="14" s="1"/>
  <c r="AV7" i="14" s="1"/>
  <c r="BM148" i="14"/>
  <c r="CH148" i="14" s="1"/>
  <c r="CF148" i="14" s="1"/>
  <c r="BC148" i="14"/>
  <c r="AS148" i="14"/>
  <c r="AX148" i="14" s="1"/>
  <c r="AV148" i="14" s="1"/>
  <c r="BM143" i="14"/>
  <c r="CH143" i="14" s="1"/>
  <c r="CF143" i="14" s="1"/>
  <c r="BC143" i="14"/>
  <c r="AS143" i="14"/>
  <c r="AX143" i="14" s="1"/>
  <c r="AV143" i="14" s="1"/>
  <c r="R143" i="14" l="1"/>
  <c r="R7" i="14"/>
  <c r="DF148" i="14"/>
  <c r="DL146" i="14" s="1"/>
  <c r="R148" i="14"/>
  <c r="AG262" i="14"/>
  <c r="AG294" i="14"/>
  <c r="AG308" i="14" s="1"/>
  <c r="AI262" i="14"/>
  <c r="AF265" i="14"/>
  <c r="AJ262" i="14"/>
  <c r="DL119" i="14"/>
  <c r="AI294" i="14"/>
  <c r="AI308" i="14" s="1"/>
  <c r="AI318" i="14" s="1"/>
  <c r="AI316" i="14" s="1"/>
  <c r="AI330" i="14" s="1"/>
  <c r="AJ294" i="14"/>
  <c r="AJ308" i="14" s="1"/>
  <c r="AJ318" i="14" s="1"/>
  <c r="AJ332" i="14" s="1"/>
  <c r="AF258" i="14"/>
  <c r="AH262" i="14"/>
  <c r="AH294" i="14"/>
  <c r="AH308" i="14" s="1"/>
  <c r="AH318" i="14" s="1"/>
  <c r="AH332" i="14" s="1"/>
  <c r="AF260" i="14"/>
  <c r="AG292" i="14"/>
  <c r="AF264" i="14"/>
  <c r="BM124" i="14"/>
  <c r="CH124" i="14" s="1"/>
  <c r="CF124" i="14" s="1"/>
  <c r="BC124" i="14"/>
  <c r="AS124" i="14"/>
  <c r="AX124" i="14" s="1"/>
  <c r="AV124" i="14" s="1"/>
  <c r="R124" i="14" l="1"/>
  <c r="AI332" i="14"/>
  <c r="AF262" i="14"/>
  <c r="DF7" i="14"/>
  <c r="DF143" i="14"/>
  <c r="AJ316" i="14"/>
  <c r="AJ330" i="14" s="1"/>
  <c r="AF294" i="14"/>
  <c r="AH316" i="14"/>
  <c r="AH330" i="14" s="1"/>
  <c r="AG318" i="14"/>
  <c r="AF308" i="14"/>
  <c r="AF292" i="14"/>
  <c r="AF306" i="14" s="1"/>
  <c r="AG306" i="14"/>
  <c r="BM27" i="14"/>
  <c r="CH27" i="14" s="1"/>
  <c r="CF27" i="14" s="1"/>
  <c r="BC27" i="14"/>
  <c r="AS27" i="14"/>
  <c r="AX27" i="14" s="1"/>
  <c r="AV27" i="14" s="1"/>
  <c r="BM190" i="14"/>
  <c r="CH190" i="14" s="1"/>
  <c r="CF190" i="14" s="1"/>
  <c r="BC190" i="14"/>
  <c r="AS190" i="14"/>
  <c r="AX190" i="14" s="1"/>
  <c r="AV190" i="14" s="1"/>
  <c r="BM56" i="14"/>
  <c r="CH56" i="14" s="1"/>
  <c r="CF56" i="14" s="1"/>
  <c r="BC56" i="14"/>
  <c r="AS56" i="14"/>
  <c r="AX56" i="14" s="1"/>
  <c r="AV56" i="14" s="1"/>
  <c r="BM29" i="14"/>
  <c r="CH29" i="14" s="1"/>
  <c r="CF29" i="14" s="1"/>
  <c r="BC29" i="14"/>
  <c r="AS29" i="14"/>
  <c r="AX29" i="14" s="1"/>
  <c r="AV29" i="14" s="1"/>
  <c r="BM193" i="14"/>
  <c r="CH193" i="14" s="1"/>
  <c r="CF193" i="14" s="1"/>
  <c r="BC193" i="14"/>
  <c r="AS193" i="14"/>
  <c r="AX193" i="14" s="1"/>
  <c r="AV193" i="14" s="1"/>
  <c r="BM33" i="14"/>
  <c r="CH33" i="14" s="1"/>
  <c r="CF33" i="14" s="1"/>
  <c r="BC33" i="14"/>
  <c r="AS33" i="14"/>
  <c r="AX33" i="14" s="1"/>
  <c r="AV33" i="14" s="1"/>
  <c r="T195" i="14"/>
  <c r="DF29" i="14" l="1"/>
  <c r="R29" i="14"/>
  <c r="DF193" i="14"/>
  <c r="R193" i="14"/>
  <c r="R27" i="14"/>
  <c r="R56" i="14"/>
  <c r="DF33" i="14"/>
  <c r="R33" i="14"/>
  <c r="R190" i="14"/>
  <c r="DL140" i="14"/>
  <c r="DL137" i="14" s="1"/>
  <c r="DF137" i="14"/>
  <c r="DF124" i="14"/>
  <c r="DF6" i="14"/>
  <c r="DL7" i="14"/>
  <c r="DL6" i="14" s="1"/>
  <c r="AF318" i="14"/>
  <c r="AF332" i="14" s="1"/>
  <c r="AG332" i="14"/>
  <c r="AG316" i="14"/>
  <c r="BB268" i="14"/>
  <c r="AR268" i="14"/>
  <c r="AW268" i="14" s="1"/>
  <c r="AV268" i="14" s="1"/>
  <c r="DF27" i="14" l="1"/>
  <c r="DL121" i="14"/>
  <c r="DL114" i="14" s="1"/>
  <c r="DF114" i="14"/>
  <c r="DF56" i="14"/>
  <c r="DF190" i="14"/>
  <c r="AF316" i="14"/>
  <c r="AF330" i="14" s="1"/>
  <c r="AG330" i="14"/>
  <c r="AK275" i="14"/>
  <c r="AL267" i="14"/>
  <c r="AL266" i="14"/>
  <c r="DL44" i="14" l="1"/>
  <c r="DL39" i="14" s="1"/>
  <c r="DF39" i="14"/>
  <c r="DL27" i="14"/>
  <c r="DL20" i="14" s="1"/>
  <c r="DF20" i="14"/>
  <c r="DL185" i="14"/>
  <c r="DL177" i="14" s="1"/>
  <c r="DF177" i="14"/>
  <c r="T57" i="14"/>
  <c r="U57" i="14"/>
  <c r="AL6" i="14"/>
  <c r="AM6" i="14"/>
  <c r="AN6" i="14"/>
  <c r="AO6" i="14"/>
  <c r="AK7" i="14"/>
  <c r="AK6" i="14" s="1"/>
  <c r="AL8" i="14"/>
  <c r="AM8" i="14"/>
  <c r="AN8" i="14"/>
  <c r="AO8" i="14"/>
  <c r="AK9" i="14"/>
  <c r="AK10" i="14"/>
  <c r="AK11" i="14"/>
  <c r="AK12" i="14"/>
  <c r="AK13" i="14"/>
  <c r="AK14" i="14"/>
  <c r="AK15" i="14"/>
  <c r="AK16" i="14"/>
  <c r="AK17" i="14"/>
  <c r="AK18" i="14"/>
  <c r="AK19" i="14"/>
  <c r="AL20" i="14"/>
  <c r="AM20" i="14"/>
  <c r="AN20" i="14"/>
  <c r="AO20" i="14"/>
  <c r="AK21" i="14"/>
  <c r="AK22" i="14"/>
  <c r="AK23" i="14"/>
  <c r="AK24" i="14"/>
  <c r="AK25" i="14"/>
  <c r="AK26" i="14"/>
  <c r="AK27" i="14"/>
  <c r="AK28" i="14"/>
  <c r="AK29" i="14"/>
  <c r="AK30" i="14"/>
  <c r="AK31" i="14"/>
  <c r="AK32" i="14"/>
  <c r="AK33" i="14"/>
  <c r="AK34" i="14"/>
  <c r="AK35" i="14"/>
  <c r="AK36" i="14"/>
  <c r="AK37" i="14"/>
  <c r="AK38" i="14"/>
  <c r="AL39" i="14"/>
  <c r="AM39" i="14"/>
  <c r="AN39" i="14"/>
  <c r="AO39" i="14"/>
  <c r="AK40" i="14"/>
  <c r="AK41" i="14"/>
  <c r="AK42" i="14"/>
  <c r="AK43" i="14"/>
  <c r="AK44" i="14"/>
  <c r="AK45" i="14"/>
  <c r="AK46" i="14"/>
  <c r="AK47" i="14"/>
  <c r="AK48" i="14"/>
  <c r="AK49" i="14"/>
  <c r="AK50" i="14"/>
  <c r="AK51" i="14"/>
  <c r="AK52" i="14"/>
  <c r="AK53" i="14"/>
  <c r="AK54" i="14"/>
  <c r="AK55" i="14"/>
  <c r="AK56" i="14"/>
  <c r="AL57" i="14"/>
  <c r="AM57" i="14"/>
  <c r="AN57" i="14"/>
  <c r="AO57" i="14"/>
  <c r="AK58" i="14"/>
  <c r="AK59" i="14"/>
  <c r="AK60" i="14"/>
  <c r="AK61" i="14"/>
  <c r="AK62" i="14"/>
  <c r="AK63" i="14"/>
  <c r="AK64" i="14"/>
  <c r="AK65" i="14"/>
  <c r="AK66" i="14"/>
  <c r="AK67" i="14"/>
  <c r="AK68" i="14"/>
  <c r="AK69" i="14"/>
  <c r="AK70" i="14"/>
  <c r="AK71" i="14"/>
  <c r="AK72" i="14"/>
  <c r="AK73" i="14"/>
  <c r="AK74" i="14"/>
  <c r="AK75" i="14"/>
  <c r="AK76" i="14"/>
  <c r="AK77" i="14"/>
  <c r="AK78" i="14"/>
  <c r="AL79" i="14"/>
  <c r="AM79" i="14"/>
  <c r="AN79" i="14"/>
  <c r="AO79" i="14"/>
  <c r="AK80" i="14"/>
  <c r="AK81" i="14"/>
  <c r="AK82" i="14"/>
  <c r="AK83" i="14"/>
  <c r="AK84" i="14"/>
  <c r="AK85" i="14"/>
  <c r="AK86" i="14"/>
  <c r="AK87" i="14"/>
  <c r="AK88" i="14"/>
  <c r="AK89" i="14"/>
  <c r="AK90" i="14"/>
  <c r="AK91" i="14"/>
  <c r="AK92" i="14"/>
  <c r="AK93" i="14"/>
  <c r="AL94" i="14"/>
  <c r="AM94" i="14"/>
  <c r="AN94" i="14"/>
  <c r="AO94" i="14"/>
  <c r="AK95" i="14"/>
  <c r="AK96" i="14"/>
  <c r="AK97" i="14"/>
  <c r="AK98" i="14"/>
  <c r="AK99" i="14"/>
  <c r="AK100" i="14"/>
  <c r="AK101" i="14"/>
  <c r="AK102" i="14"/>
  <c r="AK103" i="14"/>
  <c r="AK104" i="14"/>
  <c r="AK105" i="14"/>
  <c r="AK106" i="14"/>
  <c r="AK107" i="14"/>
  <c r="AK108" i="14"/>
  <c r="AK109" i="14"/>
  <c r="AK110" i="14"/>
  <c r="AK111" i="14"/>
  <c r="AK112" i="14"/>
  <c r="AK113" i="14"/>
  <c r="AL114" i="14"/>
  <c r="AM114" i="14"/>
  <c r="AN114" i="14"/>
  <c r="AO114" i="14"/>
  <c r="AK115" i="14"/>
  <c r="AK116" i="14"/>
  <c r="AK117" i="14"/>
  <c r="AK118" i="14"/>
  <c r="AK119" i="14"/>
  <c r="AK120" i="14"/>
  <c r="AK121" i="14"/>
  <c r="AK122" i="14"/>
  <c r="AK123" i="14"/>
  <c r="AK124" i="14"/>
  <c r="AK125" i="14"/>
  <c r="AK126" i="14"/>
  <c r="AK127" i="14"/>
  <c r="AL128" i="14"/>
  <c r="AM128" i="14"/>
  <c r="AN128" i="14"/>
  <c r="AO128" i="14"/>
  <c r="AK129" i="14"/>
  <c r="AK130" i="14"/>
  <c r="AK131" i="14"/>
  <c r="AK132" i="14"/>
  <c r="AK133" i="14"/>
  <c r="AK134" i="14"/>
  <c r="AK135" i="14"/>
  <c r="AK136" i="14"/>
  <c r="AL137" i="14"/>
  <c r="AM137" i="14"/>
  <c r="AN137" i="14"/>
  <c r="AO137" i="14"/>
  <c r="AK138" i="14"/>
  <c r="AK139" i="14"/>
  <c r="AK140" i="14"/>
  <c r="AK141" i="14"/>
  <c r="AK142" i="14"/>
  <c r="AK143" i="14"/>
  <c r="AK144" i="14"/>
  <c r="AK145" i="14"/>
  <c r="AK146" i="14"/>
  <c r="AK147" i="14"/>
  <c r="AK148" i="14"/>
  <c r="AK149" i="14"/>
  <c r="AK150" i="14"/>
  <c r="AL151" i="14"/>
  <c r="AM151" i="14"/>
  <c r="AN151" i="14"/>
  <c r="AO151" i="14"/>
  <c r="AK152" i="14"/>
  <c r="AK153" i="14"/>
  <c r="AK154" i="14"/>
  <c r="AK155" i="14"/>
  <c r="AK156" i="14"/>
  <c r="AK157" i="14"/>
  <c r="AK158" i="14"/>
  <c r="AL159" i="14"/>
  <c r="AM159" i="14"/>
  <c r="AN159" i="14"/>
  <c r="AO159" i="14"/>
  <c r="AK160" i="14"/>
  <c r="AK161" i="14"/>
  <c r="AK162" i="14"/>
  <c r="AK163" i="14"/>
  <c r="AK164" i="14"/>
  <c r="AK165" i="14"/>
  <c r="AK166" i="14"/>
  <c r="AK167" i="14"/>
  <c r="AK168" i="14"/>
  <c r="AK169" i="14"/>
  <c r="AK170" i="14"/>
  <c r="AK171" i="14"/>
  <c r="AK172" i="14"/>
  <c r="AK173" i="14"/>
  <c r="AK174" i="14"/>
  <c r="AK175" i="14"/>
  <c r="AK176" i="14"/>
  <c r="AL177" i="14"/>
  <c r="AM177" i="14"/>
  <c r="AN177" i="14"/>
  <c r="AO177" i="14"/>
  <c r="AK178" i="14"/>
  <c r="AK179" i="14"/>
  <c r="AK180" i="14"/>
  <c r="AK181" i="14"/>
  <c r="AK182" i="14"/>
  <c r="AK183" i="14"/>
  <c r="AK184" i="14"/>
  <c r="AK185" i="14"/>
  <c r="AK186" i="14"/>
  <c r="AK187" i="14"/>
  <c r="AK188" i="14"/>
  <c r="AK189" i="14"/>
  <c r="AK190" i="14"/>
  <c r="AK191" i="14"/>
  <c r="AK192" i="14"/>
  <c r="AK193" i="14"/>
  <c r="AK194" i="14"/>
  <c r="AL195" i="14"/>
  <c r="AM195" i="14"/>
  <c r="AN195" i="14"/>
  <c r="AO195" i="14"/>
  <c r="AK196" i="14"/>
  <c r="AK197" i="14"/>
  <c r="AK198" i="14"/>
  <c r="AK199" i="14"/>
  <c r="AK200" i="14"/>
  <c r="AK201" i="14"/>
  <c r="AK202" i="14"/>
  <c r="AL203" i="14"/>
  <c r="AM203" i="14"/>
  <c r="AN203" i="14"/>
  <c r="AO203" i="14"/>
  <c r="AK204" i="14"/>
  <c r="AK205" i="14"/>
  <c r="AK206" i="14"/>
  <c r="AK207" i="14"/>
  <c r="AK208" i="14"/>
  <c r="AK209" i="14"/>
  <c r="AK210" i="14"/>
  <c r="AK211" i="14"/>
  <c r="AK212" i="14"/>
  <c r="AK213" i="14"/>
  <c r="AK214" i="14"/>
  <c r="AK215" i="14"/>
  <c r="AK216" i="14"/>
  <c r="AK217" i="14"/>
  <c r="AK218" i="14"/>
  <c r="AK219" i="14"/>
  <c r="AL220" i="14"/>
  <c r="AM220" i="14"/>
  <c r="AN220" i="14"/>
  <c r="AO220" i="14"/>
  <c r="AK221" i="14"/>
  <c r="AK222" i="14"/>
  <c r="AK223" i="14"/>
  <c r="AK224" i="14"/>
  <c r="AK225" i="14"/>
  <c r="AK226" i="14"/>
  <c r="AK227" i="14"/>
  <c r="AK228" i="14"/>
  <c r="AK229" i="14"/>
  <c r="AL230" i="14"/>
  <c r="AM230" i="14"/>
  <c r="AN230" i="14"/>
  <c r="AO230" i="14"/>
  <c r="AK231" i="14"/>
  <c r="AK232" i="14"/>
  <c r="AK233" i="14"/>
  <c r="AK234" i="14"/>
  <c r="AK235" i="14"/>
  <c r="AK236" i="14"/>
  <c r="AK237" i="14"/>
  <c r="AK238" i="14"/>
  <c r="AK239" i="14"/>
  <c r="AK240" i="14"/>
  <c r="AK241" i="14"/>
  <c r="AL242" i="14"/>
  <c r="AM242" i="14"/>
  <c r="AN242" i="14"/>
  <c r="AO242" i="14"/>
  <c r="AK243" i="14"/>
  <c r="AK244" i="14"/>
  <c r="AK245" i="14"/>
  <c r="AK246" i="14"/>
  <c r="AK247" i="14"/>
  <c r="AK248" i="14"/>
  <c r="AK249" i="14"/>
  <c r="AK250" i="14"/>
  <c r="AK251" i="14"/>
  <c r="AK252" i="14"/>
  <c r="AK253" i="14"/>
  <c r="AK254" i="14"/>
  <c r="AK255" i="14"/>
  <c r="AK256" i="14"/>
  <c r="AK257" i="14"/>
  <c r="AK259" i="14"/>
  <c r="AL261" i="14"/>
  <c r="AM261" i="14"/>
  <c r="AN261" i="14"/>
  <c r="AO261" i="14"/>
  <c r="AL265" i="14"/>
  <c r="AL268" i="14"/>
  <c r="AK269" i="14"/>
  <c r="AK270" i="14"/>
  <c r="AL271" i="14"/>
  <c r="AK272" i="14"/>
  <c r="AK273" i="14"/>
  <c r="AL274" i="14"/>
  <c r="AK276" i="14"/>
  <c r="AL277" i="14"/>
  <c r="AK278" i="14"/>
  <c r="AK279" i="14"/>
  <c r="AL280" i="14"/>
  <c r="AK281" i="14"/>
  <c r="AK282" i="14"/>
  <c r="AL293" i="14"/>
  <c r="AL307" i="14" s="1"/>
  <c r="AK297" i="14"/>
  <c r="AM297" i="14"/>
  <c r="AM307" i="14" s="1"/>
  <c r="AM317" i="14" s="1"/>
  <c r="AK298" i="14"/>
  <c r="AM298" i="14"/>
  <c r="AK299" i="14"/>
  <c r="AM299" i="14"/>
  <c r="AK302" i="14"/>
  <c r="AM302" i="14"/>
  <c r="AN307" i="14"/>
  <c r="AN317" i="14" s="1"/>
  <c r="AO307" i="14"/>
  <c r="AO317" i="14" s="1"/>
  <c r="AO331" i="14" s="1"/>
  <c r="AK310" i="14"/>
  <c r="AK311" i="14"/>
  <c r="AM314" i="14"/>
  <c r="AK314" i="14" s="1"/>
  <c r="AK327" i="14"/>
  <c r="AK328" i="14" s="1"/>
  <c r="AL328" i="14"/>
  <c r="AM328" i="14"/>
  <c r="AN328" i="14"/>
  <c r="AO328" i="14"/>
  <c r="AL346" i="14"/>
  <c r="AK347" i="14"/>
  <c r="AK348" i="14"/>
  <c r="AL349" i="14"/>
  <c r="AK350" i="14"/>
  <c r="AK351" i="14"/>
  <c r="AK353" i="14"/>
  <c r="AK354" i="14"/>
  <c r="DL258" i="14" l="1"/>
  <c r="DL260" i="14" s="1"/>
  <c r="DL264" i="14" s="1"/>
  <c r="DF258" i="14"/>
  <c r="DF260" i="14" s="1"/>
  <c r="DF262" i="14" s="1"/>
  <c r="AK267" i="14"/>
  <c r="AK266" i="14"/>
  <c r="AK151" i="14"/>
  <c r="AK346" i="14"/>
  <c r="AK349" i="14"/>
  <c r="AK280" i="14"/>
  <c r="AK268" i="14"/>
  <c r="AK296" i="14"/>
  <c r="AK271" i="14"/>
  <c r="AM258" i="14"/>
  <c r="AM260" i="14" s="1"/>
  <c r="AM264" i="14" s="1"/>
  <c r="AM292" i="14" s="1"/>
  <c r="AM296" i="14"/>
  <c r="AK242" i="14"/>
  <c r="AK203" i="14"/>
  <c r="AK20" i="14"/>
  <c r="AK220" i="14"/>
  <c r="AK159" i="14"/>
  <c r="AK94" i="14"/>
  <c r="AL258" i="14"/>
  <c r="AL260" i="14" s="1"/>
  <c r="AL264" i="14" s="1"/>
  <c r="AK277" i="14"/>
  <c r="AK128" i="14"/>
  <c r="AK114" i="14"/>
  <c r="AK177" i="14"/>
  <c r="AK57" i="14"/>
  <c r="AN258" i="14"/>
  <c r="AN260" i="14" s="1"/>
  <c r="AN294" i="14" s="1"/>
  <c r="AN308" i="14" s="1"/>
  <c r="AN318" i="14" s="1"/>
  <c r="AN332" i="14" s="1"/>
  <c r="AK274" i="14"/>
  <c r="AK137" i="14"/>
  <c r="AK39" i="14"/>
  <c r="AK261" i="14"/>
  <c r="AK230" i="14"/>
  <c r="AK195" i="14"/>
  <c r="AK79" i="14"/>
  <c r="AK8" i="14"/>
  <c r="AO258" i="14"/>
  <c r="AO260" i="14" s="1"/>
  <c r="AO294" i="14" s="1"/>
  <c r="AO308" i="14" s="1"/>
  <c r="AO318" i="14" s="1"/>
  <c r="AO332" i="14" s="1"/>
  <c r="AN331" i="14"/>
  <c r="AM331" i="14"/>
  <c r="AK307" i="14"/>
  <c r="AL317" i="14"/>
  <c r="AK293" i="14"/>
  <c r="AN264" i="14" l="1"/>
  <c r="AN292" i="14" s="1"/>
  <c r="AN306" i="14" s="1"/>
  <c r="AO264" i="14"/>
  <c r="AO292" i="14" s="1"/>
  <c r="AO306" i="14" s="1"/>
  <c r="AK265" i="14"/>
  <c r="AO262" i="14"/>
  <c r="AM306" i="14"/>
  <c r="AM262" i="14"/>
  <c r="AN262" i="14"/>
  <c r="AM294" i="14"/>
  <c r="AM308" i="14" s="1"/>
  <c r="AM318" i="14" s="1"/>
  <c r="AM332" i="14" s="1"/>
  <c r="AK258" i="14"/>
  <c r="AK260" i="14"/>
  <c r="AL262" i="14"/>
  <c r="AL294" i="14"/>
  <c r="AL308" i="14" s="1"/>
  <c r="AL292" i="14"/>
  <c r="AO316" i="14"/>
  <c r="AO330" i="14" s="1"/>
  <c r="AL331" i="14"/>
  <c r="AK317" i="14"/>
  <c r="AK331" i="14" s="1"/>
  <c r="AN316" i="14"/>
  <c r="AN330" i="14" s="1"/>
  <c r="AK294" i="14" l="1"/>
  <c r="AK264" i="14"/>
  <c r="AM316" i="14"/>
  <c r="AM330" i="14" s="1"/>
  <c r="AK262" i="14"/>
  <c r="AK308" i="14"/>
  <c r="AL318" i="14"/>
  <c r="AK292" i="14"/>
  <c r="AK306" i="14" s="1"/>
  <c r="AL306" i="14"/>
  <c r="AQ18" i="14"/>
  <c r="AZ18" i="14"/>
  <c r="BA18" i="14"/>
  <c r="BF18" i="14"/>
  <c r="BK18" i="14"/>
  <c r="DH18" i="14" s="1"/>
  <c r="AQ19" i="14"/>
  <c r="AZ19" i="14"/>
  <c r="BA19" i="14"/>
  <c r="BF19" i="14"/>
  <c r="BK19" i="14"/>
  <c r="DH19" i="14" s="1"/>
  <c r="AK318" i="14" l="1"/>
  <c r="AK332" i="14" s="1"/>
  <c r="AL332" i="14"/>
  <c r="AL316" i="14"/>
  <c r="AL330" i="14" l="1"/>
  <c r="AK316" i="14"/>
  <c r="AK330" i="14" s="1"/>
  <c r="BO328" i="14" l="1"/>
  <c r="BN328" i="14"/>
  <c r="CI328" i="14" s="1"/>
  <c r="BM328" i="14"/>
  <c r="CH328" i="14" s="1"/>
  <c r="BL328" i="14"/>
  <c r="CG328" i="14" s="1"/>
  <c r="BJ328" i="14"/>
  <c r="BI328" i="14"/>
  <c r="BH328" i="14"/>
  <c r="BG328" i="14"/>
  <c r="BE328" i="14"/>
  <c r="BD328" i="14"/>
  <c r="BC328" i="14"/>
  <c r="BB328" i="14"/>
  <c r="AZ328" i="14"/>
  <c r="AY328" i="14"/>
  <c r="AW328" i="14"/>
  <c r="AU328" i="14"/>
  <c r="AT328" i="14"/>
  <c r="AS328" i="14"/>
  <c r="AR328" i="14"/>
  <c r="T328" i="14"/>
  <c r="BK327" i="14"/>
  <c r="BK328" i="14" s="1"/>
  <c r="BF327" i="14"/>
  <c r="BF328" i="14" s="1"/>
  <c r="BA327" i="14"/>
  <c r="BA328" i="14" s="1"/>
  <c r="AX327" i="14"/>
  <c r="AX328" i="14" s="1"/>
  <c r="AQ327" i="14"/>
  <c r="AQ328" i="14" s="1"/>
  <c r="CF328" i="14" l="1"/>
  <c r="AV327" i="14"/>
  <c r="AV328" i="14" s="1"/>
  <c r="T314" i="14"/>
  <c r="BL351" i="14" l="1"/>
  <c r="CG351" i="14" s="1"/>
  <c r="CF351" i="14" s="1"/>
  <c r="BF351" i="14"/>
  <c r="BB351" i="14" s="1"/>
  <c r="BF350" i="14"/>
  <c r="BB350" i="14" s="1"/>
  <c r="BA350" i="14" s="1"/>
  <c r="AR354" i="14"/>
  <c r="AQ354" i="14" s="1"/>
  <c r="AR353" i="14"/>
  <c r="AQ353" i="14" s="1"/>
  <c r="AQ351" i="14"/>
  <c r="BG349" i="14"/>
  <c r="BK348" i="14"/>
  <c r="BF348" i="14"/>
  <c r="BA348" i="14"/>
  <c r="BK347" i="14"/>
  <c r="BF347" i="14"/>
  <c r="BA347" i="14"/>
  <c r="BL346" i="14"/>
  <c r="CG346" i="14" s="1"/>
  <c r="CF346" i="14" s="1"/>
  <c r="BG346" i="14"/>
  <c r="BB346" i="14"/>
  <c r="BF353" i="14" l="1"/>
  <c r="BA346" i="14"/>
  <c r="BA353" i="14"/>
  <c r="BK346" i="14"/>
  <c r="BF346" i="14"/>
  <c r="BF349" i="14"/>
  <c r="AW353" i="14"/>
  <c r="AV353" i="14" s="1"/>
  <c r="BK351" i="14"/>
  <c r="BK354" i="14" s="1"/>
  <c r="BL350" i="14"/>
  <c r="CG350" i="14" s="1"/>
  <c r="CF350" i="14" s="1"/>
  <c r="BL354" i="14"/>
  <c r="CG354" i="14" s="1"/>
  <c r="CF354" i="14" s="1"/>
  <c r="BB354" i="14"/>
  <c r="BA351" i="14"/>
  <c r="BA354" i="14" s="1"/>
  <c r="BB353" i="14"/>
  <c r="BF354" i="14"/>
  <c r="BB349" i="14"/>
  <c r="AW354" i="14"/>
  <c r="AV354" i="14" s="1"/>
  <c r="AR346" i="14"/>
  <c r="AQ347" i="14"/>
  <c r="AW350" i="14"/>
  <c r="AW347" i="14"/>
  <c r="AW351" i="14"/>
  <c r="AV351" i="14" s="1"/>
  <c r="BK350" i="14" l="1"/>
  <c r="BK353" i="14" s="1"/>
  <c r="BA349" i="14"/>
  <c r="BL353" i="14"/>
  <c r="CG353" i="14" s="1"/>
  <c r="CF353" i="14" s="1"/>
  <c r="BL349" i="14"/>
  <c r="CG349" i="14" s="1"/>
  <c r="CF349" i="14" s="1"/>
  <c r="AV350" i="14"/>
  <c r="AV349" i="14" s="1"/>
  <c r="AW349" i="14"/>
  <c r="AV347" i="14"/>
  <c r="AR349" i="14"/>
  <c r="AQ350" i="14"/>
  <c r="AQ349" i="14" s="1"/>
  <c r="AQ348" i="14"/>
  <c r="AQ346" i="14" s="1"/>
  <c r="AW348" i="14"/>
  <c r="AV348" i="14" s="1"/>
  <c r="BO314" i="14"/>
  <c r="BN314" i="14"/>
  <c r="CI314" i="14" s="1"/>
  <c r="BM314" i="14"/>
  <c r="CH314" i="14" s="1"/>
  <c r="BC314" i="14"/>
  <c r="AU314" i="14"/>
  <c r="AT314" i="14"/>
  <c r="AR314" i="14"/>
  <c r="AS314" i="14"/>
  <c r="BK349" i="14" l="1"/>
  <c r="AW346" i="14"/>
  <c r="AV346" i="14"/>
  <c r="U242" i="14" l="1"/>
  <c r="T242" i="14"/>
  <c r="U230" i="14"/>
  <c r="T230" i="14"/>
  <c r="U220" i="14"/>
  <c r="T220" i="14"/>
  <c r="U203" i="14"/>
  <c r="T203" i="14"/>
  <c r="U195" i="14"/>
  <c r="U177" i="14"/>
  <c r="T177" i="14"/>
  <c r="U159" i="14"/>
  <c r="T159" i="14"/>
  <c r="U151" i="14"/>
  <c r="T151" i="14"/>
  <c r="U137" i="14"/>
  <c r="T137" i="14"/>
  <c r="U128" i="14"/>
  <c r="T128" i="14"/>
  <c r="U114" i="14"/>
  <c r="T114" i="14"/>
  <c r="U94" i="14"/>
  <c r="T94" i="14"/>
  <c r="U79" i="14"/>
  <c r="T79" i="14"/>
  <c r="U39" i="14"/>
  <c r="T39" i="14"/>
  <c r="U20" i="14"/>
  <c r="T20" i="14"/>
  <c r="U8" i="14"/>
  <c r="T8" i="14"/>
  <c r="T6" i="14"/>
  <c r="U6" i="14"/>
  <c r="U258" i="14" l="1"/>
  <c r="T258" i="14"/>
  <c r="BK282" i="14" l="1"/>
  <c r="BK281" i="14"/>
  <c r="BK279" i="14"/>
  <c r="BL277" i="14"/>
  <c r="CG277" i="14" s="1"/>
  <c r="CF277" i="14" s="1"/>
  <c r="BK276" i="14"/>
  <c r="BK275" i="14"/>
  <c r="BL274" i="14"/>
  <c r="CG274" i="14" s="1"/>
  <c r="CF274" i="14" s="1"/>
  <c r="BK273" i="14"/>
  <c r="BK272" i="14"/>
  <c r="BL271" i="14"/>
  <c r="CG271" i="14" s="1"/>
  <c r="CF271" i="14" s="1"/>
  <c r="BK270" i="14"/>
  <c r="BK269" i="14"/>
  <c r="BL268" i="14"/>
  <c r="CG268" i="14" s="1"/>
  <c r="CF268" i="14" s="1"/>
  <c r="BK267" i="14" l="1"/>
  <c r="BK274" i="14"/>
  <c r="BK271" i="14"/>
  <c r="BK280" i="14"/>
  <c r="BL280" i="14"/>
  <c r="CG280" i="14" s="1"/>
  <c r="CF280" i="14" s="1"/>
  <c r="BK268" i="14"/>
  <c r="BK278" i="14"/>
  <c r="BK277" i="14" s="1"/>
  <c r="BK266" i="14" l="1"/>
  <c r="BK265" i="14" s="1"/>
  <c r="DH265" i="14" s="1"/>
  <c r="DF265" i="14" s="1"/>
  <c r="AX312" i="14"/>
  <c r="AV312" i="14" s="1"/>
  <c r="AX311" i="14"/>
  <c r="AX310" i="14"/>
  <c r="BL314" i="14" l="1"/>
  <c r="CG314" i="14" s="1"/>
  <c r="CF314" i="14" s="1"/>
  <c r="AZ314" i="14"/>
  <c r="AY314" i="14"/>
  <c r="AX314" i="14"/>
  <c r="AW314" i="14"/>
  <c r="BO293" i="14"/>
  <c r="BN293" i="14"/>
  <c r="CI293" i="14" s="1"/>
  <c r="BM293" i="14"/>
  <c r="CH293" i="14" s="1"/>
  <c r="BK312" i="14" l="1"/>
  <c r="BA312" i="14"/>
  <c r="AQ312" i="14"/>
  <c r="BK311" i="14" l="1"/>
  <c r="BF311" i="14"/>
  <c r="BA311" i="14"/>
  <c r="AV311" i="14"/>
  <c r="AQ311" i="14"/>
  <c r="BK310" i="14"/>
  <c r="BF310" i="14"/>
  <c r="BA310" i="14"/>
  <c r="AV310" i="14"/>
  <c r="AQ310" i="14"/>
  <c r="BO307" i="14"/>
  <c r="BO317" i="14" s="1"/>
  <c r="BO331" i="14" s="1"/>
  <c r="BN307" i="14"/>
  <c r="BJ307" i="14"/>
  <c r="BJ317" i="14" s="1"/>
  <c r="BJ331" i="14" s="1"/>
  <c r="BI307" i="14"/>
  <c r="BI317" i="14" s="1"/>
  <c r="BI331" i="14" s="1"/>
  <c r="BE307" i="14"/>
  <c r="BE317" i="14" s="1"/>
  <c r="BE331" i="14" s="1"/>
  <c r="BD307" i="14"/>
  <c r="BD317" i="14" s="1"/>
  <c r="BD331" i="14" s="1"/>
  <c r="AU307" i="14"/>
  <c r="AU317" i="14" s="1"/>
  <c r="AU331" i="14" s="1"/>
  <c r="AT307" i="14"/>
  <c r="AT317" i="14" s="1"/>
  <c r="AT331" i="14" s="1"/>
  <c r="AP306" i="14"/>
  <c r="AX304" i="14"/>
  <c r="AZ303" i="14"/>
  <c r="AY303" i="14"/>
  <c r="AX303" i="14"/>
  <c r="AW303" i="14"/>
  <c r="BM302" i="14"/>
  <c r="CH302" i="14" s="1"/>
  <c r="CF302" i="14" s="1"/>
  <c r="BK302" i="14"/>
  <c r="BH302" i="14"/>
  <c r="BF302" i="14"/>
  <c r="BC302" i="14"/>
  <c r="BA302" i="14"/>
  <c r="AZ302" i="14"/>
  <c r="AY302" i="14"/>
  <c r="AW302" i="14"/>
  <c r="AS302" i="14"/>
  <c r="AQ302" i="14"/>
  <c r="AZ301" i="14"/>
  <c r="AY301" i="14"/>
  <c r="AX301" i="14"/>
  <c r="AW301" i="14"/>
  <c r="AZ300" i="14"/>
  <c r="AY300" i="14"/>
  <c r="AX300" i="14"/>
  <c r="AW300" i="14"/>
  <c r="BM299" i="14"/>
  <c r="CH299" i="14" s="1"/>
  <c r="CF299" i="14" s="1"/>
  <c r="BK299" i="14"/>
  <c r="BH299" i="14"/>
  <c r="BF299" i="14"/>
  <c r="BC299" i="14"/>
  <c r="BA299" i="14"/>
  <c r="AZ299" i="14"/>
  <c r="AY299" i="14"/>
  <c r="AW299" i="14"/>
  <c r="AS299" i="14"/>
  <c r="AX299" i="14" s="1"/>
  <c r="AQ299" i="14"/>
  <c r="BM298" i="14"/>
  <c r="CH298" i="14" s="1"/>
  <c r="CF298" i="14" s="1"/>
  <c r="BK298" i="14"/>
  <c r="BH298" i="14"/>
  <c r="BF298" i="14"/>
  <c r="BC298" i="14"/>
  <c r="BA298" i="14"/>
  <c r="AZ298" i="14"/>
  <c r="AY298" i="14"/>
  <c r="AW298" i="14"/>
  <c r="AS298" i="14"/>
  <c r="AQ298" i="14"/>
  <c r="BM297" i="14"/>
  <c r="BK297" i="14"/>
  <c r="BH297" i="14"/>
  <c r="BF297" i="14"/>
  <c r="BC297" i="14"/>
  <c r="BC307" i="14" s="1"/>
  <c r="BC317" i="14" s="1"/>
  <c r="BC331" i="14" s="1"/>
  <c r="BA297" i="14"/>
  <c r="AZ297" i="14"/>
  <c r="AZ307" i="14" s="1"/>
  <c r="AZ317" i="14" s="1"/>
  <c r="AZ331" i="14" s="1"/>
  <c r="AY297" i="14"/>
  <c r="AY307" i="14" s="1"/>
  <c r="AY317" i="14" s="1"/>
  <c r="AY331" i="14" s="1"/>
  <c r="AW297" i="14"/>
  <c r="AS297" i="14"/>
  <c r="AS307" i="14" s="1"/>
  <c r="AS317" i="14" s="1"/>
  <c r="AS331" i="14" s="1"/>
  <c r="AQ297" i="14"/>
  <c r="AZ296" i="14"/>
  <c r="AY296" i="14"/>
  <c r="AW296" i="14"/>
  <c r="BF282" i="14"/>
  <c r="BA282" i="14"/>
  <c r="AQ282" i="14"/>
  <c r="BF281" i="14"/>
  <c r="BA281" i="14"/>
  <c r="AQ281" i="14"/>
  <c r="BG280" i="14"/>
  <c r="BF279" i="14"/>
  <c r="BA279" i="14"/>
  <c r="AQ279" i="14"/>
  <c r="BF278" i="14"/>
  <c r="BA278" i="14"/>
  <c r="AQ278" i="14"/>
  <c r="BG277" i="14"/>
  <c r="BF276" i="14"/>
  <c r="BA276" i="14"/>
  <c r="AQ276" i="14"/>
  <c r="BF275" i="14"/>
  <c r="BA275" i="14"/>
  <c r="AQ275" i="14"/>
  <c r="BG274" i="14"/>
  <c r="BF273" i="14"/>
  <c r="BA273" i="14"/>
  <c r="BF272" i="14"/>
  <c r="BA272" i="14"/>
  <c r="BG271" i="14"/>
  <c r="BF270" i="14"/>
  <c r="BA270" i="14"/>
  <c r="AQ270" i="14"/>
  <c r="BF269" i="14"/>
  <c r="BA269" i="14"/>
  <c r="BG268" i="14"/>
  <c r="BL293" i="14"/>
  <c r="CG293" i="14" s="1"/>
  <c r="CF293" i="14" s="1"/>
  <c r="BG267" i="14"/>
  <c r="BG293" i="14" s="1"/>
  <c r="BG266" i="14"/>
  <c r="BO261" i="14"/>
  <c r="BN261" i="14"/>
  <c r="CI261" i="14" s="1"/>
  <c r="BM261" i="14"/>
  <c r="CH261" i="14" s="1"/>
  <c r="BL261" i="14"/>
  <c r="CG261" i="14" s="1"/>
  <c r="BJ261" i="14"/>
  <c r="BI261" i="14"/>
  <c r="BH261" i="14"/>
  <c r="BG261" i="14"/>
  <c r="BE261" i="14"/>
  <c r="BD261" i="14"/>
  <c r="BC261" i="14"/>
  <c r="BB261" i="14"/>
  <c r="AU261" i="14"/>
  <c r="AT261" i="14"/>
  <c r="AY261" i="14" s="1"/>
  <c r="AS261" i="14"/>
  <c r="AX261" i="14" s="1"/>
  <c r="AR261" i="14"/>
  <c r="AW261" i="14" s="1"/>
  <c r="BK259" i="14"/>
  <c r="BF259" i="14"/>
  <c r="BA259" i="14"/>
  <c r="AZ259" i="14"/>
  <c r="AQ259" i="14"/>
  <c r="H258" i="14"/>
  <c r="G258" i="14"/>
  <c r="F258" i="14"/>
  <c r="D258" i="14"/>
  <c r="C258" i="14"/>
  <c r="B258" i="14"/>
  <c r="BK257" i="14"/>
  <c r="DH257" i="14" s="1"/>
  <c r="BF257" i="14"/>
  <c r="BA257" i="14"/>
  <c r="AZ257" i="14"/>
  <c r="AQ257" i="14"/>
  <c r="BK256" i="14"/>
  <c r="DH256" i="14" s="1"/>
  <c r="BF256" i="14"/>
  <c r="BA256" i="14"/>
  <c r="AZ256" i="14"/>
  <c r="AQ256" i="14"/>
  <c r="BK255" i="14"/>
  <c r="DH255" i="14" s="1"/>
  <c r="BF255" i="14"/>
  <c r="BA255" i="14"/>
  <c r="AZ255" i="14"/>
  <c r="AQ255" i="14"/>
  <c r="BK254" i="14"/>
  <c r="DH254" i="14" s="1"/>
  <c r="BF254" i="14"/>
  <c r="BA254" i="14"/>
  <c r="AZ254" i="14"/>
  <c r="AQ254" i="14"/>
  <c r="BK253" i="14"/>
  <c r="DH253" i="14" s="1"/>
  <c r="BF253" i="14"/>
  <c r="BA253" i="14"/>
  <c r="AZ253" i="14"/>
  <c r="AQ253" i="14"/>
  <c r="BK252" i="14"/>
  <c r="DH252" i="14" s="1"/>
  <c r="BF252" i="14"/>
  <c r="BA252" i="14"/>
  <c r="AZ252" i="14"/>
  <c r="AQ252" i="14"/>
  <c r="BK251" i="14"/>
  <c r="DH251" i="14" s="1"/>
  <c r="BF251" i="14"/>
  <c r="BA251" i="14"/>
  <c r="AZ251" i="14"/>
  <c r="AQ251" i="14"/>
  <c r="BK250" i="14"/>
  <c r="DH250" i="14" s="1"/>
  <c r="BF250" i="14"/>
  <c r="BA250" i="14"/>
  <c r="AZ250" i="14"/>
  <c r="AQ250" i="14"/>
  <c r="BK249" i="14"/>
  <c r="DH249" i="14" s="1"/>
  <c r="BF249" i="14"/>
  <c r="BA249" i="14"/>
  <c r="AZ249" i="14"/>
  <c r="AQ249" i="14"/>
  <c r="BK248" i="14"/>
  <c r="DH248" i="14" s="1"/>
  <c r="BF248" i="14"/>
  <c r="BA248" i="14"/>
  <c r="AZ248" i="14"/>
  <c r="AQ248" i="14"/>
  <c r="BK247" i="14"/>
  <c r="DH247" i="14" s="1"/>
  <c r="BF247" i="14"/>
  <c r="BA247" i="14"/>
  <c r="AZ247" i="14"/>
  <c r="AQ247" i="14"/>
  <c r="BK246" i="14"/>
  <c r="DH246" i="14" s="1"/>
  <c r="BF246" i="14"/>
  <c r="BA246" i="14"/>
  <c r="AZ246" i="14"/>
  <c r="AQ246" i="14"/>
  <c r="BK245" i="14"/>
  <c r="DH245" i="14" s="1"/>
  <c r="BF245" i="14"/>
  <c r="BA245" i="14"/>
  <c r="AZ245" i="14"/>
  <c r="AQ245" i="14"/>
  <c r="BK244" i="14"/>
  <c r="DH244" i="14" s="1"/>
  <c r="BF244" i="14"/>
  <c r="BA244" i="14"/>
  <c r="AZ244" i="14"/>
  <c r="AQ244" i="14"/>
  <c r="BK243" i="14"/>
  <c r="DH243" i="14" s="1"/>
  <c r="BF243" i="14"/>
  <c r="BA243" i="14"/>
  <c r="AZ243" i="14"/>
  <c r="AQ243" i="14"/>
  <c r="BO242" i="14"/>
  <c r="BN242" i="14"/>
  <c r="BM242" i="14"/>
  <c r="BL242" i="14"/>
  <c r="BJ242" i="14"/>
  <c r="BI242" i="14"/>
  <c r="BH242" i="14"/>
  <c r="BG242" i="14"/>
  <c r="BE242" i="14"/>
  <c r="BD242" i="14"/>
  <c r="BC242" i="14"/>
  <c r="BB242" i="14"/>
  <c r="AU242" i="14"/>
  <c r="AT242" i="14"/>
  <c r="AY242" i="14" s="1"/>
  <c r="AS242" i="14"/>
  <c r="AX242" i="14" s="1"/>
  <c r="AR242" i="14"/>
  <c r="AW242" i="14" s="1"/>
  <c r="BM230" i="14"/>
  <c r="BF241" i="14"/>
  <c r="AZ241" i="14"/>
  <c r="BK240" i="14"/>
  <c r="DH240" i="14" s="1"/>
  <c r="BF240" i="14"/>
  <c r="BA240" i="14"/>
  <c r="AZ240" i="14"/>
  <c r="AQ240" i="14"/>
  <c r="BK239" i="14"/>
  <c r="DH239" i="14" s="1"/>
  <c r="BF239" i="14"/>
  <c r="BA239" i="14"/>
  <c r="CL239" i="14" s="1"/>
  <c r="AZ239" i="14"/>
  <c r="AQ239" i="14"/>
  <c r="BK238" i="14"/>
  <c r="DH238" i="14" s="1"/>
  <c r="BF238" i="14"/>
  <c r="BA238" i="14"/>
  <c r="AZ238" i="14"/>
  <c r="AQ238" i="14"/>
  <c r="BK237" i="14"/>
  <c r="DH237" i="14" s="1"/>
  <c r="BF237" i="14"/>
  <c r="BA237" i="14"/>
  <c r="AZ237" i="14"/>
  <c r="AQ237" i="14"/>
  <c r="BK236" i="14"/>
  <c r="DH236" i="14" s="1"/>
  <c r="BF236" i="14"/>
  <c r="BA236" i="14"/>
  <c r="AZ236" i="14"/>
  <c r="AQ236" i="14"/>
  <c r="BK235" i="14"/>
  <c r="DH235" i="14" s="1"/>
  <c r="BF235" i="14"/>
  <c r="BA235" i="14"/>
  <c r="AZ235" i="14"/>
  <c r="AQ235" i="14"/>
  <c r="BK234" i="14"/>
  <c r="DH234" i="14" s="1"/>
  <c r="BF234" i="14"/>
  <c r="BA234" i="14"/>
  <c r="AZ234" i="14"/>
  <c r="AQ234" i="14"/>
  <c r="BK233" i="14"/>
  <c r="DH233" i="14" s="1"/>
  <c r="BF233" i="14"/>
  <c r="BA233" i="14"/>
  <c r="AZ233" i="14"/>
  <c r="AQ233" i="14"/>
  <c r="BK232" i="14"/>
  <c r="DH232" i="14" s="1"/>
  <c r="BF232" i="14"/>
  <c r="BA232" i="14"/>
  <c r="AZ232" i="14"/>
  <c r="AQ232" i="14"/>
  <c r="BK231" i="14"/>
  <c r="DH231" i="14" s="1"/>
  <c r="BF231" i="14"/>
  <c r="BA231" i="14"/>
  <c r="AZ231" i="14"/>
  <c r="AQ231" i="14"/>
  <c r="BO230" i="14"/>
  <c r="BN230" i="14"/>
  <c r="BL230" i="14"/>
  <c r="BJ230" i="14"/>
  <c r="BI230" i="14"/>
  <c r="BH230" i="14"/>
  <c r="BG230" i="14"/>
  <c r="BE230" i="14"/>
  <c r="BD230" i="14"/>
  <c r="BB230" i="14"/>
  <c r="AU230" i="14"/>
  <c r="AT230" i="14"/>
  <c r="AY230" i="14" s="1"/>
  <c r="AR230" i="14"/>
  <c r="AW230" i="14" s="1"/>
  <c r="BK229" i="14"/>
  <c r="DH229" i="14" s="1"/>
  <c r="BF229" i="14"/>
  <c r="BA229" i="14"/>
  <c r="AZ229" i="14"/>
  <c r="AQ229" i="14"/>
  <c r="BK228" i="14"/>
  <c r="DH228" i="14" s="1"/>
  <c r="BF228" i="14"/>
  <c r="BA228" i="14"/>
  <c r="AZ228" i="14"/>
  <c r="AQ228" i="14"/>
  <c r="BK227" i="14"/>
  <c r="DH227" i="14" s="1"/>
  <c r="BF227" i="14"/>
  <c r="BA227" i="14"/>
  <c r="CL227" i="14" s="1"/>
  <c r="CM227" i="14" s="1"/>
  <c r="DN227" i="14" s="1"/>
  <c r="AZ227" i="14"/>
  <c r="AT220" i="14"/>
  <c r="AY220" i="14" s="1"/>
  <c r="AQ227" i="14"/>
  <c r="BK226" i="14"/>
  <c r="DH226" i="14" s="1"/>
  <c r="BF226" i="14"/>
  <c r="BA226" i="14"/>
  <c r="AZ226" i="14"/>
  <c r="AQ226" i="14"/>
  <c r="BF225" i="14"/>
  <c r="AZ225" i="14"/>
  <c r="BF224" i="14"/>
  <c r="AZ224" i="14"/>
  <c r="BK223" i="14"/>
  <c r="DH223" i="14" s="1"/>
  <c r="BF223" i="14"/>
  <c r="BA223" i="14"/>
  <c r="AZ223" i="14"/>
  <c r="AQ223" i="14"/>
  <c r="BK222" i="14"/>
  <c r="DH222" i="14" s="1"/>
  <c r="BF222" i="14"/>
  <c r="BA222" i="14"/>
  <c r="AZ222" i="14"/>
  <c r="AQ222" i="14"/>
  <c r="BK221" i="14"/>
  <c r="DH221" i="14" s="1"/>
  <c r="BF221" i="14"/>
  <c r="BA221" i="14"/>
  <c r="CL221" i="14" s="1"/>
  <c r="AZ221" i="14"/>
  <c r="AQ221" i="14"/>
  <c r="BO220" i="14"/>
  <c r="BN220" i="14"/>
  <c r="BL220" i="14"/>
  <c r="BJ220" i="14"/>
  <c r="BI220" i="14"/>
  <c r="BH220" i="14"/>
  <c r="BG220" i="14"/>
  <c r="BE220" i="14"/>
  <c r="BD220" i="14"/>
  <c r="BB220" i="14"/>
  <c r="AU220" i="14"/>
  <c r="AR220" i="14"/>
  <c r="AW220" i="14" s="1"/>
  <c r="BK219" i="14"/>
  <c r="DH219" i="14" s="1"/>
  <c r="BF219" i="14"/>
  <c r="BA219" i="14"/>
  <c r="AZ219" i="14"/>
  <c r="AQ219" i="14"/>
  <c r="BK218" i="14"/>
  <c r="DH218" i="14" s="1"/>
  <c r="BF218" i="14"/>
  <c r="BA218" i="14"/>
  <c r="AZ218" i="14"/>
  <c r="AQ218" i="14"/>
  <c r="BK217" i="14"/>
  <c r="DH217" i="14" s="1"/>
  <c r="BF217" i="14"/>
  <c r="BA217" i="14"/>
  <c r="AZ217" i="14"/>
  <c r="AQ217" i="14"/>
  <c r="BK216" i="14"/>
  <c r="DH216" i="14" s="1"/>
  <c r="BF216" i="14"/>
  <c r="BA216" i="14"/>
  <c r="AZ216" i="14"/>
  <c r="AQ216" i="14"/>
  <c r="BK215" i="14"/>
  <c r="DH215" i="14" s="1"/>
  <c r="BF215" i="14"/>
  <c r="BA215" i="14"/>
  <c r="AZ215" i="14"/>
  <c r="AQ215" i="14"/>
  <c r="BK214" i="14"/>
  <c r="DH214" i="14" s="1"/>
  <c r="BF214" i="14"/>
  <c r="BA214" i="14"/>
  <c r="AZ214" i="14"/>
  <c r="AQ214" i="14"/>
  <c r="BK213" i="14"/>
  <c r="DH213" i="14" s="1"/>
  <c r="BF213" i="14"/>
  <c r="BA213" i="14"/>
  <c r="AZ213" i="14"/>
  <c r="AQ213" i="14"/>
  <c r="BK212" i="14"/>
  <c r="DH212" i="14" s="1"/>
  <c r="BF212" i="14"/>
  <c r="BA212" i="14"/>
  <c r="AZ212" i="14"/>
  <c r="AQ212" i="14"/>
  <c r="BK211" i="14"/>
  <c r="DH211" i="14" s="1"/>
  <c r="BF211" i="14"/>
  <c r="BA211" i="14"/>
  <c r="AZ211" i="14"/>
  <c r="AQ211" i="14"/>
  <c r="BK210" i="14"/>
  <c r="DH210" i="14" s="1"/>
  <c r="BF210" i="14"/>
  <c r="BA210" i="14"/>
  <c r="AZ210" i="14"/>
  <c r="AQ210" i="14"/>
  <c r="BK209" i="14"/>
  <c r="DH209" i="14" s="1"/>
  <c r="BF209" i="14"/>
  <c r="BA209" i="14"/>
  <c r="CL209" i="14" s="1"/>
  <c r="CM209" i="14" s="1"/>
  <c r="DN209" i="14" s="1"/>
  <c r="AZ209" i="14"/>
  <c r="AQ209" i="14"/>
  <c r="BK208" i="14"/>
  <c r="DH208" i="14" s="1"/>
  <c r="BF208" i="14"/>
  <c r="BA208" i="14"/>
  <c r="AZ208" i="14"/>
  <c r="AQ208" i="14"/>
  <c r="BK207" i="14"/>
  <c r="DH207" i="14" s="1"/>
  <c r="BF207" i="14"/>
  <c r="BA207" i="14"/>
  <c r="AZ207" i="14"/>
  <c r="AQ207" i="14"/>
  <c r="BK206" i="14"/>
  <c r="DH206" i="14" s="1"/>
  <c r="BF206" i="14"/>
  <c r="BA206" i="14"/>
  <c r="AZ206" i="14"/>
  <c r="AQ206" i="14"/>
  <c r="BK205" i="14"/>
  <c r="DH205" i="14" s="1"/>
  <c r="BF205" i="14"/>
  <c r="BA205" i="14"/>
  <c r="AZ205" i="14"/>
  <c r="AQ205" i="14"/>
  <c r="BK204" i="14"/>
  <c r="DH204" i="14" s="1"/>
  <c r="BF204" i="14"/>
  <c r="BA204" i="14"/>
  <c r="CL204" i="14" s="1"/>
  <c r="AZ204" i="14"/>
  <c r="AQ204" i="14"/>
  <c r="BO203" i="14"/>
  <c r="BN203" i="14"/>
  <c r="BM203" i="14"/>
  <c r="BL203" i="14"/>
  <c r="BJ203" i="14"/>
  <c r="BI203" i="14"/>
  <c r="BH203" i="14"/>
  <c r="BG203" i="14"/>
  <c r="BE203" i="14"/>
  <c r="BD203" i="14"/>
  <c r="BC203" i="14"/>
  <c r="BB203" i="14"/>
  <c r="AU203" i="14"/>
  <c r="AT203" i="14"/>
  <c r="AY203" i="14" s="1"/>
  <c r="AS203" i="14"/>
  <c r="AX203" i="14" s="1"/>
  <c r="AR203" i="14"/>
  <c r="AW203" i="14" s="1"/>
  <c r="BK202" i="14"/>
  <c r="DH202" i="14" s="1"/>
  <c r="BF202" i="14"/>
  <c r="BA202" i="14"/>
  <c r="AZ202" i="14"/>
  <c r="AQ202" i="14"/>
  <c r="BK201" i="14"/>
  <c r="DH201" i="14" s="1"/>
  <c r="BF201" i="14"/>
  <c r="BA201" i="14"/>
  <c r="AZ201" i="14"/>
  <c r="AQ201" i="14"/>
  <c r="BK200" i="14"/>
  <c r="DH200" i="14" s="1"/>
  <c r="BF200" i="14"/>
  <c r="BA200" i="14"/>
  <c r="AZ200" i="14"/>
  <c r="AQ200" i="14"/>
  <c r="BF199" i="14"/>
  <c r="AZ199" i="14"/>
  <c r="BK198" i="14"/>
  <c r="DH198" i="14" s="1"/>
  <c r="BF198" i="14"/>
  <c r="BA198" i="14"/>
  <c r="AZ198" i="14"/>
  <c r="AQ198" i="14"/>
  <c r="BK197" i="14"/>
  <c r="DH197" i="14" s="1"/>
  <c r="BF197" i="14"/>
  <c r="BA197" i="14"/>
  <c r="AZ197" i="14"/>
  <c r="AQ197" i="14"/>
  <c r="BK196" i="14"/>
  <c r="DH196" i="14" s="1"/>
  <c r="BF196" i="14"/>
  <c r="BA196" i="14"/>
  <c r="AZ196" i="14"/>
  <c r="AQ196" i="14"/>
  <c r="BO195" i="14"/>
  <c r="BN195" i="14"/>
  <c r="BL195" i="14"/>
  <c r="BJ195" i="14"/>
  <c r="BI195" i="14"/>
  <c r="BH195" i="14"/>
  <c r="BG195" i="14"/>
  <c r="BE195" i="14"/>
  <c r="BD195" i="14"/>
  <c r="BB195" i="14"/>
  <c r="AU195" i="14"/>
  <c r="AT195" i="14"/>
  <c r="AY195" i="14" s="1"/>
  <c r="AR195" i="14"/>
  <c r="AW195" i="14" s="1"/>
  <c r="BK194" i="14"/>
  <c r="DH194" i="14" s="1"/>
  <c r="BF194" i="14"/>
  <c r="BA194" i="14"/>
  <c r="AZ194" i="14"/>
  <c r="AQ194" i="14"/>
  <c r="BK193" i="14"/>
  <c r="DH193" i="14" s="1"/>
  <c r="BF193" i="14"/>
  <c r="BA193" i="14"/>
  <c r="AZ193" i="14"/>
  <c r="AQ193" i="14"/>
  <c r="BF192" i="14"/>
  <c r="AZ192" i="14"/>
  <c r="BK191" i="14"/>
  <c r="DH191" i="14" s="1"/>
  <c r="BF191" i="14"/>
  <c r="BA191" i="14"/>
  <c r="AZ191" i="14"/>
  <c r="AQ191" i="14"/>
  <c r="BK190" i="14"/>
  <c r="DH190" i="14" s="1"/>
  <c r="BF190" i="14"/>
  <c r="BA190" i="14"/>
  <c r="AZ190" i="14"/>
  <c r="AQ190" i="14"/>
  <c r="BK189" i="14"/>
  <c r="DH189" i="14" s="1"/>
  <c r="BF189" i="14"/>
  <c r="BA189" i="14"/>
  <c r="AZ189" i="14"/>
  <c r="AQ189" i="14"/>
  <c r="BK188" i="14"/>
  <c r="DH188" i="14" s="1"/>
  <c r="BF188" i="14"/>
  <c r="BA188" i="14"/>
  <c r="AZ188" i="14"/>
  <c r="AQ188" i="14"/>
  <c r="BF187" i="14"/>
  <c r="AZ187" i="14"/>
  <c r="BK186" i="14"/>
  <c r="DH186" i="14" s="1"/>
  <c r="BF186" i="14"/>
  <c r="BA186" i="14"/>
  <c r="AZ186" i="14"/>
  <c r="AQ186" i="14"/>
  <c r="BK185" i="14"/>
  <c r="DH185" i="14" s="1"/>
  <c r="BF185" i="14"/>
  <c r="AZ185" i="14"/>
  <c r="BK184" i="14"/>
  <c r="DH184" i="14" s="1"/>
  <c r="BF184" i="14"/>
  <c r="BA184" i="14"/>
  <c r="AZ184" i="14"/>
  <c r="AQ184" i="14"/>
  <c r="L184" i="14"/>
  <c r="BK183" i="14"/>
  <c r="DH183" i="14" s="1"/>
  <c r="BF183" i="14"/>
  <c r="BA183" i="14"/>
  <c r="AZ183" i="14"/>
  <c r="AQ183" i="14"/>
  <c r="BK182" i="14"/>
  <c r="DH182" i="14" s="1"/>
  <c r="BF182" i="14"/>
  <c r="BA182" i="14"/>
  <c r="AZ182" i="14"/>
  <c r="AQ182" i="14"/>
  <c r="BK181" i="14"/>
  <c r="DH181" i="14" s="1"/>
  <c r="BF181" i="14"/>
  <c r="BA181" i="14"/>
  <c r="AZ181" i="14"/>
  <c r="AQ181" i="14"/>
  <c r="L181" i="14"/>
  <c r="BK180" i="14"/>
  <c r="DH180" i="14" s="1"/>
  <c r="BF180" i="14"/>
  <c r="BA180" i="14"/>
  <c r="AZ180" i="14"/>
  <c r="AQ180" i="14"/>
  <c r="BK179" i="14"/>
  <c r="DH179" i="14" s="1"/>
  <c r="BF179" i="14"/>
  <c r="BA179" i="14"/>
  <c r="AZ179" i="14"/>
  <c r="AQ179" i="14"/>
  <c r="BK178" i="14"/>
  <c r="DH178" i="14" s="1"/>
  <c r="BF178" i="14"/>
  <c r="BA178" i="14"/>
  <c r="CL178" i="14" s="1"/>
  <c r="AZ178" i="14"/>
  <c r="AQ178" i="14"/>
  <c r="BO177" i="14"/>
  <c r="BN177" i="14"/>
  <c r="BL177" i="14"/>
  <c r="BJ177" i="14"/>
  <c r="BI177" i="14"/>
  <c r="BH177" i="14"/>
  <c r="BG177" i="14"/>
  <c r="BE177" i="14"/>
  <c r="BD177" i="14"/>
  <c r="BB177" i="14"/>
  <c r="AU177" i="14"/>
  <c r="AT177" i="14"/>
  <c r="AY177" i="14" s="1"/>
  <c r="AR177" i="14"/>
  <c r="AW177" i="14" s="1"/>
  <c r="L177" i="14"/>
  <c r="L178" i="14" s="1"/>
  <c r="BK176" i="14"/>
  <c r="DH176" i="14" s="1"/>
  <c r="BF176" i="14"/>
  <c r="BA176" i="14"/>
  <c r="AZ176" i="14"/>
  <c r="AQ176" i="14"/>
  <c r="BK175" i="14"/>
  <c r="DH175" i="14" s="1"/>
  <c r="BF175" i="14"/>
  <c r="BA175" i="14"/>
  <c r="AZ175" i="14"/>
  <c r="AQ175" i="14"/>
  <c r="BK174" i="14"/>
  <c r="DH174" i="14" s="1"/>
  <c r="BF174" i="14"/>
  <c r="BA174" i="14"/>
  <c r="AZ174" i="14"/>
  <c r="AQ174" i="14"/>
  <c r="BK173" i="14"/>
  <c r="DH173" i="14" s="1"/>
  <c r="BF173" i="14"/>
  <c r="BA173" i="14"/>
  <c r="AZ173" i="14"/>
  <c r="AQ173" i="14"/>
  <c r="BK172" i="14"/>
  <c r="DH172" i="14" s="1"/>
  <c r="BF172" i="14"/>
  <c r="BA172" i="14"/>
  <c r="AZ172" i="14"/>
  <c r="AQ172" i="14"/>
  <c r="BK171" i="14"/>
  <c r="DH171" i="14" s="1"/>
  <c r="BF171" i="14"/>
  <c r="BA171" i="14"/>
  <c r="AZ171" i="14"/>
  <c r="AQ171" i="14"/>
  <c r="BK170" i="14"/>
  <c r="DH170" i="14" s="1"/>
  <c r="BF170" i="14"/>
  <c r="AZ170" i="14"/>
  <c r="AQ170" i="14"/>
  <c r="BK169" i="14"/>
  <c r="DH169" i="14" s="1"/>
  <c r="BF169" i="14"/>
  <c r="BA169" i="14"/>
  <c r="AZ169" i="14"/>
  <c r="AQ169" i="14"/>
  <c r="BK168" i="14"/>
  <c r="DH168" i="14" s="1"/>
  <c r="BF168" i="14"/>
  <c r="BA168" i="14"/>
  <c r="AZ168" i="14"/>
  <c r="AQ168" i="14"/>
  <c r="BK167" i="14"/>
  <c r="DH167" i="14" s="1"/>
  <c r="BF167" i="14"/>
  <c r="BA167" i="14"/>
  <c r="AZ167" i="14"/>
  <c r="AQ167" i="14"/>
  <c r="BK166" i="14"/>
  <c r="DH166" i="14" s="1"/>
  <c r="BF166" i="14"/>
  <c r="BA166" i="14"/>
  <c r="AZ166" i="14"/>
  <c r="AQ166" i="14"/>
  <c r="BK165" i="14"/>
  <c r="DH165" i="14" s="1"/>
  <c r="BF165" i="14"/>
  <c r="BA165" i="14"/>
  <c r="AZ165" i="14"/>
  <c r="AQ165" i="14"/>
  <c r="BK164" i="14"/>
  <c r="DH164" i="14" s="1"/>
  <c r="BF164" i="14"/>
  <c r="BA164" i="14"/>
  <c r="AZ164" i="14"/>
  <c r="AQ164" i="14"/>
  <c r="BK163" i="14"/>
  <c r="DH163" i="14" s="1"/>
  <c r="BF163" i="14"/>
  <c r="BA163" i="14"/>
  <c r="AZ163" i="14"/>
  <c r="AQ163" i="14"/>
  <c r="BK162" i="14"/>
  <c r="DH162" i="14" s="1"/>
  <c r="BF162" i="14"/>
  <c r="BA162" i="14"/>
  <c r="AZ162" i="14"/>
  <c r="AQ162" i="14"/>
  <c r="BK161" i="14"/>
  <c r="DH161" i="14" s="1"/>
  <c r="BF161" i="14"/>
  <c r="BA161" i="14"/>
  <c r="AZ161" i="14"/>
  <c r="AQ161" i="14"/>
  <c r="BK160" i="14"/>
  <c r="DH160" i="14" s="1"/>
  <c r="BF160" i="14"/>
  <c r="BA160" i="14"/>
  <c r="CL160" i="14" s="1"/>
  <c r="AZ160" i="14"/>
  <c r="AQ160" i="14"/>
  <c r="BO159" i="14"/>
  <c r="BN159" i="14"/>
  <c r="BM159" i="14"/>
  <c r="BL159" i="14"/>
  <c r="BJ159" i="14"/>
  <c r="BI159" i="14"/>
  <c r="BH159" i="14"/>
  <c r="BG159" i="14"/>
  <c r="BE159" i="14"/>
  <c r="BD159" i="14"/>
  <c r="BB159" i="14"/>
  <c r="AU159" i="14"/>
  <c r="AT159" i="14"/>
  <c r="AY159" i="14" s="1"/>
  <c r="AR159" i="14"/>
  <c r="AW159" i="14" s="1"/>
  <c r="BK158" i="14"/>
  <c r="DH158" i="14" s="1"/>
  <c r="BF158" i="14"/>
  <c r="BA158" i="14"/>
  <c r="AZ158" i="14"/>
  <c r="AQ158" i="14"/>
  <c r="BK157" i="14"/>
  <c r="DH157" i="14" s="1"/>
  <c r="BF157" i="14"/>
  <c r="BA157" i="14"/>
  <c r="AZ157" i="14"/>
  <c r="AQ157" i="14"/>
  <c r="BK156" i="14"/>
  <c r="DH156" i="14" s="1"/>
  <c r="BF156" i="14"/>
  <c r="BA156" i="14"/>
  <c r="AZ156" i="14"/>
  <c r="AQ156" i="14"/>
  <c r="BK155" i="14"/>
  <c r="DH155" i="14" s="1"/>
  <c r="BF155" i="14"/>
  <c r="BA155" i="14"/>
  <c r="AZ155" i="14"/>
  <c r="AQ155" i="14"/>
  <c r="BK154" i="14"/>
  <c r="DH154" i="14" s="1"/>
  <c r="BF154" i="14"/>
  <c r="BA154" i="14"/>
  <c r="AZ154" i="14"/>
  <c r="AQ154" i="14"/>
  <c r="BK153" i="14"/>
  <c r="DH153" i="14" s="1"/>
  <c r="BF153" i="14"/>
  <c r="BA153" i="14"/>
  <c r="AZ153" i="14"/>
  <c r="AQ153" i="14"/>
  <c r="BK152" i="14"/>
  <c r="DH152" i="14" s="1"/>
  <c r="BF152" i="14"/>
  <c r="BA152" i="14"/>
  <c r="CL152" i="14" s="1"/>
  <c r="AZ152" i="14"/>
  <c r="AQ152" i="14"/>
  <c r="BO151" i="14"/>
  <c r="BN151" i="14"/>
  <c r="BM151" i="14"/>
  <c r="BL151" i="14"/>
  <c r="BJ151" i="14"/>
  <c r="BI151" i="14"/>
  <c r="BH151" i="14"/>
  <c r="BG151" i="14"/>
  <c r="BE151" i="14"/>
  <c r="BD151" i="14"/>
  <c r="BC151" i="14"/>
  <c r="BB151" i="14"/>
  <c r="AU151" i="14"/>
  <c r="AT151" i="14"/>
  <c r="AY151" i="14" s="1"/>
  <c r="AS151" i="14"/>
  <c r="AX151" i="14" s="1"/>
  <c r="AR151" i="14"/>
  <c r="AW151" i="14" s="1"/>
  <c r="BK150" i="14"/>
  <c r="DH150" i="14" s="1"/>
  <c r="BF150" i="14"/>
  <c r="BA150" i="14"/>
  <c r="AZ150" i="14"/>
  <c r="AQ150" i="14"/>
  <c r="BF149" i="14"/>
  <c r="AZ149" i="14"/>
  <c r="BF148" i="14"/>
  <c r="BA148" i="14"/>
  <c r="AZ148" i="14"/>
  <c r="AQ148" i="14"/>
  <c r="BK147" i="14"/>
  <c r="DH147" i="14" s="1"/>
  <c r="BF147" i="14"/>
  <c r="BA147" i="14"/>
  <c r="AZ147" i="14"/>
  <c r="AQ147" i="14"/>
  <c r="BK146" i="14"/>
  <c r="DH146" i="14" s="1"/>
  <c r="BF146" i="14"/>
  <c r="BA146" i="14"/>
  <c r="AZ146" i="14"/>
  <c r="AQ146" i="14"/>
  <c r="BK145" i="14"/>
  <c r="DH145" i="14" s="1"/>
  <c r="BF145" i="14"/>
  <c r="BA145" i="14"/>
  <c r="AZ145" i="14"/>
  <c r="AQ145" i="14"/>
  <c r="BK144" i="14"/>
  <c r="DH144" i="14" s="1"/>
  <c r="BF144" i="14"/>
  <c r="BA144" i="14"/>
  <c r="AZ144" i="14"/>
  <c r="AQ144" i="14"/>
  <c r="BK143" i="14"/>
  <c r="DH143" i="14" s="1"/>
  <c r="BF143" i="14"/>
  <c r="BA143" i="14"/>
  <c r="AZ143" i="14"/>
  <c r="AQ143" i="14"/>
  <c r="BK142" i="14"/>
  <c r="DH142" i="14" s="1"/>
  <c r="BF142" i="14"/>
  <c r="BA142" i="14"/>
  <c r="AZ142" i="14"/>
  <c r="AQ142" i="14"/>
  <c r="BK141" i="14"/>
  <c r="DH141" i="14" s="1"/>
  <c r="BF141" i="14"/>
  <c r="BA141" i="14"/>
  <c r="AZ141" i="14"/>
  <c r="AQ141" i="14"/>
  <c r="BK140" i="14"/>
  <c r="DH140" i="14" s="1"/>
  <c r="BF140" i="14"/>
  <c r="BA140" i="14"/>
  <c r="AZ140" i="14"/>
  <c r="AQ140" i="14"/>
  <c r="BK139" i="14"/>
  <c r="DH139" i="14" s="1"/>
  <c r="BF139" i="14"/>
  <c r="BA139" i="14"/>
  <c r="AZ139" i="14"/>
  <c r="AQ139" i="14"/>
  <c r="BK138" i="14"/>
  <c r="DH138" i="14" s="1"/>
  <c r="BF138" i="14"/>
  <c r="BA138" i="14"/>
  <c r="CL138" i="14" s="1"/>
  <c r="AZ138" i="14"/>
  <c r="AQ138" i="14"/>
  <c r="BO137" i="14"/>
  <c r="BN137" i="14"/>
  <c r="BL137" i="14"/>
  <c r="BJ137" i="14"/>
  <c r="BI137" i="14"/>
  <c r="BH137" i="14"/>
  <c r="BG137" i="14"/>
  <c r="BE137" i="14"/>
  <c r="BD137" i="14"/>
  <c r="BB137" i="14"/>
  <c r="AU137" i="14"/>
  <c r="AT137" i="14"/>
  <c r="AY137" i="14" s="1"/>
  <c r="AR137" i="14"/>
  <c r="AW137" i="14" s="1"/>
  <c r="BK136" i="14"/>
  <c r="DH136" i="14" s="1"/>
  <c r="BF136" i="14"/>
  <c r="BA136" i="14"/>
  <c r="AZ136" i="14"/>
  <c r="AQ136" i="14"/>
  <c r="BK135" i="14"/>
  <c r="DH135" i="14" s="1"/>
  <c r="BF135" i="14"/>
  <c r="BA135" i="14"/>
  <c r="AZ135" i="14"/>
  <c r="AQ135" i="14"/>
  <c r="BK134" i="14"/>
  <c r="DH134" i="14" s="1"/>
  <c r="BF134" i="14"/>
  <c r="BA134" i="14"/>
  <c r="AZ134" i="14"/>
  <c r="AQ134" i="14"/>
  <c r="BK133" i="14"/>
  <c r="DH133" i="14" s="1"/>
  <c r="BF133" i="14"/>
  <c r="BA133" i="14"/>
  <c r="AZ133" i="14"/>
  <c r="AQ133" i="14"/>
  <c r="BK132" i="14"/>
  <c r="DH132" i="14" s="1"/>
  <c r="BF132" i="14"/>
  <c r="BA132" i="14"/>
  <c r="AZ132" i="14"/>
  <c r="AQ132" i="14"/>
  <c r="BF131" i="14"/>
  <c r="BA131" i="14"/>
  <c r="AZ131" i="14"/>
  <c r="BK130" i="14"/>
  <c r="DH130" i="14" s="1"/>
  <c r="BF130" i="14"/>
  <c r="BA130" i="14"/>
  <c r="AZ130" i="14"/>
  <c r="AQ130" i="14"/>
  <c r="L130" i="14"/>
  <c r="BK129" i="14"/>
  <c r="DH129" i="14" s="1"/>
  <c r="BF129" i="14"/>
  <c r="BA129" i="14"/>
  <c r="CL129" i="14" s="1"/>
  <c r="AZ129" i="14"/>
  <c r="AQ129" i="14"/>
  <c r="BO128" i="14"/>
  <c r="BN128" i="14"/>
  <c r="BL128" i="14"/>
  <c r="BJ128" i="14"/>
  <c r="BI128" i="14"/>
  <c r="BH128" i="14"/>
  <c r="BG128" i="14"/>
  <c r="BE128" i="14"/>
  <c r="BD128" i="14"/>
  <c r="BC128" i="14"/>
  <c r="BB128" i="14"/>
  <c r="AU128" i="14"/>
  <c r="AT128" i="14"/>
  <c r="AY128" i="14" s="1"/>
  <c r="AS128" i="14"/>
  <c r="AX128" i="14" s="1"/>
  <c r="AR128" i="14"/>
  <c r="AW128" i="14" s="1"/>
  <c r="BK127" i="14"/>
  <c r="DH127" i="14" s="1"/>
  <c r="BF127" i="14"/>
  <c r="BA127" i="14"/>
  <c r="AZ127" i="14"/>
  <c r="AQ127" i="14"/>
  <c r="L127" i="14"/>
  <c r="L133" i="14" s="1"/>
  <c r="BK126" i="14"/>
  <c r="DH126" i="14" s="1"/>
  <c r="BF126" i="14"/>
  <c r="BA126" i="14"/>
  <c r="AZ126" i="14"/>
  <c r="AQ126" i="14"/>
  <c r="BK125" i="14"/>
  <c r="DH125" i="14" s="1"/>
  <c r="BF125" i="14"/>
  <c r="BA125" i="14"/>
  <c r="AZ125" i="14"/>
  <c r="AQ125" i="14"/>
  <c r="BK124" i="14"/>
  <c r="DH124" i="14" s="1"/>
  <c r="BF124" i="14"/>
  <c r="BA124" i="14"/>
  <c r="AZ124" i="14"/>
  <c r="AQ124" i="14"/>
  <c r="BK123" i="14"/>
  <c r="DH123" i="14" s="1"/>
  <c r="BF123" i="14"/>
  <c r="BA123" i="14"/>
  <c r="AZ123" i="14"/>
  <c r="AQ123" i="14"/>
  <c r="BK122" i="14"/>
  <c r="DH122" i="14" s="1"/>
  <c r="BF122" i="14"/>
  <c r="BA122" i="14"/>
  <c r="AZ122" i="14"/>
  <c r="AQ122" i="14"/>
  <c r="BK121" i="14"/>
  <c r="DH121" i="14" s="1"/>
  <c r="BF121" i="14"/>
  <c r="BA121" i="14"/>
  <c r="AZ121" i="14"/>
  <c r="AQ121" i="14"/>
  <c r="BK120" i="14"/>
  <c r="DH120" i="14" s="1"/>
  <c r="BF120" i="14"/>
  <c r="AZ120" i="14"/>
  <c r="AQ120" i="14"/>
  <c r="BK119" i="14"/>
  <c r="DH119" i="14" s="1"/>
  <c r="BF119" i="14"/>
  <c r="BA119" i="14"/>
  <c r="AZ119" i="14"/>
  <c r="AQ119" i="14"/>
  <c r="BK118" i="14"/>
  <c r="DH118" i="14" s="1"/>
  <c r="BF118" i="14"/>
  <c r="BA118" i="14"/>
  <c r="AZ118" i="14"/>
  <c r="AQ118" i="14"/>
  <c r="BK117" i="14"/>
  <c r="DH117" i="14" s="1"/>
  <c r="BF117" i="14"/>
  <c r="BA117" i="14"/>
  <c r="AZ117" i="14"/>
  <c r="AQ117" i="14"/>
  <c r="BK116" i="14"/>
  <c r="DH116" i="14" s="1"/>
  <c r="BF116" i="14"/>
  <c r="BA116" i="14"/>
  <c r="AZ116" i="14"/>
  <c r="AQ116" i="14"/>
  <c r="BK115" i="14"/>
  <c r="DH115" i="14" s="1"/>
  <c r="BF115" i="14"/>
  <c r="BA115" i="14"/>
  <c r="CL115" i="14" s="1"/>
  <c r="AZ115" i="14"/>
  <c r="AQ115" i="14"/>
  <c r="BO114" i="14"/>
  <c r="BN114" i="14"/>
  <c r="BM114" i="14"/>
  <c r="BL114" i="14"/>
  <c r="BJ114" i="14"/>
  <c r="BI114" i="14"/>
  <c r="BH114" i="14"/>
  <c r="BG114" i="14"/>
  <c r="BE114" i="14"/>
  <c r="BD114" i="14"/>
  <c r="BB114" i="14"/>
  <c r="AU114" i="14"/>
  <c r="AT114" i="14"/>
  <c r="AY114" i="14" s="1"/>
  <c r="AR114" i="14"/>
  <c r="AW114" i="14" s="1"/>
  <c r="BK113" i="14"/>
  <c r="DH113" i="14" s="1"/>
  <c r="BF113" i="14"/>
  <c r="BA113" i="14"/>
  <c r="AZ113" i="14"/>
  <c r="AQ113" i="14"/>
  <c r="BK112" i="14"/>
  <c r="DH112" i="14" s="1"/>
  <c r="BF112" i="14"/>
  <c r="BA112" i="14"/>
  <c r="AZ112" i="14"/>
  <c r="AQ112" i="14"/>
  <c r="BF111" i="14"/>
  <c r="BA111" i="14"/>
  <c r="AZ111" i="14"/>
  <c r="AQ111" i="14"/>
  <c r="BK110" i="14"/>
  <c r="DH110" i="14" s="1"/>
  <c r="BF110" i="14"/>
  <c r="BA110" i="14"/>
  <c r="AZ110" i="14"/>
  <c r="AQ110" i="14"/>
  <c r="BK109" i="14"/>
  <c r="DH109" i="14" s="1"/>
  <c r="BF109" i="14"/>
  <c r="BA109" i="14"/>
  <c r="AZ109" i="14"/>
  <c r="AQ109" i="14"/>
  <c r="BK108" i="14"/>
  <c r="DH108" i="14" s="1"/>
  <c r="BF108" i="14"/>
  <c r="BA108" i="14"/>
  <c r="AZ108" i="14"/>
  <c r="AQ108" i="14"/>
  <c r="BK107" i="14"/>
  <c r="DH107" i="14" s="1"/>
  <c r="BF107" i="14"/>
  <c r="BA107" i="14"/>
  <c r="AZ107" i="14"/>
  <c r="AQ107" i="14"/>
  <c r="BK106" i="14"/>
  <c r="DH106" i="14" s="1"/>
  <c r="BF106" i="14"/>
  <c r="BA106" i="14"/>
  <c r="AZ106" i="14"/>
  <c r="AQ106" i="14"/>
  <c r="BF105" i="14"/>
  <c r="BA105" i="14"/>
  <c r="AZ105" i="14"/>
  <c r="AQ105" i="14"/>
  <c r="BK104" i="14"/>
  <c r="DH104" i="14" s="1"/>
  <c r="BF104" i="14"/>
  <c r="BA104" i="14"/>
  <c r="AZ104" i="14"/>
  <c r="AQ104" i="14"/>
  <c r="BF103" i="14"/>
  <c r="AZ103" i="14"/>
  <c r="BK102" i="14"/>
  <c r="DH102" i="14" s="1"/>
  <c r="BF102" i="14"/>
  <c r="BA102" i="14"/>
  <c r="AZ102" i="14"/>
  <c r="AQ102" i="14"/>
  <c r="BK101" i="14"/>
  <c r="DH101" i="14" s="1"/>
  <c r="BF101" i="14"/>
  <c r="BA101" i="14"/>
  <c r="AZ101" i="14"/>
  <c r="AQ101" i="14"/>
  <c r="BK100" i="14"/>
  <c r="DH100" i="14" s="1"/>
  <c r="BF100" i="14"/>
  <c r="BA100" i="14"/>
  <c r="AZ100" i="14"/>
  <c r="AQ100" i="14"/>
  <c r="BK99" i="14"/>
  <c r="DH99" i="14" s="1"/>
  <c r="BF99" i="14"/>
  <c r="BA99" i="14"/>
  <c r="AZ99" i="14"/>
  <c r="AQ99" i="14"/>
  <c r="BK98" i="14"/>
  <c r="DH98" i="14" s="1"/>
  <c r="BF98" i="14"/>
  <c r="BA98" i="14"/>
  <c r="AZ98" i="14"/>
  <c r="AQ98" i="14"/>
  <c r="BK97" i="14"/>
  <c r="DH97" i="14" s="1"/>
  <c r="BF97" i="14"/>
  <c r="BA97" i="14"/>
  <c r="AZ97" i="14"/>
  <c r="AQ97" i="14"/>
  <c r="BK96" i="14"/>
  <c r="DH96" i="14" s="1"/>
  <c r="BF96" i="14"/>
  <c r="BA96" i="14"/>
  <c r="AZ96" i="14"/>
  <c r="AQ96" i="14"/>
  <c r="BF95" i="14"/>
  <c r="AZ95" i="14"/>
  <c r="AQ95" i="14"/>
  <c r="BO94" i="14"/>
  <c r="BN94" i="14"/>
  <c r="BJ94" i="14"/>
  <c r="BI94" i="14"/>
  <c r="BH94" i="14"/>
  <c r="BG94" i="14"/>
  <c r="BE94" i="14"/>
  <c r="BD94" i="14"/>
  <c r="BB94" i="14"/>
  <c r="AU94" i="14"/>
  <c r="AT94" i="14"/>
  <c r="AY94" i="14" s="1"/>
  <c r="AR94" i="14"/>
  <c r="AW94" i="14" s="1"/>
  <c r="BK93" i="14"/>
  <c r="DH93" i="14" s="1"/>
  <c r="BF93" i="14"/>
  <c r="BA93" i="14"/>
  <c r="AZ93" i="14"/>
  <c r="AQ93" i="14"/>
  <c r="BK92" i="14"/>
  <c r="DH92" i="14" s="1"/>
  <c r="BF92" i="14"/>
  <c r="BA92" i="14"/>
  <c r="AZ92" i="14"/>
  <c r="AQ92" i="14"/>
  <c r="BK91" i="14"/>
  <c r="DH91" i="14" s="1"/>
  <c r="BF91" i="14"/>
  <c r="BA91" i="14"/>
  <c r="AZ91" i="14"/>
  <c r="AQ91" i="14"/>
  <c r="BF90" i="14"/>
  <c r="AZ90" i="14"/>
  <c r="AQ90" i="14"/>
  <c r="BK89" i="14"/>
  <c r="DH89" i="14" s="1"/>
  <c r="BF89" i="14"/>
  <c r="BA89" i="14"/>
  <c r="AZ89" i="14"/>
  <c r="AQ89" i="14"/>
  <c r="BK88" i="14"/>
  <c r="DH88" i="14" s="1"/>
  <c r="BF88" i="14"/>
  <c r="BA88" i="14"/>
  <c r="AZ88" i="14"/>
  <c r="AQ88" i="14"/>
  <c r="BK87" i="14"/>
  <c r="DH87" i="14" s="1"/>
  <c r="BF87" i="14"/>
  <c r="BA87" i="14"/>
  <c r="AZ87" i="14"/>
  <c r="AQ87" i="14"/>
  <c r="BK86" i="14"/>
  <c r="DH86" i="14" s="1"/>
  <c r="BF86" i="14"/>
  <c r="BA86" i="14"/>
  <c r="AZ86" i="14"/>
  <c r="AQ86" i="14"/>
  <c r="BF85" i="14"/>
  <c r="AZ85" i="14"/>
  <c r="BK84" i="14"/>
  <c r="DH84" i="14" s="1"/>
  <c r="BF84" i="14"/>
  <c r="BA84" i="14"/>
  <c r="AZ84" i="14"/>
  <c r="AQ84" i="14"/>
  <c r="BK83" i="14"/>
  <c r="DH83" i="14" s="1"/>
  <c r="BF83" i="14"/>
  <c r="BA83" i="14"/>
  <c r="AZ83" i="14"/>
  <c r="AQ83" i="14"/>
  <c r="BK82" i="14"/>
  <c r="DH82" i="14" s="1"/>
  <c r="BF82" i="14"/>
  <c r="BA82" i="14"/>
  <c r="AZ82" i="14"/>
  <c r="AQ82" i="14"/>
  <c r="BK81" i="14"/>
  <c r="DH81" i="14" s="1"/>
  <c r="BF81" i="14"/>
  <c r="BA81" i="14"/>
  <c r="AZ81" i="14"/>
  <c r="AQ81" i="14"/>
  <c r="BK80" i="14"/>
  <c r="DH80" i="14" s="1"/>
  <c r="BF80" i="14"/>
  <c r="BA80" i="14"/>
  <c r="AZ80" i="14"/>
  <c r="AQ80" i="14"/>
  <c r="BO79" i="14"/>
  <c r="BN79" i="14"/>
  <c r="BL79" i="14"/>
  <c r="BJ79" i="14"/>
  <c r="BI79" i="14"/>
  <c r="BH79" i="14"/>
  <c r="BG79" i="14"/>
  <c r="BE79" i="14"/>
  <c r="BD79" i="14"/>
  <c r="BB79" i="14"/>
  <c r="AU79" i="14"/>
  <c r="AT79" i="14"/>
  <c r="AY79" i="14" s="1"/>
  <c r="AR79" i="14"/>
  <c r="AW79" i="14" s="1"/>
  <c r="BK78" i="14"/>
  <c r="DH78" i="14" s="1"/>
  <c r="BF78" i="14"/>
  <c r="BA78" i="14"/>
  <c r="AZ78" i="14"/>
  <c r="AQ78" i="14"/>
  <c r="BK77" i="14"/>
  <c r="DH77" i="14" s="1"/>
  <c r="BF77" i="14"/>
  <c r="BA77" i="14"/>
  <c r="AZ77" i="14"/>
  <c r="AQ77" i="14"/>
  <c r="BK76" i="14"/>
  <c r="DH76" i="14" s="1"/>
  <c r="BF76" i="14"/>
  <c r="BA76" i="14"/>
  <c r="AZ76" i="14"/>
  <c r="AQ76" i="14"/>
  <c r="BK75" i="14"/>
  <c r="DH75" i="14" s="1"/>
  <c r="BF75" i="14"/>
  <c r="BA75" i="14"/>
  <c r="AZ75" i="14"/>
  <c r="AQ75" i="14"/>
  <c r="BK74" i="14"/>
  <c r="DH74" i="14" s="1"/>
  <c r="BF74" i="14"/>
  <c r="BA74" i="14"/>
  <c r="AZ74" i="14"/>
  <c r="AQ74" i="14"/>
  <c r="BK73" i="14"/>
  <c r="DH73" i="14" s="1"/>
  <c r="BF73" i="14"/>
  <c r="BA73" i="14"/>
  <c r="AZ73" i="14"/>
  <c r="AQ73" i="14"/>
  <c r="BK72" i="14"/>
  <c r="DH72" i="14" s="1"/>
  <c r="BF72" i="14"/>
  <c r="BA72" i="14"/>
  <c r="AZ72" i="14"/>
  <c r="AQ72" i="14"/>
  <c r="BK71" i="14"/>
  <c r="DH71" i="14" s="1"/>
  <c r="BF71" i="14"/>
  <c r="BA71" i="14"/>
  <c r="AZ71" i="14"/>
  <c r="AQ71" i="14"/>
  <c r="BK70" i="14"/>
  <c r="DH70" i="14" s="1"/>
  <c r="BF70" i="14"/>
  <c r="BA70" i="14"/>
  <c r="AZ70" i="14"/>
  <c r="AQ70" i="14"/>
  <c r="BK69" i="14"/>
  <c r="DH69" i="14" s="1"/>
  <c r="BF69" i="14"/>
  <c r="BA69" i="14"/>
  <c r="AZ69" i="14"/>
  <c r="AQ69" i="14"/>
  <c r="BK68" i="14"/>
  <c r="DH68" i="14" s="1"/>
  <c r="BF68" i="14"/>
  <c r="BA68" i="14"/>
  <c r="AZ68" i="14"/>
  <c r="AQ68" i="14"/>
  <c r="BK67" i="14"/>
  <c r="DH67" i="14" s="1"/>
  <c r="BF67" i="14"/>
  <c r="BA67" i="14"/>
  <c r="AZ67" i="14"/>
  <c r="AQ67" i="14"/>
  <c r="BK66" i="14"/>
  <c r="DH66" i="14" s="1"/>
  <c r="BF66" i="14"/>
  <c r="AZ66" i="14"/>
  <c r="AQ66" i="14"/>
  <c r="BK65" i="14"/>
  <c r="DH65" i="14" s="1"/>
  <c r="BF65" i="14"/>
  <c r="BA65" i="14"/>
  <c r="AZ65" i="14"/>
  <c r="AQ65" i="14"/>
  <c r="BK64" i="14"/>
  <c r="DH64" i="14" s="1"/>
  <c r="BF64" i="14"/>
  <c r="BA64" i="14"/>
  <c r="AZ64" i="14"/>
  <c r="AQ64" i="14"/>
  <c r="BK63" i="14"/>
  <c r="DH63" i="14" s="1"/>
  <c r="BF63" i="14"/>
  <c r="BA63" i="14"/>
  <c r="AZ63" i="14"/>
  <c r="AQ63" i="14"/>
  <c r="BK62" i="14"/>
  <c r="DH62" i="14" s="1"/>
  <c r="BF62" i="14"/>
  <c r="BA62" i="14"/>
  <c r="AZ62" i="14"/>
  <c r="AQ62" i="14"/>
  <c r="BK61" i="14"/>
  <c r="DH61" i="14" s="1"/>
  <c r="BF61" i="14"/>
  <c r="BA61" i="14"/>
  <c r="AZ61" i="14"/>
  <c r="AQ61" i="14"/>
  <c r="BK60" i="14"/>
  <c r="DH60" i="14" s="1"/>
  <c r="BF60" i="14"/>
  <c r="BA60" i="14"/>
  <c r="AZ60" i="14"/>
  <c r="AQ60" i="14"/>
  <c r="BK59" i="14"/>
  <c r="DH59" i="14" s="1"/>
  <c r="BF59" i="14"/>
  <c r="BA59" i="14"/>
  <c r="AZ59" i="14"/>
  <c r="AQ59" i="14"/>
  <c r="BK58" i="14"/>
  <c r="DH58" i="14" s="1"/>
  <c r="BF58" i="14"/>
  <c r="BA58" i="14"/>
  <c r="AZ58" i="14"/>
  <c r="AQ58" i="14"/>
  <c r="BO57" i="14"/>
  <c r="BN57" i="14"/>
  <c r="BM57" i="14"/>
  <c r="BL57" i="14"/>
  <c r="BJ57" i="14"/>
  <c r="BI57" i="14"/>
  <c r="BH57" i="14"/>
  <c r="BG57" i="14"/>
  <c r="BE57" i="14"/>
  <c r="BD57" i="14"/>
  <c r="BC57" i="14"/>
  <c r="BB57" i="14"/>
  <c r="AU57" i="14"/>
  <c r="AT57" i="14"/>
  <c r="AY57" i="14" s="1"/>
  <c r="AS57" i="14"/>
  <c r="AX57" i="14" s="1"/>
  <c r="AR57" i="14"/>
  <c r="AW57" i="14" s="1"/>
  <c r="BK56" i="14"/>
  <c r="DH56" i="14" s="1"/>
  <c r="BF56" i="14"/>
  <c r="BA56" i="14"/>
  <c r="AZ56" i="14"/>
  <c r="AQ56" i="14"/>
  <c r="BK55" i="14"/>
  <c r="DH55" i="14" s="1"/>
  <c r="BF55" i="14"/>
  <c r="BA55" i="14"/>
  <c r="AZ55" i="14"/>
  <c r="AQ55" i="14"/>
  <c r="BK54" i="14"/>
  <c r="DH54" i="14" s="1"/>
  <c r="BF54" i="14"/>
  <c r="BA54" i="14"/>
  <c r="AZ54" i="14"/>
  <c r="AQ54" i="14"/>
  <c r="BK53" i="14"/>
  <c r="DH53" i="14" s="1"/>
  <c r="BF53" i="14"/>
  <c r="BA53" i="14"/>
  <c r="AZ53" i="14"/>
  <c r="AQ53" i="14"/>
  <c r="BK52" i="14"/>
  <c r="DH52" i="14" s="1"/>
  <c r="BF52" i="14"/>
  <c r="BA52" i="14"/>
  <c r="AZ52" i="14"/>
  <c r="AQ52" i="14"/>
  <c r="BK51" i="14"/>
  <c r="DH51" i="14" s="1"/>
  <c r="BF51" i="14"/>
  <c r="BA51" i="14"/>
  <c r="AZ51" i="14"/>
  <c r="AQ51" i="14"/>
  <c r="BK50" i="14"/>
  <c r="DH50" i="14" s="1"/>
  <c r="BF50" i="14"/>
  <c r="BA50" i="14"/>
  <c r="AZ50" i="14"/>
  <c r="AQ50" i="14"/>
  <c r="BK49" i="14"/>
  <c r="DH49" i="14" s="1"/>
  <c r="BF49" i="14"/>
  <c r="AZ49" i="14"/>
  <c r="BK48" i="14"/>
  <c r="DH48" i="14" s="1"/>
  <c r="BF48" i="14"/>
  <c r="BA48" i="14"/>
  <c r="AZ48" i="14"/>
  <c r="AQ48" i="14"/>
  <c r="BK47" i="14"/>
  <c r="DH47" i="14" s="1"/>
  <c r="BF47" i="14"/>
  <c r="BA47" i="14"/>
  <c r="AZ47" i="14"/>
  <c r="AQ47" i="14"/>
  <c r="L47" i="14"/>
  <c r="BK46" i="14"/>
  <c r="DH46" i="14" s="1"/>
  <c r="BF46" i="14"/>
  <c r="BA46" i="14"/>
  <c r="AZ46" i="14"/>
  <c r="AQ46" i="14"/>
  <c r="BK45" i="14"/>
  <c r="DH45" i="14" s="1"/>
  <c r="BF45" i="14"/>
  <c r="BA45" i="14"/>
  <c r="AZ45" i="14"/>
  <c r="AQ45" i="14"/>
  <c r="BK44" i="14"/>
  <c r="DH44" i="14" s="1"/>
  <c r="BF44" i="14"/>
  <c r="BA44" i="14"/>
  <c r="AZ44" i="14"/>
  <c r="AQ44" i="14"/>
  <c r="BK43" i="14"/>
  <c r="DH43" i="14" s="1"/>
  <c r="BF43" i="14"/>
  <c r="BA43" i="14"/>
  <c r="AZ43" i="14"/>
  <c r="AQ43" i="14"/>
  <c r="BK42" i="14"/>
  <c r="DH42" i="14" s="1"/>
  <c r="BF42" i="14"/>
  <c r="BA42" i="14"/>
  <c r="AZ42" i="14"/>
  <c r="AQ42" i="14"/>
  <c r="BK41" i="14"/>
  <c r="DH41" i="14" s="1"/>
  <c r="BF41" i="14"/>
  <c r="BA41" i="14"/>
  <c r="AZ41" i="14"/>
  <c r="AQ41" i="14"/>
  <c r="BK40" i="14"/>
  <c r="DH40" i="14" s="1"/>
  <c r="BF40" i="14"/>
  <c r="BA40" i="14"/>
  <c r="AZ40" i="14"/>
  <c r="AQ40" i="14"/>
  <c r="BO39" i="14"/>
  <c r="BN39" i="14"/>
  <c r="BL39" i="14"/>
  <c r="BJ39" i="14"/>
  <c r="BI39" i="14"/>
  <c r="BH39" i="14"/>
  <c r="BG39" i="14"/>
  <c r="BE39" i="14"/>
  <c r="BD39" i="14"/>
  <c r="BB39" i="14"/>
  <c r="AU39" i="14"/>
  <c r="AT39" i="14"/>
  <c r="AY39" i="14" s="1"/>
  <c r="AR39" i="14"/>
  <c r="AW39" i="14" s="1"/>
  <c r="BK38" i="14"/>
  <c r="DH38" i="14" s="1"/>
  <c r="BF38" i="14"/>
  <c r="BA38" i="14"/>
  <c r="AZ38" i="14"/>
  <c r="AQ38" i="14"/>
  <c r="BK37" i="14"/>
  <c r="DH37" i="14" s="1"/>
  <c r="BF37" i="14"/>
  <c r="BA37" i="14"/>
  <c r="AZ37" i="14"/>
  <c r="AQ37" i="14"/>
  <c r="BK36" i="14"/>
  <c r="DH36" i="14" s="1"/>
  <c r="BF36" i="14"/>
  <c r="BA36" i="14"/>
  <c r="AZ36" i="14"/>
  <c r="AQ36" i="14"/>
  <c r="BK35" i="14"/>
  <c r="DH35" i="14" s="1"/>
  <c r="BF35" i="14"/>
  <c r="BA35" i="14"/>
  <c r="AZ35" i="14"/>
  <c r="AQ35" i="14"/>
  <c r="BK34" i="14"/>
  <c r="DH34" i="14" s="1"/>
  <c r="BF34" i="14"/>
  <c r="BA34" i="14"/>
  <c r="AZ34" i="14"/>
  <c r="AQ34" i="14"/>
  <c r="BK33" i="14"/>
  <c r="DH33" i="14" s="1"/>
  <c r="BF33" i="14"/>
  <c r="BA33" i="14"/>
  <c r="AZ33" i="14"/>
  <c r="AQ33" i="14"/>
  <c r="BK32" i="14"/>
  <c r="DH32" i="14" s="1"/>
  <c r="BF32" i="14"/>
  <c r="BA32" i="14"/>
  <c r="AZ32" i="14"/>
  <c r="AQ32" i="14"/>
  <c r="BK31" i="14"/>
  <c r="DH31" i="14" s="1"/>
  <c r="BF31" i="14"/>
  <c r="BA31" i="14"/>
  <c r="AZ31" i="14"/>
  <c r="AQ31" i="14"/>
  <c r="BK30" i="14"/>
  <c r="DH30" i="14" s="1"/>
  <c r="BF30" i="14"/>
  <c r="BA30" i="14"/>
  <c r="AZ30" i="14"/>
  <c r="AQ30" i="14"/>
  <c r="BK29" i="14"/>
  <c r="DH29" i="14" s="1"/>
  <c r="BF29" i="14"/>
  <c r="BA29" i="14"/>
  <c r="AZ29" i="14"/>
  <c r="AQ29" i="14"/>
  <c r="BK28" i="14"/>
  <c r="DH28" i="14" s="1"/>
  <c r="BF28" i="14"/>
  <c r="BA28" i="14"/>
  <c r="AZ28" i="14"/>
  <c r="AQ28" i="14"/>
  <c r="BK27" i="14"/>
  <c r="DH27" i="14" s="1"/>
  <c r="BF27" i="14"/>
  <c r="BA27" i="14"/>
  <c r="AZ27" i="14"/>
  <c r="AQ27" i="14"/>
  <c r="BK26" i="14"/>
  <c r="DH26" i="14" s="1"/>
  <c r="BF26" i="14"/>
  <c r="BA26" i="14"/>
  <c r="CL26" i="14" s="1"/>
  <c r="AZ26" i="14"/>
  <c r="AQ26" i="14"/>
  <c r="BK25" i="14"/>
  <c r="DH25" i="14" s="1"/>
  <c r="BF25" i="14"/>
  <c r="BA25" i="14"/>
  <c r="AZ25" i="14"/>
  <c r="AQ25" i="14"/>
  <c r="BK24" i="14"/>
  <c r="DH24" i="14" s="1"/>
  <c r="BF24" i="14"/>
  <c r="BA24" i="14"/>
  <c r="AZ24" i="14"/>
  <c r="AQ24" i="14"/>
  <c r="BK23" i="14"/>
  <c r="DH23" i="14" s="1"/>
  <c r="BF23" i="14"/>
  <c r="BA23" i="14"/>
  <c r="AZ23" i="14"/>
  <c r="AQ23" i="14"/>
  <c r="BK22" i="14"/>
  <c r="DH22" i="14" s="1"/>
  <c r="BF22" i="14"/>
  <c r="BA22" i="14"/>
  <c r="AZ22" i="14"/>
  <c r="AQ22" i="14"/>
  <c r="BK21" i="14"/>
  <c r="DH21" i="14" s="1"/>
  <c r="BF21" i="14"/>
  <c r="BA21" i="14"/>
  <c r="AZ21" i="14"/>
  <c r="AQ21" i="14"/>
  <c r="BO20" i="14"/>
  <c r="BN20" i="14"/>
  <c r="BM20" i="14"/>
  <c r="BL20" i="14"/>
  <c r="BJ20" i="14"/>
  <c r="BI20" i="14"/>
  <c r="BH20" i="14"/>
  <c r="BG20" i="14"/>
  <c r="BE20" i="14"/>
  <c r="BD20" i="14"/>
  <c r="BC20" i="14"/>
  <c r="BB20" i="14"/>
  <c r="AU20" i="14"/>
  <c r="AT20" i="14"/>
  <c r="AY20" i="14" s="1"/>
  <c r="AS20" i="14"/>
  <c r="AX20" i="14" s="1"/>
  <c r="AR20" i="14"/>
  <c r="AW20" i="14" s="1"/>
  <c r="BK17" i="14"/>
  <c r="DH17" i="14" s="1"/>
  <c r="BF17" i="14"/>
  <c r="BA17" i="14"/>
  <c r="AZ17" i="14"/>
  <c r="AQ17" i="14"/>
  <c r="BK16" i="14"/>
  <c r="DH16" i="14" s="1"/>
  <c r="BF16" i="14"/>
  <c r="BA16" i="14"/>
  <c r="AZ16" i="14"/>
  <c r="AQ16" i="14"/>
  <c r="BK15" i="14"/>
  <c r="DH15" i="14" s="1"/>
  <c r="BF15" i="14"/>
  <c r="BA15" i="14"/>
  <c r="AZ15" i="14"/>
  <c r="AQ15" i="14"/>
  <c r="BK14" i="14"/>
  <c r="DH14" i="14" s="1"/>
  <c r="BF14" i="14"/>
  <c r="BA14" i="14"/>
  <c r="AZ14" i="14"/>
  <c r="AQ14" i="14"/>
  <c r="BK13" i="14"/>
  <c r="DH13" i="14" s="1"/>
  <c r="BF13" i="14"/>
  <c r="BA13" i="14"/>
  <c r="AZ13" i="14"/>
  <c r="AQ13" i="14"/>
  <c r="BK12" i="14"/>
  <c r="DH12" i="14" s="1"/>
  <c r="BF12" i="14"/>
  <c r="BA12" i="14"/>
  <c r="AZ12" i="14"/>
  <c r="AQ12" i="14"/>
  <c r="BK11" i="14"/>
  <c r="DH11" i="14" s="1"/>
  <c r="BF11" i="14"/>
  <c r="BA11" i="14"/>
  <c r="AZ11" i="14"/>
  <c r="AQ11" i="14"/>
  <c r="BK10" i="14"/>
  <c r="DH10" i="14" s="1"/>
  <c r="BF10" i="14"/>
  <c r="BA10" i="14"/>
  <c r="AZ10" i="14"/>
  <c r="AQ10" i="14"/>
  <c r="BK9" i="14"/>
  <c r="DH9" i="14" s="1"/>
  <c r="BF9" i="14"/>
  <c r="CM9" i="14" s="1"/>
  <c r="BA9" i="14"/>
  <c r="AZ9" i="14"/>
  <c r="AQ9" i="14"/>
  <c r="BO8" i="14"/>
  <c r="BN8" i="14"/>
  <c r="BM8" i="14"/>
  <c r="BL8" i="14"/>
  <c r="BJ8" i="14"/>
  <c r="BI8" i="14"/>
  <c r="BH8" i="14"/>
  <c r="BG8" i="14"/>
  <c r="BE8" i="14"/>
  <c r="BD8" i="14"/>
  <c r="BC8" i="14"/>
  <c r="BB8" i="14"/>
  <c r="AU8" i="14"/>
  <c r="AT8" i="14"/>
  <c r="AY8" i="14" s="1"/>
  <c r="AS8" i="14"/>
  <c r="AX8" i="14" s="1"/>
  <c r="AR8" i="14"/>
  <c r="AW8" i="14" s="1"/>
  <c r="BK7" i="14"/>
  <c r="BF7" i="14"/>
  <c r="BF6" i="14" s="1"/>
  <c r="BA7" i="14"/>
  <c r="CL7" i="14" s="1"/>
  <c r="AZ7" i="14"/>
  <c r="AZ6" i="14" s="1"/>
  <c r="AQ7" i="14"/>
  <c r="AQ6" i="14" s="1"/>
  <c r="BO6" i="14"/>
  <c r="BN6" i="14"/>
  <c r="BM6" i="14"/>
  <c r="BL6" i="14"/>
  <c r="BJ6" i="14"/>
  <c r="BI6" i="14"/>
  <c r="BH6" i="14"/>
  <c r="BG6" i="14"/>
  <c r="BE6" i="14"/>
  <c r="BD6" i="14"/>
  <c r="BC6" i="14"/>
  <c r="BB6" i="14"/>
  <c r="AU6" i="14"/>
  <c r="AT6" i="14"/>
  <c r="AY6" i="14" s="1"/>
  <c r="AS6" i="14"/>
  <c r="AX6" i="14" s="1"/>
  <c r="AR6" i="14"/>
  <c r="AW6" i="14" s="1"/>
  <c r="AV261" i="14" l="1"/>
  <c r="AV6" i="14"/>
  <c r="CL12" i="14"/>
  <c r="CM12" i="14" s="1"/>
  <c r="DN12" i="14" s="1"/>
  <c r="CL84" i="14"/>
  <c r="CL158" i="14"/>
  <c r="CL156" i="14"/>
  <c r="CM156" i="14" s="1"/>
  <c r="DN156" i="14" s="1"/>
  <c r="S6" i="14"/>
  <c r="CI6" i="14"/>
  <c r="R8" i="14"/>
  <c r="CH8" i="14"/>
  <c r="AV20" i="14"/>
  <c r="S20" i="14"/>
  <c r="CI20" i="14"/>
  <c r="R6" i="14"/>
  <c r="CH6" i="14"/>
  <c r="AV8" i="14"/>
  <c r="Q8" i="14"/>
  <c r="CG8" i="14"/>
  <c r="S8" i="14"/>
  <c r="CI8" i="14"/>
  <c r="CL11" i="14"/>
  <c r="R20" i="14"/>
  <c r="CH20" i="14"/>
  <c r="S39" i="14"/>
  <c r="CI39" i="14"/>
  <c r="AV57" i="14"/>
  <c r="Q57" i="14"/>
  <c r="CG57" i="14"/>
  <c r="S57" i="14"/>
  <c r="CI57" i="14"/>
  <c r="Q79" i="14"/>
  <c r="CG79" i="14"/>
  <c r="S94" i="14"/>
  <c r="CI94" i="14"/>
  <c r="Q114" i="14"/>
  <c r="CG114" i="14"/>
  <c r="S114" i="14"/>
  <c r="CI114" i="14"/>
  <c r="S128" i="14"/>
  <c r="CI128" i="14"/>
  <c r="S137" i="14"/>
  <c r="CI137" i="14"/>
  <c r="R151" i="14"/>
  <c r="CH151" i="14"/>
  <c r="Q159" i="14"/>
  <c r="CG159" i="14"/>
  <c r="S159" i="14"/>
  <c r="CI159" i="14"/>
  <c r="S177" i="14"/>
  <c r="CI177" i="14"/>
  <c r="S195" i="14"/>
  <c r="CI195" i="14"/>
  <c r="CL198" i="14"/>
  <c r="AV203" i="14"/>
  <c r="Q203" i="14"/>
  <c r="CG203" i="14"/>
  <c r="S203" i="14"/>
  <c r="CI203" i="14"/>
  <c r="S220" i="14"/>
  <c r="CI220" i="14"/>
  <c r="Q230" i="14"/>
  <c r="CG230" i="14"/>
  <c r="AV242" i="14"/>
  <c r="Q242" i="14"/>
  <c r="CG242" i="14"/>
  <c r="S242" i="14"/>
  <c r="CI242" i="14"/>
  <c r="CF261" i="14"/>
  <c r="BM307" i="14"/>
  <c r="CH297" i="14"/>
  <c r="CF297" i="14" s="1"/>
  <c r="Q6" i="14"/>
  <c r="CG6" i="14"/>
  <c r="CF6" i="14" s="1"/>
  <c r="Q20" i="14"/>
  <c r="CG20" i="14"/>
  <c r="CF20" i="14" s="1"/>
  <c r="Q39" i="14"/>
  <c r="CG39" i="14"/>
  <c r="R57" i="14"/>
  <c r="CH57" i="14"/>
  <c r="S79" i="14"/>
  <c r="CI79" i="14"/>
  <c r="R114" i="14"/>
  <c r="CH114" i="14"/>
  <c r="AV128" i="14"/>
  <c r="Q128" i="14"/>
  <c r="CG128" i="14"/>
  <c r="Q137" i="14"/>
  <c r="CG137" i="14"/>
  <c r="AV151" i="14"/>
  <c r="Q151" i="14"/>
  <c r="CG151" i="14"/>
  <c r="S151" i="14"/>
  <c r="CI151" i="14"/>
  <c r="R159" i="14"/>
  <c r="CH159" i="14"/>
  <c r="Q177" i="14"/>
  <c r="CG177" i="14"/>
  <c r="Q195" i="14"/>
  <c r="CG195" i="14"/>
  <c r="R203" i="14"/>
  <c r="CH203" i="14"/>
  <c r="Q220" i="14"/>
  <c r="CG220" i="14"/>
  <c r="S230" i="14"/>
  <c r="CI230" i="14"/>
  <c r="R230" i="14"/>
  <c r="CH230" i="14"/>
  <c r="R242" i="14"/>
  <c r="CH242" i="14"/>
  <c r="AQ314" i="14"/>
  <c r="BK314" i="14"/>
  <c r="BN317" i="14"/>
  <c r="CI307" i="14"/>
  <c r="BM317" i="14"/>
  <c r="CH307" i="14"/>
  <c r="CL245" i="14"/>
  <c r="CL131" i="14"/>
  <c r="CM131" i="14" s="1"/>
  <c r="DN131" i="14" s="1"/>
  <c r="DH20" i="14"/>
  <c r="CM158" i="14"/>
  <c r="DN158" i="14" s="1"/>
  <c r="CL100" i="14"/>
  <c r="CM100" i="14" s="1"/>
  <c r="DN100" i="14" s="1"/>
  <c r="CM115" i="14"/>
  <c r="CM239" i="14"/>
  <c r="DH242" i="14"/>
  <c r="DH57" i="14"/>
  <c r="DH39" i="14"/>
  <c r="DH151" i="14"/>
  <c r="CM160" i="14"/>
  <c r="CM198" i="14"/>
  <c r="CM204" i="14"/>
  <c r="CM221" i="14"/>
  <c r="CM11" i="14"/>
  <c r="DN11" i="14" s="1"/>
  <c r="DO11" i="14" s="1"/>
  <c r="CL8" i="14"/>
  <c r="CM129" i="14"/>
  <c r="DH261" i="14"/>
  <c r="DH8" i="14"/>
  <c r="CM138" i="14"/>
  <c r="CM178" i="14"/>
  <c r="CM26" i="14"/>
  <c r="DH114" i="14"/>
  <c r="DN9" i="14"/>
  <c r="CL43" i="14"/>
  <c r="CM152" i="14"/>
  <c r="CL151" i="14"/>
  <c r="DH159" i="14"/>
  <c r="DH203" i="14"/>
  <c r="BA266" i="14"/>
  <c r="BA267" i="14"/>
  <c r="BK6" i="14"/>
  <c r="DH7" i="14"/>
  <c r="DH6" i="14" s="1"/>
  <c r="CM7" i="14"/>
  <c r="CL6" i="14"/>
  <c r="CK6" i="14" s="1"/>
  <c r="BA66" i="14"/>
  <c r="CL62" i="14" s="1"/>
  <c r="AX297" i="14"/>
  <c r="AX307" i="14" s="1"/>
  <c r="AX317" i="14" s="1"/>
  <c r="AX331" i="14" s="1"/>
  <c r="AX298" i="14"/>
  <c r="AV298" i="14" s="1"/>
  <c r="BA314" i="14"/>
  <c r="AX302" i="14"/>
  <c r="AV302" i="14" s="1"/>
  <c r="BA90" i="14"/>
  <c r="BA149" i="14"/>
  <c r="BA137" i="14" s="1"/>
  <c r="BA187" i="14"/>
  <c r="BA192" i="14"/>
  <c r="CL184" i="14" s="1"/>
  <c r="CM184" i="14" s="1"/>
  <c r="DN184" i="14" s="1"/>
  <c r="DO184" i="14" s="1"/>
  <c r="BA95" i="14"/>
  <c r="CL95" i="14" s="1"/>
  <c r="AS79" i="14"/>
  <c r="AX79" i="14" s="1"/>
  <c r="AV79" i="14" s="1"/>
  <c r="BA120" i="14"/>
  <c r="BA114" i="14" s="1"/>
  <c r="BA225" i="14"/>
  <c r="BA296" i="14"/>
  <c r="AS230" i="14"/>
  <c r="AX230" i="14" s="1"/>
  <c r="AV230" i="14" s="1"/>
  <c r="BF268" i="14"/>
  <c r="BA271" i="14"/>
  <c r="AS296" i="14"/>
  <c r="AQ241" i="14"/>
  <c r="AQ230" i="14" s="1"/>
  <c r="BL307" i="14"/>
  <c r="CG307" i="14" s="1"/>
  <c r="CF307" i="14" s="1"/>
  <c r="AQ296" i="14"/>
  <c r="BM94" i="14"/>
  <c r="AQ225" i="14"/>
  <c r="AV303" i="14"/>
  <c r="AS159" i="14"/>
  <c r="AX159" i="14" s="1"/>
  <c r="AV159" i="14" s="1"/>
  <c r="BA268" i="14"/>
  <c r="BM296" i="14"/>
  <c r="CH296" i="14" s="1"/>
  <c r="CF296" i="14" s="1"/>
  <c r="BK95" i="14"/>
  <c r="DH95" i="14" s="1"/>
  <c r="BA280" i="14"/>
  <c r="AQ280" i="14"/>
  <c r="AQ185" i="14"/>
  <c r="AQ199" i="14"/>
  <c r="AQ195" i="14" s="1"/>
  <c r="AS195" i="14"/>
  <c r="AX195" i="14" s="1"/>
  <c r="AV195" i="14" s="1"/>
  <c r="BG258" i="14"/>
  <c r="BG260" i="14" s="1"/>
  <c r="BG262" i="14" s="1"/>
  <c r="AQ131" i="14"/>
  <c r="AQ128" i="14" s="1"/>
  <c r="BE258" i="14"/>
  <c r="BE260" i="14" s="1"/>
  <c r="BE262" i="14" s="1"/>
  <c r="BI258" i="14"/>
  <c r="BI260" i="14" s="1"/>
  <c r="BI262" i="14" s="1"/>
  <c r="BM39" i="14"/>
  <c r="AQ85" i="14"/>
  <c r="AQ79" i="14" s="1"/>
  <c r="BF271" i="14"/>
  <c r="BC296" i="14"/>
  <c r="BG265" i="14"/>
  <c r="L134" i="14"/>
  <c r="BA274" i="14"/>
  <c r="AQ274" i="14"/>
  <c r="BK296" i="14"/>
  <c r="BF128" i="14"/>
  <c r="BF137" i="14"/>
  <c r="BF114" i="14"/>
  <c r="BF280" i="14"/>
  <c r="BA6" i="14"/>
  <c r="BA277" i="14"/>
  <c r="BA20" i="14"/>
  <c r="CL27" i="14" s="1"/>
  <c r="CL20" i="14" s="1"/>
  <c r="AQ192" i="14"/>
  <c r="BF8" i="14"/>
  <c r="AQ8" i="14"/>
  <c r="BA103" i="14"/>
  <c r="BC94" i="14"/>
  <c r="BF39" i="14"/>
  <c r="BM128" i="14"/>
  <c r="BK131" i="14"/>
  <c r="DH131" i="14" s="1"/>
  <c r="DH128" i="14" s="1"/>
  <c r="BC79" i="14"/>
  <c r="AQ224" i="14"/>
  <c r="AS220" i="14"/>
  <c r="AX220" i="14" s="1"/>
  <c r="AV220" i="14" s="1"/>
  <c r="AQ49" i="14"/>
  <c r="AQ39" i="14" s="1"/>
  <c r="AZ57" i="14"/>
  <c r="BF57" i="14"/>
  <c r="BF79" i="14"/>
  <c r="AQ114" i="14"/>
  <c r="AQ203" i="14"/>
  <c r="AQ269" i="14"/>
  <c r="BF20" i="14"/>
  <c r="BA85" i="14"/>
  <c r="BK90" i="14"/>
  <c r="DH90" i="14" s="1"/>
  <c r="BC137" i="14"/>
  <c r="BA151" i="14"/>
  <c r="BK187" i="14"/>
  <c r="DH187" i="14" s="1"/>
  <c r="AS114" i="14"/>
  <c r="AX114" i="14" s="1"/>
  <c r="AV114" i="14" s="1"/>
  <c r="BK149" i="14"/>
  <c r="DH149" i="14" s="1"/>
  <c r="AQ151" i="14"/>
  <c r="BA199" i="14"/>
  <c r="BA195" i="14" s="1"/>
  <c r="CL199" i="14" s="1"/>
  <c r="CM199" i="14" s="1"/>
  <c r="DN199" i="14" s="1"/>
  <c r="BC195" i="14"/>
  <c r="AZ128" i="14"/>
  <c r="BK224" i="14"/>
  <c r="DH224" i="14" s="1"/>
  <c r="BM220" i="14"/>
  <c r="BF195" i="14"/>
  <c r="BF220" i="14"/>
  <c r="AZ230" i="14"/>
  <c r="BC230" i="14"/>
  <c r="BA241" i="14"/>
  <c r="CL240" i="14" s="1"/>
  <c r="AQ242" i="14"/>
  <c r="BF274" i="14"/>
  <c r="BF159" i="14"/>
  <c r="AZ220" i="14"/>
  <c r="BF242" i="14"/>
  <c r="CM245" i="14" s="1"/>
  <c r="BA242" i="14"/>
  <c r="CL246" i="14" s="1"/>
  <c r="CM246" i="14" s="1"/>
  <c r="DN246" i="14" s="1"/>
  <c r="AQ261" i="14"/>
  <c r="BA261" i="14"/>
  <c r="BF261" i="14"/>
  <c r="BF296" i="14"/>
  <c r="BK261" i="14"/>
  <c r="BF266" i="14"/>
  <c r="AZ79" i="14"/>
  <c r="AV299" i="14"/>
  <c r="AV301" i="14"/>
  <c r="AZ39" i="14"/>
  <c r="AZ94" i="14"/>
  <c r="AV300" i="14"/>
  <c r="BK293" i="14"/>
  <c r="BJ258" i="14"/>
  <c r="BJ260" i="14" s="1"/>
  <c r="BK103" i="14"/>
  <c r="DH103" i="14" s="1"/>
  <c r="AT258" i="14"/>
  <c r="AQ103" i="14"/>
  <c r="AQ94" i="14" s="1"/>
  <c r="AS94" i="14"/>
  <c r="AX94" i="14" s="1"/>
  <c r="AV94" i="14" s="1"/>
  <c r="BC114" i="14"/>
  <c r="AQ187" i="14"/>
  <c r="AS177" i="14"/>
  <c r="AX177" i="14" s="1"/>
  <c r="AV177" i="14" s="1"/>
  <c r="BA203" i="14"/>
  <c r="CL210" i="14" s="1"/>
  <c r="CM210" i="14" s="1"/>
  <c r="DN210" i="14" s="1"/>
  <c r="BK85" i="14"/>
  <c r="DH85" i="14" s="1"/>
  <c r="BM79" i="14"/>
  <c r="BB258" i="14"/>
  <c r="BN258" i="14"/>
  <c r="CI258" i="14" s="1"/>
  <c r="AZ261" i="14"/>
  <c r="AZ8" i="14"/>
  <c r="BK20" i="14"/>
  <c r="AS39" i="14"/>
  <c r="AX39" i="14" s="1"/>
  <c r="AV39" i="14" s="1"/>
  <c r="BK39" i="14"/>
  <c r="BA49" i="14"/>
  <c r="BA39" i="14" s="1"/>
  <c r="BC39" i="14"/>
  <c r="BK8" i="14"/>
  <c r="BA8" i="14"/>
  <c r="AQ20" i="14"/>
  <c r="AZ20" i="14"/>
  <c r="AQ57" i="14"/>
  <c r="BK57" i="14"/>
  <c r="BK114" i="14"/>
  <c r="BM137" i="14"/>
  <c r="BK148" i="14"/>
  <c r="DH148" i="14" s="1"/>
  <c r="BF151" i="14"/>
  <c r="BA170" i="14"/>
  <c r="CL163" i="14" s="1"/>
  <c r="BC159" i="14"/>
  <c r="BF203" i="14"/>
  <c r="BF94" i="14"/>
  <c r="BK111" i="14"/>
  <c r="DH111" i="14" s="1"/>
  <c r="AZ114" i="14"/>
  <c r="L131" i="14"/>
  <c r="BA128" i="14"/>
  <c r="CL132" i="14" s="1"/>
  <c r="CM132" i="14" s="1"/>
  <c r="DN132" i="14" s="1"/>
  <c r="BK151" i="14"/>
  <c r="AQ159" i="14"/>
  <c r="AZ159" i="14"/>
  <c r="BA185" i="14"/>
  <c r="BC177" i="14"/>
  <c r="BA224" i="14"/>
  <c r="BC220" i="14"/>
  <c r="BF230" i="14"/>
  <c r="BK159" i="14"/>
  <c r="BK199" i="14"/>
  <c r="DH199" i="14" s="1"/>
  <c r="DH195" i="14" s="1"/>
  <c r="AZ203" i="14"/>
  <c r="AU258" i="14"/>
  <c r="AU260" i="14" s="1"/>
  <c r="BO258" i="14"/>
  <c r="BO260" i="14" s="1"/>
  <c r="AR258" i="14"/>
  <c r="BD258" i="14"/>
  <c r="BD260" i="14" s="1"/>
  <c r="BH258" i="14"/>
  <c r="BH260" i="14" s="1"/>
  <c r="AZ137" i="14"/>
  <c r="AQ149" i="14"/>
  <c r="AQ137" i="14" s="1"/>
  <c r="AS137" i="14"/>
  <c r="AX137" i="14" s="1"/>
  <c r="AV137" i="14" s="1"/>
  <c r="AZ151" i="14"/>
  <c r="AZ177" i="14"/>
  <c r="BK192" i="14"/>
  <c r="DH192" i="14" s="1"/>
  <c r="BM177" i="14"/>
  <c r="BM195" i="14"/>
  <c r="BB293" i="14"/>
  <c r="BK225" i="14"/>
  <c r="DH225" i="14" s="1"/>
  <c r="BK242" i="14"/>
  <c r="BF177" i="14"/>
  <c r="AZ195" i="14"/>
  <c r="BK203" i="14"/>
  <c r="BK241" i="14"/>
  <c r="DH241" i="14" s="1"/>
  <c r="DH230" i="14" s="1"/>
  <c r="AZ242" i="14"/>
  <c r="BF293" i="14"/>
  <c r="BG307" i="14"/>
  <c r="BG317" i="14" s="1"/>
  <c r="BG331" i="14" s="1"/>
  <c r="BH307" i="14"/>
  <c r="BH317" i="14" s="1"/>
  <c r="BH331" i="14" s="1"/>
  <c r="BH296" i="14"/>
  <c r="BF277" i="14"/>
  <c r="AQ277" i="14"/>
  <c r="BF267" i="14"/>
  <c r="R195" i="14" l="1"/>
  <c r="CH195" i="14"/>
  <c r="R177" i="14"/>
  <c r="CH177" i="14"/>
  <c r="DH137" i="14"/>
  <c r="R79" i="14"/>
  <c r="CH79" i="14"/>
  <c r="AT260" i="14"/>
  <c r="AY260" i="14" s="1"/>
  <c r="AY258" i="14"/>
  <c r="R128" i="14"/>
  <c r="CH128" i="14"/>
  <c r="R39" i="14"/>
  <c r="CH39" i="14"/>
  <c r="CF39" i="14" s="1"/>
  <c r="R94" i="14"/>
  <c r="CH94" i="14"/>
  <c r="CK151" i="14"/>
  <c r="CF195" i="14"/>
  <c r="CF177" i="14"/>
  <c r="CF128" i="14"/>
  <c r="CF230" i="14"/>
  <c r="CF203" i="14"/>
  <c r="CF159" i="14"/>
  <c r="CF8" i="14"/>
  <c r="AR260" i="14"/>
  <c r="AW260" i="14" s="1"/>
  <c r="AW258" i="14"/>
  <c r="R137" i="14"/>
  <c r="CH137" i="14"/>
  <c r="CF137" i="14" s="1"/>
  <c r="R220" i="14"/>
  <c r="CH220" i="14"/>
  <c r="CF220" i="14" s="1"/>
  <c r="CF151" i="14"/>
  <c r="CF242" i="14"/>
  <c r="CF114" i="14"/>
  <c r="CF79" i="14"/>
  <c r="CF57" i="14"/>
  <c r="BN331" i="14"/>
  <c r="CI331" i="14" s="1"/>
  <c r="CI317" i="14"/>
  <c r="BM331" i="14"/>
  <c r="CH331" i="14" s="1"/>
  <c r="CH317" i="14"/>
  <c r="CL185" i="14"/>
  <c r="CM185" i="14" s="1"/>
  <c r="CK8" i="14"/>
  <c r="BN260" i="14"/>
  <c r="CI260" i="14" s="1"/>
  <c r="S258" i="14"/>
  <c r="DH177" i="14"/>
  <c r="DN8" i="14"/>
  <c r="DO8" i="14" s="1"/>
  <c r="DH220" i="14"/>
  <c r="CL119" i="14"/>
  <c r="CM119" i="14" s="1"/>
  <c r="DN119" i="14" s="1"/>
  <c r="CK20" i="14"/>
  <c r="CL203" i="14"/>
  <c r="CK203" i="14" s="1"/>
  <c r="CM240" i="14"/>
  <c r="DN240" i="14" s="1"/>
  <c r="CL230" i="14"/>
  <c r="CK230" i="14" s="1"/>
  <c r="CM163" i="14"/>
  <c r="DN163" i="14" s="1"/>
  <c r="CL44" i="14"/>
  <c r="CM44" i="14" s="1"/>
  <c r="DN44" i="14" s="1"/>
  <c r="DN138" i="14"/>
  <c r="AQ268" i="14"/>
  <c r="BA265" i="14"/>
  <c r="DN178" i="14"/>
  <c r="DN204" i="14"/>
  <c r="DN203" i="14" s="1"/>
  <c r="DO203" i="14" s="1"/>
  <c r="CM203" i="14"/>
  <c r="DN160" i="14"/>
  <c r="CM27" i="14"/>
  <c r="DN27" i="14" s="1"/>
  <c r="CM8" i="14"/>
  <c r="DN26" i="14"/>
  <c r="CM128" i="14"/>
  <c r="DN129" i="14"/>
  <c r="DN128" i="14" s="1"/>
  <c r="DO128" i="14" s="1"/>
  <c r="CL195" i="14"/>
  <c r="CK195" i="14" s="1"/>
  <c r="DN115" i="14"/>
  <c r="CM62" i="14"/>
  <c r="CM95" i="14"/>
  <c r="CL82" i="14"/>
  <c r="CM82" i="14" s="1"/>
  <c r="CM151" i="14"/>
  <c r="DN152" i="14"/>
  <c r="DN151" i="14" s="1"/>
  <c r="DO151" i="14" s="1"/>
  <c r="CL128" i="14"/>
  <c r="CK128" i="14" s="1"/>
  <c r="DN239" i="14"/>
  <c r="DH79" i="14"/>
  <c r="CM43" i="14"/>
  <c r="CL140" i="14"/>
  <c r="DN221" i="14"/>
  <c r="DN198" i="14"/>
  <c r="DN195" i="14" s="1"/>
  <c r="DO195" i="14" s="1"/>
  <c r="CM195" i="14"/>
  <c r="CM6" i="14"/>
  <c r="DN7" i="14"/>
  <c r="DN6" i="14" s="1"/>
  <c r="DO6" i="14" s="1"/>
  <c r="DN245" i="14"/>
  <c r="DN242" i="14" s="1"/>
  <c r="CM242" i="14"/>
  <c r="CL242" i="14"/>
  <c r="AV297" i="14"/>
  <c r="BA57" i="14"/>
  <c r="CL63" i="14" s="1"/>
  <c r="CM63" i="14" s="1"/>
  <c r="DN63" i="14" s="1"/>
  <c r="AX296" i="14"/>
  <c r="AV296" i="14" s="1"/>
  <c r="BA220" i="14"/>
  <c r="CL228" i="14" s="1"/>
  <c r="BB260" i="14"/>
  <c r="BB294" i="14" s="1"/>
  <c r="BA177" i="14"/>
  <c r="BA94" i="14"/>
  <c r="CL103" i="14" s="1"/>
  <c r="CM103" i="14" s="1"/>
  <c r="DN103" i="14" s="1"/>
  <c r="AQ220" i="14"/>
  <c r="BL317" i="14"/>
  <c r="CG317" i="14" s="1"/>
  <c r="CF317" i="14" s="1"/>
  <c r="BK307" i="14"/>
  <c r="BF265" i="14"/>
  <c r="BA79" i="14"/>
  <c r="BG264" i="14"/>
  <c r="BG292" i="14" s="1"/>
  <c r="BG294" i="14"/>
  <c r="BG308" i="14" s="1"/>
  <c r="AV314" i="14"/>
  <c r="BI264" i="14"/>
  <c r="BI292" i="14" s="1"/>
  <c r="BI306" i="14" s="1"/>
  <c r="BE264" i="14"/>
  <c r="BE292" i="14" s="1"/>
  <c r="BE306" i="14" s="1"/>
  <c r="BA230" i="14"/>
  <c r="AZ258" i="14"/>
  <c r="AZ260" i="14" s="1"/>
  <c r="AZ262" i="14" s="1"/>
  <c r="BF260" i="14"/>
  <c r="AQ177" i="14"/>
  <c r="BM258" i="14"/>
  <c r="CH258" i="14" s="1"/>
  <c r="BK128" i="14"/>
  <c r="BF258" i="14"/>
  <c r="AS258" i="14"/>
  <c r="BC258" i="14"/>
  <c r="BC260" i="14" s="1"/>
  <c r="BF307" i="14"/>
  <c r="BF317" i="14" s="1"/>
  <c r="BF331" i="14" s="1"/>
  <c r="BB307" i="14"/>
  <c r="BB317" i="14" s="1"/>
  <c r="BA293" i="14"/>
  <c r="BK137" i="14"/>
  <c r="AQ272" i="14"/>
  <c r="AQ266" i="14" s="1"/>
  <c r="BK230" i="14"/>
  <c r="BK220" i="14"/>
  <c r="BK177" i="14"/>
  <c r="BH264" i="14"/>
  <c r="BH292" i="14" s="1"/>
  <c r="BH262" i="14"/>
  <c r="BN264" i="14"/>
  <c r="BN294" i="14" s="1"/>
  <c r="BN262" i="14"/>
  <c r="CI262" i="14" s="1"/>
  <c r="AT323" i="14"/>
  <c r="AT262" i="14"/>
  <c r="AY262" i="14" s="1"/>
  <c r="AT264" i="14"/>
  <c r="AT294" i="14" s="1"/>
  <c r="AR323" i="14"/>
  <c r="AR264" i="14"/>
  <c r="AR262" i="14"/>
  <c r="AW262" i="14" s="1"/>
  <c r="BO264" i="14"/>
  <c r="BO292" i="14" s="1"/>
  <c r="BO262" i="14"/>
  <c r="BJ262" i="14"/>
  <c r="BJ264" i="14"/>
  <c r="BJ292" i="14" s="1"/>
  <c r="AQ273" i="14"/>
  <c r="BD264" i="14"/>
  <c r="BD292" i="14" s="1"/>
  <c r="BD262" i="14"/>
  <c r="AU264" i="14"/>
  <c r="AU292" i="14" s="1"/>
  <c r="AU262" i="14"/>
  <c r="BK195" i="14"/>
  <c r="BA159" i="14"/>
  <c r="CL164" i="14" s="1"/>
  <c r="CM164" i="14" s="1"/>
  <c r="DN164" i="14" s="1"/>
  <c r="BK79" i="14"/>
  <c r="AW264" i="14" l="1"/>
  <c r="AR294" i="14"/>
  <c r="AS260" i="14"/>
  <c r="AX260" i="14" s="1"/>
  <c r="AV260" i="14" s="1"/>
  <c r="AX258" i="14"/>
  <c r="AV258" i="14" s="1"/>
  <c r="AT292" i="14"/>
  <c r="AY292" i="14" s="1"/>
  <c r="AY306" i="14" s="1"/>
  <c r="AT325" i="14" s="1"/>
  <c r="AY264" i="14"/>
  <c r="BN292" i="14"/>
  <c r="CI292" i="14" s="1"/>
  <c r="CI264" i="14"/>
  <c r="CI294" i="14" s="1"/>
  <c r="AS323" i="14"/>
  <c r="DN185" i="14"/>
  <c r="DN177" i="14" s="1"/>
  <c r="DO177" i="14" s="1"/>
  <c r="CM177" i="14"/>
  <c r="CL177" i="14"/>
  <c r="CK177" i="14" s="1"/>
  <c r="BM260" i="14"/>
  <c r="R258" i="14"/>
  <c r="CM159" i="14"/>
  <c r="CL159" i="14"/>
  <c r="CK159" i="14" s="1"/>
  <c r="BK317" i="14"/>
  <c r="BK331" i="14" s="1"/>
  <c r="CL121" i="14"/>
  <c r="CM121" i="14" s="1"/>
  <c r="DN121" i="14" s="1"/>
  <c r="DN114" i="14" s="1"/>
  <c r="DO114" i="14" s="1"/>
  <c r="CL79" i="14"/>
  <c r="CK79" i="14" s="1"/>
  <c r="CL94" i="14"/>
  <c r="CK94" i="14" s="1"/>
  <c r="CM228" i="14"/>
  <c r="CL220" i="14"/>
  <c r="CK220" i="14" s="1"/>
  <c r="CM57" i="14"/>
  <c r="DN62" i="14"/>
  <c r="DN57" i="14" s="1"/>
  <c r="DO57" i="14" s="1"/>
  <c r="CM140" i="14"/>
  <c r="CM94" i="14"/>
  <c r="DN95" i="14"/>
  <c r="DN94" i="14" s="1"/>
  <c r="DO94" i="14" s="1"/>
  <c r="CL146" i="14"/>
  <c r="CM146" i="14" s="1"/>
  <c r="DN146" i="14" s="1"/>
  <c r="CL39" i="14"/>
  <c r="CK39" i="14" s="1"/>
  <c r="CM230" i="14"/>
  <c r="DN20" i="14"/>
  <c r="DO20" i="14" s="1"/>
  <c r="DN159" i="14"/>
  <c r="DO159" i="14" s="1"/>
  <c r="DN43" i="14"/>
  <c r="DN39" i="14" s="1"/>
  <c r="DO39" i="14" s="1"/>
  <c r="CM39" i="14"/>
  <c r="DN230" i="14"/>
  <c r="DO230" i="14" s="1"/>
  <c r="CL57" i="14"/>
  <c r="CK57" i="14" s="1"/>
  <c r="CM20" i="14"/>
  <c r="DN82" i="14"/>
  <c r="DN79" i="14" s="1"/>
  <c r="DO79" i="14" s="1"/>
  <c r="CM79" i="14"/>
  <c r="DO242" i="14"/>
  <c r="CK242" i="14"/>
  <c r="BB262" i="14"/>
  <c r="BB264" i="14"/>
  <c r="BB292" i="14" s="1"/>
  <c r="BA317" i="14"/>
  <c r="BA331" i="14" s="1"/>
  <c r="BB331" i="14"/>
  <c r="BL331" i="14"/>
  <c r="CG331" i="14" s="1"/>
  <c r="CF331" i="14" s="1"/>
  <c r="AQ258" i="14"/>
  <c r="AZ294" i="14"/>
  <c r="AZ308" i="14" s="1"/>
  <c r="AZ318" i="14" s="1"/>
  <c r="AZ264" i="14"/>
  <c r="AZ292" i="14" s="1"/>
  <c r="AZ306" i="14" s="1"/>
  <c r="AU325" i="14" s="1"/>
  <c r="BF262" i="14"/>
  <c r="BE294" i="14"/>
  <c r="BE308" i="14" s="1"/>
  <c r="BE318" i="14" s="1"/>
  <c r="BI294" i="14"/>
  <c r="BI308" i="14" s="1"/>
  <c r="BI318" i="14" s="1"/>
  <c r="BF264" i="14"/>
  <c r="AQ260" i="14"/>
  <c r="AQ323" i="14" s="1"/>
  <c r="AS262" i="14"/>
  <c r="AS264" i="14"/>
  <c r="AS294" i="14" s="1"/>
  <c r="BC262" i="14"/>
  <c r="BA260" i="14"/>
  <c r="BC264" i="14"/>
  <c r="BC292" i="14" s="1"/>
  <c r="BC294" i="14" s="1"/>
  <c r="AQ271" i="14"/>
  <c r="BA307" i="14"/>
  <c r="BG318" i="14"/>
  <c r="BO306" i="14"/>
  <c r="BO294" i="14"/>
  <c r="BO308" i="14" s="1"/>
  <c r="BO318" i="14" s="1"/>
  <c r="BN306" i="14"/>
  <c r="CI306" i="14" s="1"/>
  <c r="BD306" i="14"/>
  <c r="BD320" i="14" s="1"/>
  <c r="BD294" i="14"/>
  <c r="BD308" i="14" s="1"/>
  <c r="BD318" i="14" s="1"/>
  <c r="BJ306" i="14"/>
  <c r="BE320" i="14" s="1"/>
  <c r="BJ294" i="14"/>
  <c r="BJ308" i="14" s="1"/>
  <c r="BJ318" i="14" s="1"/>
  <c r="BB308" i="14"/>
  <c r="BG306" i="14"/>
  <c r="BF292" i="14"/>
  <c r="BF306" i="14" s="1"/>
  <c r="AU294" i="14"/>
  <c r="AU308" i="14" s="1"/>
  <c r="AU318" i="14" s="1"/>
  <c r="AU306" i="14"/>
  <c r="AW294" i="14"/>
  <c r="BH306" i="14"/>
  <c r="BH294" i="14"/>
  <c r="BA258" i="14"/>
  <c r="BN308" i="14" l="1"/>
  <c r="AS292" i="14"/>
  <c r="AS306" i="14" s="1"/>
  <c r="AX264" i="14"/>
  <c r="AV264" i="14" s="1"/>
  <c r="AY294" i="14"/>
  <c r="AY308" i="14" s="1"/>
  <c r="AY318" i="14" s="1"/>
  <c r="AY332" i="14" s="1"/>
  <c r="AQ262" i="14"/>
  <c r="AX262" i="14"/>
  <c r="AV262" i="14" s="1"/>
  <c r="BM262" i="14"/>
  <c r="CH262" i="14" s="1"/>
  <c r="CH260" i="14"/>
  <c r="AT306" i="14"/>
  <c r="AT321" i="14"/>
  <c r="BM264" i="14"/>
  <c r="BM294" i="14" s="1"/>
  <c r="CM114" i="14"/>
  <c r="CL114" i="14"/>
  <c r="CK114" i="14" s="1"/>
  <c r="CL137" i="14"/>
  <c r="CK137" i="14" s="1"/>
  <c r="DN228" i="14"/>
  <c r="DN220" i="14" s="1"/>
  <c r="DO220" i="14" s="1"/>
  <c r="CM220" i="14"/>
  <c r="DN140" i="14"/>
  <c r="DN137" i="14" s="1"/>
  <c r="DO137" i="14" s="1"/>
  <c r="CM137" i="14"/>
  <c r="BA262" i="14"/>
  <c r="AU316" i="14"/>
  <c r="AU330" i="14" s="1"/>
  <c r="AU332" i="14"/>
  <c r="BO316" i="14"/>
  <c r="BO330" i="14" s="1"/>
  <c r="BO332" i="14"/>
  <c r="BG316" i="14"/>
  <c r="BG330" i="14" s="1"/>
  <c r="BG332" i="14"/>
  <c r="BI316" i="14"/>
  <c r="BI330" i="14" s="1"/>
  <c r="BI332" i="14"/>
  <c r="AZ316" i="14"/>
  <c r="AZ330" i="14" s="1"/>
  <c r="AZ332" i="14"/>
  <c r="BD316" i="14"/>
  <c r="BD330" i="14" s="1"/>
  <c r="BD332" i="14"/>
  <c r="AY316" i="14"/>
  <c r="AY330" i="14" s="1"/>
  <c r="BE316" i="14"/>
  <c r="BE330" i="14" s="1"/>
  <c r="BE332" i="14"/>
  <c r="BJ316" i="14"/>
  <c r="BJ330" i="14" s="1"/>
  <c r="BJ332" i="14"/>
  <c r="BN320" i="14"/>
  <c r="CI320" i="14" s="1"/>
  <c r="AQ264" i="14"/>
  <c r="BC308" i="14"/>
  <c r="BC318" i="14" s="1"/>
  <c r="BA294" i="14"/>
  <c r="BC306" i="14"/>
  <c r="BC320" i="14" s="1"/>
  <c r="BA264" i="14"/>
  <c r="BH308" i="14"/>
  <c r="BF294" i="14"/>
  <c r="AR308" i="14"/>
  <c r="AR322" i="14"/>
  <c r="BB318" i="14"/>
  <c r="BO320" i="14"/>
  <c r="BB306" i="14"/>
  <c r="BB320" i="14" s="1"/>
  <c r="BA292" i="14"/>
  <c r="BA306" i="14" s="1"/>
  <c r="BA320" i="14" s="1"/>
  <c r="AT322" i="14" l="1"/>
  <c r="AS321" i="14"/>
  <c r="AX292" i="14"/>
  <c r="AX306" i="14" s="1"/>
  <c r="AS325" i="14" s="1"/>
  <c r="BM292" i="14"/>
  <c r="CH264" i="14"/>
  <c r="CH294" i="14" s="1"/>
  <c r="BN318" i="14"/>
  <c r="CI308" i="14"/>
  <c r="AT308" i="14"/>
  <c r="AT318" i="14" s="1"/>
  <c r="AT316" i="14" s="1"/>
  <c r="AT330" i="14" s="1"/>
  <c r="CL258" i="14"/>
  <c r="CL260" i="14" s="1"/>
  <c r="CM264" i="14" s="1"/>
  <c r="CM258" i="14"/>
  <c r="CM260" i="14" s="1"/>
  <c r="CM262" i="14" s="1"/>
  <c r="DN258" i="14"/>
  <c r="DN260" i="14" s="1"/>
  <c r="DN264" i="14" s="1"/>
  <c r="BC316" i="14"/>
  <c r="BC330" i="14" s="1"/>
  <c r="BC332" i="14"/>
  <c r="BB316" i="14"/>
  <c r="BB330" i="14" s="1"/>
  <c r="BB332" i="14"/>
  <c r="AS322" i="14"/>
  <c r="BA318" i="14"/>
  <c r="BA332" i="14" s="1"/>
  <c r="BA308" i="14"/>
  <c r="AW308" i="14"/>
  <c r="AR318" i="14"/>
  <c r="AR332" i="14" s="1"/>
  <c r="BH318" i="14"/>
  <c r="BF308" i="14"/>
  <c r="BF318" i="14" s="1"/>
  <c r="BF332" i="14" s="1"/>
  <c r="AT332" i="14" l="1"/>
  <c r="AS308" i="14"/>
  <c r="AX294" i="14"/>
  <c r="AQ294" i="14"/>
  <c r="AQ322" i="14" s="1"/>
  <c r="CH292" i="14"/>
  <c r="BM306" i="14"/>
  <c r="CI318" i="14"/>
  <c r="BN332" i="14"/>
  <c r="CI332" i="14" s="1"/>
  <c r="BN316" i="14"/>
  <c r="CL262" i="14"/>
  <c r="CL268" i="14"/>
  <c r="CM268" i="14"/>
  <c r="CM265" i="14"/>
  <c r="BH316" i="14"/>
  <c r="BH332" i="14"/>
  <c r="BA316" i="14"/>
  <c r="BA330" i="14" s="1"/>
  <c r="AW318" i="14"/>
  <c r="AW332" i="14" s="1"/>
  <c r="BM320" i="14" l="1"/>
  <c r="CH320" i="14" s="1"/>
  <c r="CH306" i="14"/>
  <c r="BM308" i="14"/>
  <c r="AS318" i="14"/>
  <c r="AQ308" i="14"/>
  <c r="BN330" i="14"/>
  <c r="CI330" i="14" s="1"/>
  <c r="CI316" i="14"/>
  <c r="AV294" i="14"/>
  <c r="AX308" i="14"/>
  <c r="BF316" i="14"/>
  <c r="BF330" i="14" s="1"/>
  <c r="BH330" i="14"/>
  <c r="BL94" i="14"/>
  <c r="CG94" i="14" s="1"/>
  <c r="CF94" i="14" s="1"/>
  <c r="BK105" i="14"/>
  <c r="DH105" i="14" s="1"/>
  <c r="DH94" i="14" s="1"/>
  <c r="DH258" i="14" s="1"/>
  <c r="DH260" i="14" s="1"/>
  <c r="BM318" i="14" l="1"/>
  <c r="CH308" i="14"/>
  <c r="AS332" i="14"/>
  <c r="AS316" i="14"/>
  <c r="AQ318" i="14"/>
  <c r="AQ332" i="14" s="1"/>
  <c r="AX318" i="14"/>
  <c r="AV308" i="14"/>
  <c r="AV318" i="14" s="1"/>
  <c r="AV332" i="14" s="1"/>
  <c r="BL258" i="14"/>
  <c r="Q94" i="14"/>
  <c r="DH316" i="14"/>
  <c r="DF316" i="14" s="1"/>
  <c r="DH262" i="14"/>
  <c r="BK94" i="14"/>
  <c r="BK258" i="14" s="1"/>
  <c r="BL260" i="14" l="1"/>
  <c r="CG260" i="14" s="1"/>
  <c r="CF260" i="14" s="1"/>
  <c r="CG258" i="14"/>
  <c r="CF258" i="14" s="1"/>
  <c r="AX332" i="14"/>
  <c r="AX316" i="14"/>
  <c r="BM332" i="14"/>
  <c r="CH332" i="14" s="1"/>
  <c r="CH318" i="14"/>
  <c r="BM316" i="14"/>
  <c r="AS330" i="14"/>
  <c r="BK260" i="14"/>
  <c r="BL262" i="14"/>
  <c r="Q258" i="14"/>
  <c r="BL264" i="14" l="1"/>
  <c r="BL294" i="14" s="1"/>
  <c r="BM330" i="14"/>
  <c r="CH330" i="14" s="1"/>
  <c r="CH316" i="14"/>
  <c r="BK262" i="14"/>
  <c r="CG262" i="14"/>
  <c r="CF262" i="14" s="1"/>
  <c r="AX330" i="14"/>
  <c r="BL308" i="14"/>
  <c r="CG308" i="14" s="1"/>
  <c r="CF308" i="14" s="1"/>
  <c r="BK264" i="14"/>
  <c r="BK294" i="14" s="1"/>
  <c r="CG264" i="14" l="1"/>
  <c r="BL292" i="14"/>
  <c r="CG292" i="14" s="1"/>
  <c r="CF292" i="14" s="1"/>
  <c r="CF264" i="14"/>
  <c r="CF294" i="14" s="1"/>
  <c r="CG294" i="14"/>
  <c r="BK292" i="14"/>
  <c r="BK306" i="14" s="1"/>
  <c r="BK320" i="14" s="1"/>
  <c r="BL318" i="14"/>
  <c r="CG318" i="14" s="1"/>
  <c r="CF318" i="14" s="1"/>
  <c r="BK308" i="14"/>
  <c r="BL306" i="14" l="1"/>
  <c r="BK318" i="14"/>
  <c r="BK332" i="14" s="1"/>
  <c r="BL332" i="14"/>
  <c r="CG332" i="14" s="1"/>
  <c r="CF332" i="14" s="1"/>
  <c r="BL316" i="14"/>
  <c r="CG316" i="14" s="1"/>
  <c r="CF316" i="14" s="1"/>
  <c r="CG306" i="14" l="1"/>
  <c r="CF306" i="14" s="1"/>
  <c r="BL320" i="14"/>
  <c r="CG320" i="14" s="1"/>
  <c r="CF320" i="14" s="1"/>
  <c r="BL330" i="14"/>
  <c r="CG330" i="14" s="1"/>
  <c r="CF330" i="14" s="1"/>
  <c r="BK316" i="14"/>
  <c r="BK330" i="14" s="1"/>
  <c r="AR286" i="14"/>
  <c r="AW286" i="14" s="1"/>
  <c r="AV286" i="14" s="1"/>
  <c r="AQ288" i="14"/>
  <c r="AQ286" i="14" s="1"/>
  <c r="AR267" i="14"/>
  <c r="AR265" i="14" s="1"/>
  <c r="AW288" i="14"/>
  <c r="AV288" i="14" s="1"/>
  <c r="AW265" i="14" l="1"/>
  <c r="AV265" i="14" s="1"/>
  <c r="AR292" i="14"/>
  <c r="AW267" i="14"/>
  <c r="AV267" i="14" s="1"/>
  <c r="AR293" i="14"/>
  <c r="AQ267" i="14"/>
  <c r="AQ265" i="14" s="1"/>
  <c r="AR307" i="14" l="1"/>
  <c r="AW293" i="14"/>
  <c r="AQ293" i="14"/>
  <c r="AR321" i="14"/>
  <c r="AQ292" i="14"/>
  <c r="AR306" i="14"/>
  <c r="AW292" i="14"/>
  <c r="AV293" i="14" l="1"/>
  <c r="AW307" i="14"/>
  <c r="AV292" i="14"/>
  <c r="AV306" i="14" s="1"/>
  <c r="AQ325" i="14" s="1"/>
  <c r="AW306" i="14"/>
  <c r="AR325" i="14" s="1"/>
  <c r="AQ321" i="14"/>
  <c r="AQ306" i="14"/>
  <c r="AQ307" i="14"/>
  <c r="AR317" i="14"/>
  <c r="AR331" i="14" l="1"/>
  <c r="AR316" i="14"/>
  <c r="AQ317" i="14"/>
  <c r="AQ331" i="14" s="1"/>
  <c r="AV307" i="14"/>
  <c r="AV317" i="14" s="1"/>
  <c r="AV331" i="14" s="1"/>
  <c r="AW317" i="14"/>
  <c r="AR330" i="14" l="1"/>
  <c r="AQ316" i="14"/>
  <c r="AQ330" i="14" s="1"/>
  <c r="AW331" i="14"/>
  <c r="AW316" i="14"/>
  <c r="AW330" i="14" l="1"/>
  <c r="AV316" i="14"/>
  <c r="AV330" i="14" s="1"/>
</calcChain>
</file>

<file path=xl/sharedStrings.xml><?xml version="1.0" encoding="utf-8"?>
<sst xmlns="http://schemas.openxmlformats.org/spreadsheetml/2006/main" count="1089" uniqueCount="563">
  <si>
    <t>№ п/п</t>
  </si>
  <si>
    <t>Наименование муниципального образования</t>
  </si>
  <si>
    <t>г. Сосновый Бор</t>
  </si>
  <si>
    <t>Выборгский район</t>
  </si>
  <si>
    <t>Тосненский район</t>
  </si>
  <si>
    <t>Кировский  район</t>
  </si>
  <si>
    <t>Лодейнопольский  район</t>
  </si>
  <si>
    <t>ВСЕГО по плану</t>
  </si>
  <si>
    <t>Сосновоборский гор.округ</t>
  </si>
  <si>
    <t>Бокситогорский  район</t>
  </si>
  <si>
    <t>Волосовский  район</t>
  </si>
  <si>
    <t>Тихвинский  район</t>
  </si>
  <si>
    <t>Сланцевский  район</t>
  </si>
  <si>
    <t>Приозерский район</t>
  </si>
  <si>
    <t>Подпорожский  район</t>
  </si>
  <si>
    <t>Волховский  район</t>
  </si>
  <si>
    <t>Всеволожский район</t>
  </si>
  <si>
    <t>Гатчинский район</t>
  </si>
  <si>
    <t>Кингисеппский район</t>
  </si>
  <si>
    <t>Киришский  район</t>
  </si>
  <si>
    <t>Лодейнопольский район</t>
  </si>
  <si>
    <t>Ломоносовский район</t>
  </si>
  <si>
    <t>Лужский район</t>
  </si>
  <si>
    <t xml:space="preserve">ВСЕГО </t>
  </si>
  <si>
    <t>ВСЕГО</t>
  </si>
  <si>
    <t>МО Город Пикалево</t>
  </si>
  <si>
    <t>МО Город Волхов</t>
  </si>
  <si>
    <t>МО Город Всеволожск</t>
  </si>
  <si>
    <t>МО Сертолово</t>
  </si>
  <si>
    <t>МО Город Выборг</t>
  </si>
  <si>
    <t>МО Город Гатчина</t>
  </si>
  <si>
    <t>МО Город Коммунар</t>
  </si>
  <si>
    <t>МО Бокситогорское г.п.</t>
  </si>
  <si>
    <t>МО Волосовское г.п.</t>
  </si>
  <si>
    <t>МО Новоладожское г.п.</t>
  </si>
  <si>
    <t>МО Сясьстройское г.п.</t>
  </si>
  <si>
    <t>МО Дубровское г.п.</t>
  </si>
  <si>
    <t>МО Кузьмоловское г.п.</t>
  </si>
  <si>
    <t>МО Рахьинское г.п.</t>
  </si>
  <si>
    <t>МО Свердловское г.п.</t>
  </si>
  <si>
    <t>МО Токсовское г.п.</t>
  </si>
  <si>
    <t>МО Каменногорское г.п.</t>
  </si>
  <si>
    <t>МО Приморское г.п.</t>
  </si>
  <si>
    <t>МО Рощинское г.п.</t>
  </si>
  <si>
    <t>МО Светогорское г.п.</t>
  </si>
  <si>
    <t>МО Советское г.п.</t>
  </si>
  <si>
    <t>МО Дружногорское г.п.</t>
  </si>
  <si>
    <t>МО Сиверское г.п.</t>
  </si>
  <si>
    <t>МО Будогощское г.п.</t>
  </si>
  <si>
    <t>МО Мгинское г.п.</t>
  </si>
  <si>
    <t>МО Назиевское г.п.</t>
  </si>
  <si>
    <t>МО Павловское г.п.</t>
  </si>
  <si>
    <t>МО Приладожское г.п.</t>
  </si>
  <si>
    <t>МО Шлиссельбургское г.п.</t>
  </si>
  <si>
    <t>МО Лодейнопольское г.п.</t>
  </si>
  <si>
    <t>МО Свирьстройское г.п.</t>
  </si>
  <si>
    <t>МО Большеижорское г.п.</t>
  </si>
  <si>
    <t>МО Лебяженское г.п.</t>
  </si>
  <si>
    <t>МО Лужское г.п.</t>
  </si>
  <si>
    <t>МО Толмачевское г.п.</t>
  </si>
  <si>
    <t>МО Никольское г.п.</t>
  </si>
  <si>
    <t>МО Подпорожское г.п.</t>
  </si>
  <si>
    <t>МО Приозерское г.п.</t>
  </si>
  <si>
    <t>МО Сланцевское г.п.</t>
  </si>
  <si>
    <t>МО Тихвинское г.п.</t>
  </si>
  <si>
    <t>МО Любанское г.п.</t>
  </si>
  <si>
    <t>МО Красноборское г.п.</t>
  </si>
  <si>
    <t>МО Рябовское г.п.</t>
  </si>
  <si>
    <t>МО Тосненское г.п.</t>
  </si>
  <si>
    <t>МО Форносовское г.п.</t>
  </si>
  <si>
    <t>МО Борское с.п.</t>
  </si>
  <si>
    <t>МО Бегуницкое с.п.</t>
  </si>
  <si>
    <t>МО Беседское с.п.</t>
  </si>
  <si>
    <t>МО Большеврудское с.п.</t>
  </si>
  <si>
    <t>МО Губаницкое с.п.</t>
  </si>
  <si>
    <t>МО Зимитицкое с.п.</t>
  </si>
  <si>
    <t>МО Изварское с.п.</t>
  </si>
  <si>
    <t>МО Калитинское с.п.</t>
  </si>
  <si>
    <t>МО Каложицкое с.п.</t>
  </si>
  <si>
    <t>МО Кикеринское с.п.</t>
  </si>
  <si>
    <t>МО Клопицкое с.п.</t>
  </si>
  <si>
    <t>МО Курское с.п.</t>
  </si>
  <si>
    <t>МО Рабитицкое с.п.</t>
  </si>
  <si>
    <t>МО Сабское с.п.</t>
  </si>
  <si>
    <t>МО Сельцовское с.п.</t>
  </si>
  <si>
    <t>МО Терпилицкое с.п.</t>
  </si>
  <si>
    <t>МО Бережковское с.п.</t>
  </si>
  <si>
    <t>МО Вындиноостровское с.п.</t>
  </si>
  <si>
    <t>МО Кисельнинское с.п.</t>
  </si>
  <si>
    <t>МО Колчановское с.п.</t>
  </si>
  <si>
    <t>МО Пашское с.п.</t>
  </si>
  <si>
    <t>МО Свирицкое с.п.</t>
  </si>
  <si>
    <t>МО Усадищенское с.п.</t>
  </si>
  <si>
    <t>МО Романовское с.п.</t>
  </si>
  <si>
    <t>МО Щегловское с.п.</t>
  </si>
  <si>
    <t>МО Гончаровское с.п.</t>
  </si>
  <si>
    <t>МО Красносельское с.п.</t>
  </si>
  <si>
    <t>МО Первомайское с.п.</t>
  </si>
  <si>
    <t>МО Полянское с.п.</t>
  </si>
  <si>
    <t>МО Селезневское с.п.</t>
  </si>
  <si>
    <t>МО Большеколпанское с.п.</t>
  </si>
  <si>
    <t>МО Веревское с.п.</t>
  </si>
  <si>
    <t>МО Войсковицкое с.п.</t>
  </si>
  <si>
    <t>МО Елизаветинское с.п.</t>
  </si>
  <si>
    <t>МО Кобринское с.п.</t>
  </si>
  <si>
    <t>МО Новосветское с.п.</t>
  </si>
  <si>
    <t>МО Рождественское с.п.</t>
  </si>
  <si>
    <t>МО Сусанинское с.п.</t>
  </si>
  <si>
    <t>МО Сяськелевское с.п.</t>
  </si>
  <si>
    <t>МО Пчевжинское с.п.</t>
  </si>
  <si>
    <t>МО Путиловское с.п.</t>
  </si>
  <si>
    <t>МО Суховское с.п.</t>
  </si>
  <si>
    <t>МО Шумское с.п.</t>
  </si>
  <si>
    <t>МО Алеховщинское с.п.</t>
  </si>
  <si>
    <t>МО Доможировское с.п.</t>
  </si>
  <si>
    <t>МО Янегское с.п.</t>
  </si>
  <si>
    <t>МО Аннинское с.п.</t>
  </si>
  <si>
    <t>МО Виллозское с.п.</t>
  </si>
  <si>
    <t>МО Горбунковское с.п.</t>
  </si>
  <si>
    <t>МО Гостилицкое с.п.</t>
  </si>
  <si>
    <t>МО Кипенское с.п.</t>
  </si>
  <si>
    <t>МО Копорское с.п.</t>
  </si>
  <si>
    <t>МО Лопухинское с.п.</t>
  </si>
  <si>
    <t>МО Низинское с.п.</t>
  </si>
  <si>
    <t>МО Оржицкое с.п.</t>
  </si>
  <si>
    <t>МО Пениковское с.п.</t>
  </si>
  <si>
    <t>МО Ропшинское с.п.</t>
  </si>
  <si>
    <t>МО Русско-Высоцкое с.п.</t>
  </si>
  <si>
    <t>МО Володарское с.п.</t>
  </si>
  <si>
    <t>МО Волошовское с.п.</t>
  </si>
  <si>
    <t>МО Дзержинское с.п.</t>
  </si>
  <si>
    <t>МО Заклинское с.п.</t>
  </si>
  <si>
    <t>МО Мшинское с.п.</t>
  </si>
  <si>
    <t>МО Оредежское с.п.</t>
  </si>
  <si>
    <t>МО Осьминское с.п.</t>
  </si>
  <si>
    <t>МО Ретюнское с.п.</t>
  </si>
  <si>
    <t>МО Серебрянское с.п.</t>
  </si>
  <si>
    <t>МО Скребловское с.п.</t>
  </si>
  <si>
    <t>МО Тёсовское с.п.</t>
  </si>
  <si>
    <t>МО Ям-Тёсовское с.п.</t>
  </si>
  <si>
    <t>МО Громовское с.п.</t>
  </si>
  <si>
    <t>МО Ларионовское с.п.</t>
  </si>
  <si>
    <t>МО Мельниковское с.п.</t>
  </si>
  <si>
    <t>МО Плодовское с.п.</t>
  </si>
  <si>
    <t>МО Севастьяновское с.п.</t>
  </si>
  <si>
    <t>МО Сосновское с.п.</t>
  </si>
  <si>
    <t>МО Выскатское с.п.</t>
  </si>
  <si>
    <t>МО Гостицкое с.п.</t>
  </si>
  <si>
    <t>МО Новосельское с.п.</t>
  </si>
  <si>
    <t>МО Старопольское с.п.</t>
  </si>
  <si>
    <t>МО Пашозерское с.п.</t>
  </si>
  <si>
    <t>МО Шугозерское с.п.</t>
  </si>
  <si>
    <t>МО Лисинское с.п.</t>
  </si>
  <si>
    <t>МО Нурминское с.п.</t>
  </si>
  <si>
    <t>МО Трубникоборское с.п.</t>
  </si>
  <si>
    <t>МО Фёдоровское с.п.</t>
  </si>
  <si>
    <t>МО Шапкинское с.п.</t>
  </si>
  <si>
    <t>МО Кингисеппское г.п.</t>
  </si>
  <si>
    <t>МО Цвылевское с.п.</t>
  </si>
  <si>
    <t>ВСЕГО расходы МО</t>
  </si>
  <si>
    <t xml:space="preserve"> капитальный ремонт и ремонт дворовых территорий многоквартирных домов, проездов к дворовым территориям  </t>
  </si>
  <si>
    <t>Расходы МО за счет субсидий из областного бюджета (КАССОВЫЙ РАСХОД)</t>
  </si>
  <si>
    <t xml:space="preserve">Проектирование и строительство (рек-ция)  </t>
  </si>
  <si>
    <t xml:space="preserve">Кап. ремонт и ремонт двор. территорий многокварт. домов, проездов к двор.территориям  </t>
  </si>
  <si>
    <t>МО Староладожское с.п.</t>
  </si>
  <si>
    <t>МО Хваловское с.п.</t>
  </si>
  <si>
    <t>МО Колтушское с.п.</t>
  </si>
  <si>
    <t>МО Кусинское с.п.</t>
  </si>
  <si>
    <t>МО Мичуринское с.п.</t>
  </si>
  <si>
    <t>МО Петровское с.п.</t>
  </si>
  <si>
    <t>МО  Раздольевское с.п.</t>
  </si>
  <si>
    <t>МО  Ромашкинское с.п.</t>
  </si>
  <si>
    <t>МО Загривское с.п.</t>
  </si>
  <si>
    <t>МО Черновское с.п.</t>
  </si>
  <si>
    <t>МО Ганьковское с.п.</t>
  </si>
  <si>
    <t>МО Мелегежское с.п.</t>
  </si>
  <si>
    <t>МО Морозовское г.п.</t>
  </si>
  <si>
    <t>МО Пудостьское с.п.</t>
  </si>
  <si>
    <t>МО Вырицкое г.п.</t>
  </si>
  <si>
    <t>МО Нежновское с.п.</t>
  </si>
  <si>
    <t>с.п.</t>
  </si>
  <si>
    <t>г.п.</t>
  </si>
  <si>
    <t>районы+г.о.</t>
  </si>
  <si>
    <t xml:space="preserve">Кап. рем. и ремонт двор. территорий многокварт. домов, проездов к двор.территориям  </t>
  </si>
  <si>
    <t>Кап. рем. и рем.дорог, соц.знач. хар-р</t>
  </si>
  <si>
    <t xml:space="preserve">Проект-е и строительство (рек-ция)  </t>
  </si>
  <si>
    <t xml:space="preserve">Кап. рем. и ремонт авт. дорог </t>
  </si>
  <si>
    <t xml:space="preserve">Проект-е и строительство (рек-ция) * </t>
  </si>
  <si>
    <t>перчислено</t>
  </si>
  <si>
    <t>Кассовый расход МО</t>
  </si>
  <si>
    <t>Остаток на счете МО</t>
  </si>
  <si>
    <t>МО Бокситогорский район</t>
  </si>
  <si>
    <t>МО Большедворское с.п.</t>
  </si>
  <si>
    <t>МО Ефимовское г.п.</t>
  </si>
  <si>
    <t>МО Лидское с.п.</t>
  </si>
  <si>
    <t>МО Климовское с.п.</t>
  </si>
  <si>
    <t>МО Радогощинское с.п.</t>
  </si>
  <si>
    <t>МО Самойловское с.п.</t>
  </si>
  <si>
    <t>МО Иссадское с.п.</t>
  </si>
  <si>
    <t>МО Потанинское с.п.</t>
  </si>
  <si>
    <t>МО Всеволожский район</t>
  </si>
  <si>
    <t>МО Агалатовское с.п.</t>
  </si>
  <si>
    <t>МО Бугровское с.п.</t>
  </si>
  <si>
    <t>МО Куйвозовское с.п.</t>
  </si>
  <si>
    <t>МО Лесколовское с.п.</t>
  </si>
  <si>
    <t>МО Муринское с.п.</t>
  </si>
  <si>
    <t>МО Новодевяткинское с.п.</t>
  </si>
  <si>
    <t>МО Юкковское с.п.</t>
  </si>
  <si>
    <t>МО Выборгский район</t>
  </si>
  <si>
    <t>МО Высоцкое г.п.</t>
  </si>
  <si>
    <t>МО Таицкое г.п.</t>
  </si>
  <si>
    <t>МО Пудомягское с.п.</t>
  </si>
  <si>
    <t>МО Гатчинский район</t>
  </si>
  <si>
    <t>МО Фалилеевское с.п.</t>
  </si>
  <si>
    <t>МО Усть-Лужское с.п.</t>
  </si>
  <si>
    <t>МО Пустомержское с.п.</t>
  </si>
  <si>
    <t>МО Опольевское с.п.</t>
  </si>
  <si>
    <t>МО Кузёмкинское с.п.</t>
  </si>
  <si>
    <t>МО Котельское с.п.</t>
  </si>
  <si>
    <t>МО Город Ивангород</t>
  </si>
  <si>
    <t>МО Вистинское с.п.</t>
  </si>
  <si>
    <t>МО Большелуцкое с.п.</t>
  </si>
  <si>
    <t>МО Кингисеппский  район</t>
  </si>
  <si>
    <t>МО Пчевское с.п.</t>
  </si>
  <si>
    <t>МО Киришское г.п.</t>
  </si>
  <si>
    <t>МО Глажевское с.п.</t>
  </si>
  <si>
    <t>МО Киришский район</t>
  </si>
  <si>
    <t>МО Кировский  район</t>
  </si>
  <si>
    <t>МО Кировское г.п.</t>
  </si>
  <si>
    <t>МО Отрадненское г.п.</t>
  </si>
  <si>
    <t>МО Синявинское г.п.</t>
  </si>
  <si>
    <t>МО Лаголовское с.п.</t>
  </si>
  <si>
    <t>МО Ломоносовский  район</t>
  </si>
  <si>
    <t>МО Лужский район</t>
  </si>
  <si>
    <t>МО Торковичское с.п.</t>
  </si>
  <si>
    <t>МО Подпорожский район</t>
  </si>
  <si>
    <t>МО Важинское г.п.</t>
  </si>
  <si>
    <t>МО Винницкое с.п.</t>
  </si>
  <si>
    <t>МО Вознесенское г.п.</t>
  </si>
  <si>
    <t>МО Приозерский  район</t>
  </si>
  <si>
    <t>МО Запорожское с.п.</t>
  </si>
  <si>
    <t>МО Кузнечнинское г.п.</t>
  </si>
  <si>
    <t>МО Сланцевский район</t>
  </si>
  <si>
    <t>МО Тихвинский район</t>
  </si>
  <si>
    <t>МО Коськовское с.п.</t>
  </si>
  <si>
    <t>МО Горское с.п.</t>
  </si>
  <si>
    <t>МО Тельмановское с.п.</t>
  </si>
  <si>
    <t>МО Ульяновское г.п.</t>
  </si>
  <si>
    <t>МО Тосненский район</t>
  </si>
  <si>
    <t>в т.ч.с тв.покр.до с.н.пунктов</t>
  </si>
  <si>
    <t>Все г.п. и с.п.</t>
  </si>
  <si>
    <t>районы+г.о</t>
  </si>
  <si>
    <t>Под пост.Прав.</t>
  </si>
  <si>
    <t xml:space="preserve">ИТОГО  по МО   </t>
  </si>
  <si>
    <t>Нераспределенные субсидии:</t>
  </si>
  <si>
    <t xml:space="preserve">Всего Субсидий МО в рамках ГП ЛО   «Развитие автомобильных дорог Ленинградской области». </t>
  </si>
  <si>
    <t xml:space="preserve">Финансирование из областного бюджета в соответствии с Соглашениями   
</t>
  </si>
  <si>
    <t>Кап.рем. и ремонт а/дорог</t>
  </si>
  <si>
    <t>Кап.рем.и рем. а/д, им.приоритетный соц.знач. хар-р</t>
  </si>
  <si>
    <t>ВСЕГО расходы МО за счет субсидий из ОБ и средств МБ</t>
  </si>
  <si>
    <t>а)</t>
  </si>
  <si>
    <t>б)</t>
  </si>
  <si>
    <t xml:space="preserve">Кап. рем. и ремонт а/дорог </t>
  </si>
  <si>
    <t>Волосовский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</si>
  <si>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</si>
  <si>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</si>
  <si>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</si>
  <si>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Сланцевское городское поселение</t>
  </si>
  <si>
    <t>Нурминское сельское поселение</t>
  </si>
  <si>
    <t>Тосненское городское поселение</t>
  </si>
  <si>
    <t>Итого по муниципальному образованию</t>
  </si>
  <si>
    <t>Гатчинский  муниципальный район</t>
  </si>
  <si>
    <t>Ломоносовский  муниципальный район</t>
  </si>
  <si>
    <t>Ремонт автомобильной дороги общего пользования местного значения "Подъезд к СИЗО №6"</t>
  </si>
  <si>
    <t>Сланцевский  муниципальный район</t>
  </si>
  <si>
    <t xml:space="preserve">Ремонт автомобильной дороги общего пользования местного значения  по ул. Ломоносова (участок от ПК0+74 до ПК 15+40) в г. Сланцы </t>
  </si>
  <si>
    <t xml:space="preserve">Ремонт дороги от ул.Большая до  амбулатории на участке от ул.Большая до д.№15  в дер.Нурма </t>
  </si>
  <si>
    <t>Строительство мостового перехода через р. Пчевжа на территории Будогощского городского поселения и автодороги на подходах к нему между населенными пунктами дер. Бестоголово и дер. Горятино.</t>
  </si>
  <si>
    <t>Реконструкция автодороги "Подъезд к дер. Игокиничи"</t>
  </si>
  <si>
    <t>Реконструкция автодороги "Подъезд к пос. Мехбаза"</t>
  </si>
  <si>
    <t>Разработка проектной документации по объекту "Строительство автомобильной дороги, расположенной по адресу: 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</si>
  <si>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 том числе:</t>
  </si>
  <si>
    <t>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</si>
  <si>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 xml:space="preserve">на проектирование и строительство (реконструкцию) автомобильных дорог общего пользования местного значения </t>
  </si>
  <si>
    <t>ВСЕГО Субсидий МО</t>
  </si>
  <si>
    <t>Процент от плана по ГП"Развитие а/д" без ФБ</t>
  </si>
  <si>
    <t>средства ФБ</t>
  </si>
  <si>
    <t>средства ОБ</t>
  </si>
  <si>
    <t>Всего: ГП "Соц. Поддержка отдельных категорий граждан в ЛО".Подпр."Формирование доступной среды жизнед-ти для инвалидов"</t>
  </si>
  <si>
    <t>1.   МО Бокситогорский р-он</t>
  </si>
  <si>
    <t>2.     МО Тихвинский р-он</t>
  </si>
  <si>
    <t xml:space="preserve">Финансирование из областного бюджета в соответствии с Соглашениями без учета восстановления для формы 125  
</t>
  </si>
  <si>
    <t>Процент от плана дорожного фонда (а/д+село)</t>
  </si>
  <si>
    <t>дорожный фонд без ФБ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</si>
  <si>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01.10.2015 г.   в тыс.руб.</t>
  </si>
  <si>
    <t>ВСЕГО резерв Прав.ЛО по МО</t>
  </si>
  <si>
    <t>Общий остаток средств ОБ на счете МО</t>
  </si>
  <si>
    <t>Форма 125-кассовый МО</t>
  </si>
  <si>
    <t>Форма 125-остатки на счетах МО</t>
  </si>
  <si>
    <t>Проверка остатков</t>
  </si>
  <si>
    <t>ВЫПОЛНЕНИЕ ОБ</t>
  </si>
  <si>
    <t>ВЫПОЛНЕНИЕ МБ</t>
  </si>
  <si>
    <t xml:space="preserve">перечислено (2015+2014г.) с учетом остатков и без возврата </t>
  </si>
  <si>
    <t>РЕЗЕРВ ПРАВИТЕЛЬСТВА ЛО</t>
  </si>
  <si>
    <t>Остатки лимита дорожного фонда</t>
  </si>
  <si>
    <t>\</t>
  </si>
  <si>
    <t>ОБЩЕЕ ФИНАНСИРОВАНИЕ 2016+остатки</t>
  </si>
  <si>
    <t>Кассовый общий с учетом остатков</t>
  </si>
  <si>
    <t>АВАНСЫ на 01.07.2016</t>
  </si>
  <si>
    <t>МО Красноозерное с.п.</t>
  </si>
  <si>
    <t>кол.-во Соглашений</t>
  </si>
  <si>
    <t>кол.-во доп.согл.</t>
  </si>
  <si>
    <r>
      <t xml:space="preserve">МО "Выборгский р-н </t>
    </r>
    <r>
      <rPr>
        <b/>
        <sz val="12"/>
        <color rgb="FFFF0000"/>
        <rFont val="Times New Roman CYR"/>
        <charset val="204"/>
      </rPr>
      <t>(Яшино</t>
    </r>
    <r>
      <rPr>
        <b/>
        <sz val="12"/>
        <color rgb="FF002060"/>
        <rFont val="Times New Roman CYR"/>
        <charset val="204"/>
      </rPr>
      <t>)</t>
    </r>
  </si>
  <si>
    <r>
      <t>МО "Выборгский р-н (</t>
    </r>
    <r>
      <rPr>
        <b/>
        <sz val="12"/>
        <color rgb="FF002060"/>
        <rFont val="Times New Roman CYR"/>
        <charset val="204"/>
      </rPr>
      <t>Клеверное,Сопки)</t>
    </r>
  </si>
  <si>
    <t>ВСЕГО по МО "Выборгский р-н"</t>
  </si>
  <si>
    <t>Формирование доступной среды жизнедеятельности для инвалидов в Ленинградской области</t>
  </si>
  <si>
    <t>ВСЕГО доступная среда</t>
  </si>
  <si>
    <t>МО Селивановское с.п.</t>
  </si>
  <si>
    <t>Соглашения и д/с 2017 года</t>
  </si>
  <si>
    <t>Восстановлено в 2017 г. - экономия по итогам торгов и заключенных доп. соглашений</t>
  </si>
  <si>
    <t>Г.п., с.п., раон - для ф.0503125 -   субсидии 2017         (сч.120651560)</t>
  </si>
  <si>
    <t>Перечислены в 2017 году остатки средств на 01.01.17г, потребность в которых подтверждена</t>
  </si>
  <si>
    <t>Кассовый расход МО в 2017 году остатков средств на 01.01.17г, потребность в которых подтверждена</t>
  </si>
  <si>
    <t xml:space="preserve"> РЕЗЕРВ  и прочие 2017 года </t>
  </si>
  <si>
    <t>Остаток на счете МО на 01.01.2017 г. остатков  средств на 01.01.16г, потребность в которых подтверждена</t>
  </si>
  <si>
    <t>МО Заневское г.п.</t>
  </si>
  <si>
    <t>Соглашение № 102 от 17.02.17</t>
  </si>
  <si>
    <t>Соглашение № 52 от 17.02.17</t>
  </si>
  <si>
    <t>МО"Советское г.п." Выборг.р-на (Реконструкция а/д "Подъезд к пос. Токарево") 1,8 км</t>
  </si>
  <si>
    <t>МО "Волховский р-н" (Строительство а/д "Подъезд к дер. Козарево") 5,667 км</t>
  </si>
  <si>
    <t>ПЛАН на 2017 год (утв. Обл. законом от 09.12.2016 № 90-оз прил.28)  в тыс.руб., Пост. ПЛО от 01.03.2017 № 40 (соц. а/д, проект. и стр. (рек-ция)), Пост. ПЛО от 12.12.16 № 478 "Развитие с/х ЛО"</t>
  </si>
  <si>
    <t>д/с 2 от 27.03.17 к согл 175 от 29.04.16</t>
  </si>
  <si>
    <t>ад</t>
  </si>
  <si>
    <t>соц</t>
  </si>
  <si>
    <t>стр</t>
  </si>
  <si>
    <t>дс =</t>
  </si>
  <si>
    <t>дс=</t>
  </si>
  <si>
    <t>согл=</t>
  </si>
  <si>
    <t>Соглашение № 114 от 12.04.17</t>
  </si>
  <si>
    <t>Соглашение № 112 от 12.04.17</t>
  </si>
  <si>
    <t>Соглашение № 2 от 07.02.17, д/с 1 от 12.04.17</t>
  </si>
  <si>
    <t>Соглашение № 116 от 12.04.17</t>
  </si>
  <si>
    <t>Соглашение № 118 от 13.04.17</t>
  </si>
  <si>
    <t>Соглашение № 24 от 17.02.17, д/с 1 от 14.04.17</t>
  </si>
  <si>
    <t>ПЛАН на 2017 год (утв. Обл. законом от 09.12.2016 № 90-оз прил.28) ( с изм.)   в тыс.руб., Пост. ПЛО от 01.03.2017 № 40 (соц. а/д, проект. и стр. (рек-ция)), Пост. ПЛО от 12.12.16 № 478 "Развитие с/х ЛО"</t>
  </si>
  <si>
    <t>Соглашение № 42 от 17.02.17, д/с 1 от 18.04.17</t>
  </si>
  <si>
    <t>Соглашение № 125 от 18.04.17</t>
  </si>
  <si>
    <t>Соглашение № 128 от 18.04.17</t>
  </si>
  <si>
    <t>Соглашение № 49 от 17.02.17, д/с 1 от 18.04.17</t>
  </si>
  <si>
    <t>Соглашение № 78 от 17.02.17, д/с 1 от 18.04.17</t>
  </si>
  <si>
    <t>Соглашение № 130 от 18.04.17</t>
  </si>
  <si>
    <t>Соглашение № 95 от 17.02.17, д/с 1 от 18.04.17</t>
  </si>
  <si>
    <t>Соглашение № 133 от 02.05.17</t>
  </si>
  <si>
    <t>Соглашение № 134 от 02.05.17</t>
  </si>
  <si>
    <t>Соглашение № 8 от 13.02.17, д/с 1 от 05.04.17. д/с 2 от 03.05.17</t>
  </si>
  <si>
    <t>Соглашение № 92 от 17.02.17, д/с 1 от 03.05.17</t>
  </si>
  <si>
    <t>Соглашение № 135 от 04.05.17</t>
  </si>
  <si>
    <t>Соглашение № 96 от 17.02.17, д/с 1 от 04.05.17</t>
  </si>
  <si>
    <t>Соглашение № 83 от 17.02.17, д/с 1 от 05.05.17</t>
  </si>
  <si>
    <t>Соглашение № 55 от 17.02.17, д/с 1 от 05.05.17</t>
  </si>
  <si>
    <t>Соглашение № 136 от 05.05.17</t>
  </si>
  <si>
    <t>Соглашение № 139 от 05.05.17</t>
  </si>
  <si>
    <t>Соглашение № 108 от 17.02.17, д/с 1 от 12.05.17</t>
  </si>
  <si>
    <t>Соглашение № 143 от 12.05.17</t>
  </si>
  <si>
    <t>Соглашение № 39 от 17.02.17, д/с 1 от 16.05.17</t>
  </si>
  <si>
    <t>Соглашение № 148 от 16.05.17</t>
  </si>
  <si>
    <t>Соглашение № 93 от 17.02.17, д/с 1 от 16.05.17</t>
  </si>
  <si>
    <t>Соглашение № 4 от 09.02.17, д/с 1 от 12.04.17, д/с 2 от 16.05.17</t>
  </si>
  <si>
    <t>Соглашение № 154 от 16.05.17</t>
  </si>
  <si>
    <t>Соглашение № 44 от 17.02.17, д/с 1 от 19.05.17</t>
  </si>
  <si>
    <t>Соглашение № 94 от 17.02.17, д/с 1 от 19.05.17</t>
  </si>
  <si>
    <t>Соглашение № 157 от 19.05.17</t>
  </si>
  <si>
    <t>Соглашение № 30 от 17.02.17, д/с 1 от 19.05.17</t>
  </si>
  <si>
    <t>Соглашение № 33 от 17.02.17, д/с 1 от 19.05.17</t>
  </si>
  <si>
    <t>Соглашение № 50 от 17.02.17, д/с 1 от 19.05.17</t>
  </si>
  <si>
    <t>Соглашение № 51 от 17.02.17, д/с 1 от 19.05.17</t>
  </si>
  <si>
    <t>Соглашение № 159 от 22.05.17</t>
  </si>
  <si>
    <t>Соглашение № 88 от 17.02.17, д/с 1 от 22.05.17</t>
  </si>
  <si>
    <t>Соглашение № 110 от 17.02.17, д/с 1 от 22.05.17</t>
  </si>
  <si>
    <t>Соглашение № 161 от 22.05.17</t>
  </si>
  <si>
    <t>Соглашение № 162 от 22.05.17</t>
  </si>
  <si>
    <t>Соглашение № 73 от 17.02.17, д/с 1 от 22.05.17</t>
  </si>
  <si>
    <t>Соглашение № 26 от 17.02.17, д/с 1 от 22.05.17</t>
  </si>
  <si>
    <t>Соглашение № 164 от 22.05.17</t>
  </si>
  <si>
    <t>Соглашение № 72 от 17.02.17, д/с 1 от 18.04.17, д/с 2 от 22.05.17</t>
  </si>
  <si>
    <t>Соглашение № 165 от 22.05.17</t>
  </si>
  <si>
    <t>Соглашение № 71 от 17.02.17, д/с 1 от 22.05.17</t>
  </si>
  <si>
    <t>Соглашение № 169 от 22.05.17</t>
  </si>
  <si>
    <t>Соглашение № 66 от 17.02.17, д/с 1 от 02.02.17, д/с 2 от 22.05.17</t>
  </si>
  <si>
    <t>Соглашение № 86 от 17.02.17, д/с 1 от 22.05.17</t>
  </si>
  <si>
    <t>Соглашение № 106 от 17.02.17, д/с 1 от 22.05.17</t>
  </si>
  <si>
    <t>Соглашение № 171 от 22.05.17</t>
  </si>
  <si>
    <t>Соглашение № 5 от 09.02.17, д/с 1 от 22.05.17</t>
  </si>
  <si>
    <t>Соглашение № 172 от 22.05.17</t>
  </si>
  <si>
    <t>Соглашение № 6 от 09.02.17, д/с 1 от 22.05.17</t>
  </si>
  <si>
    <t>Соглашение № 173 от 22.05.17</t>
  </si>
  <si>
    <t>Соглашение № 13 от 16.02.17, д/с 1 от 22.05.17</t>
  </si>
  <si>
    <t>Соглашение № 176 от 22.05.17</t>
  </si>
  <si>
    <t>Соглашение № 75 от 17.02.17, д/с 1 от 22.05.17</t>
  </si>
  <si>
    <t>Соглашение № 179 от 22.05.17</t>
  </si>
  <si>
    <t>ПЛАН на 2017 год (утв. Обл. законом от 09.12.2016 № 90-оз прил.28) ( с изм.)   в тыс.руб., Пост. ПЛО от 01.03.2017 № 40, от 12.05.17 № 157 (соц. а/д, проект. и стр. (рек-ция)), Пост. ПЛО от 12.12.16 № 478 "Развитие с/х ЛО"</t>
  </si>
  <si>
    <t>Соглашение № 140 от 05.05.17, д/с 1 от 23.06.17</t>
  </si>
  <si>
    <t>Соглашение № 58 от 17.02.17, д/с 1 от 19.05.17, д/с 2 от 26.06.17</t>
  </si>
  <si>
    <t>МО" Запорожское с.п. Приозерский р-н" ("Реконструкция а/д "Подъезд к пос. Луговое") 1,4259 км</t>
  </si>
  <si>
    <t>Соглашение № 151 от 16.05.17, д/с 1 от 22.05.17, д/с 2 от 28.06.17</t>
  </si>
  <si>
    <t>Соглашение № 80 от 17.02.17, д/с 1 от 18.04.17, д/с 2 от 28.06.17</t>
  </si>
  <si>
    <t>Соглашение № 181 от 27.06.17</t>
  </si>
  <si>
    <t>Соглашение № 64 от 17.02.17, д/с 1 от 22.05.17, д/с 2 от 29.06.17</t>
  </si>
  <si>
    <t>МО "Выборгский р-н" ("Подъезд к пос. Яшино")</t>
  </si>
  <si>
    <t>МО "Выборгский р-н" ("Подъезд к пос. Клеверное")</t>
  </si>
  <si>
    <t>МО "Выборгский р-н" ("Подъезд к пос. Сопки")</t>
  </si>
  <si>
    <t>МО "Каменногорское г.п. Выборгский р-н" ("Подъезд к пос. Маслово")</t>
  </si>
  <si>
    <t>МО "Приозерский р-н" ("Подъезд к дер. Силино")</t>
  </si>
  <si>
    <t>Соглашение № 27 от 17.02.17, д/с 1 от 12.04.17, д/с 2 от 04.07.17</t>
  </si>
  <si>
    <t>Шлиссельбургское г.п. Кировский район</t>
  </si>
  <si>
    <t>Соглашение № 182 от 17.07.17</t>
  </si>
  <si>
    <t>д/с 2 от 18.07.17 к согл. № 167 от 25.08.15</t>
  </si>
  <si>
    <t>Соглашение № 67 от 17.02.17, д/с 1 от 18.04.17, д/с 2 от 19.07.17</t>
  </si>
  <si>
    <t>Соглашение № 153 от 16.05.17, д/с 1 от 21.06.17, д/с 2 от 19.07.17</t>
  </si>
  <si>
    <t>Соглашение № 65 от 17.02.17, д/с 1 от 18.04.17, д/с 2 от 19.07.17    ; д/с 5 от 18.04.17 с согл 12 от 19.02.16 (соц)</t>
  </si>
  <si>
    <t>Соглашение № 68 от 17.02.17, д/с 1 от 19.07.17</t>
  </si>
  <si>
    <t>Соглашение № 103 от 17.02.17, д/с 1 от 19.07.17</t>
  </si>
  <si>
    <t>Соглашение № 47 от 17.02.17, д/с 1 от 22.05.17, д/с 2 от 20.07.17</t>
  </si>
  <si>
    <t>Соглашение № 31 от 17.02.17, д/с 1 от 20.07.17</t>
  </si>
  <si>
    <t>Соглашение № 34 от 17.02.17, д/с 1 от 16.05.17, д/с 2 от 21.07.17</t>
  </si>
  <si>
    <t>д/с 2 от 24.07.17 к согл. № 170 от 25.08.15</t>
  </si>
  <si>
    <t>Соглашение № 69 от 17.02.17, д/с 1 от 27.07.17</t>
  </si>
  <si>
    <t>с/х</t>
  </si>
  <si>
    <t>Соглашение № 77 от 17.02.17, д/с 1 от 18.04.17, д/с 2 от 02.08.17</t>
  </si>
  <si>
    <t>Соглашение № 119 от 13.04.17, д/с 1 от 17.08.17</t>
  </si>
  <si>
    <t>д/с 2 от 26.07.17 к согл. № 169 от 25.08.15</t>
  </si>
  <si>
    <t>Соглашение № 98 от 17.02.17, д/с 1 от 15.08.17</t>
  </si>
  <si>
    <t>Соглашение № 35 от 17.02.17. д/с 1 от 22.05.17, д/с 2 от 24.08.17</t>
  </si>
  <si>
    <t>Соглашение № 29 от 17.02.17, д/с 1 от 22.05.17, д/с 2 от 24.08.17</t>
  </si>
  <si>
    <t>Соглашение № 14 от 16.02.17, д/с 1 от 22.05.17, д/с 2 от 28.08.17</t>
  </si>
  <si>
    <t>3</t>
  </si>
  <si>
    <t>Соглашение № 1 от 01.02.17, д/с 1 от 05.05.17, д/с 2 от 20.07.17, д/с 3 от 28.08.17</t>
  </si>
  <si>
    <t>Соглашение № 48 от 17.02.17, д/с 1 от 05.05.17, д/с 2 от 25.08.17</t>
  </si>
  <si>
    <t>Соглашение № 184 от 25.08.17</t>
  </si>
  <si>
    <t>Соглашение № 152 от 16.05.17, д/с 1 от 30.06.17, д/с 2 от 25.08.17</t>
  </si>
  <si>
    <t>д/с 3 от 23.08.17, д/с 2 от 29.06.17, д/с 1 от 17.02.2017 к Соглашению № 186 от 10.08.16</t>
  </si>
  <si>
    <t>Соглашение № 120 от 14.04.17, д/с 1 от 22.05.17, д/с 2 от 08.06.17, д/с 3 от 06.09.17</t>
  </si>
  <si>
    <t>Соглашение № 180 от 27.06.2017, д/с 1 от 23.08.17</t>
  </si>
  <si>
    <t>Соглашение № 101 от 17.02.17, д/с 1 от 19.05.17, д/с 2 от 13.09.17</t>
  </si>
  <si>
    <t>Соглашение № 155 от 18.05.17, д/с 1 от 28.06.17, д/с 2 от 13.09.17</t>
  </si>
  <si>
    <t>Соглашение № 3 от 09.02.17, д/с 1 от 22.05.17, д/с 2 от 14.08.17, д/с 3 от 18.09.17</t>
  </si>
  <si>
    <t xml:space="preserve">акт сверки </t>
  </si>
  <si>
    <t>на 01.10.17</t>
  </si>
  <si>
    <t>к</t>
  </si>
  <si>
    <t>бланк</t>
  </si>
  <si>
    <t>ориг</t>
  </si>
  <si>
    <t>к с ош</t>
  </si>
  <si>
    <t>Соглашение № 91 от 17.02.17, д/с 1 от 27.07.17, д/с 2 от 25.09.17</t>
  </si>
  <si>
    <t>Заневское г.п. Всеволожский район</t>
  </si>
  <si>
    <t>Соглашение № 56 от 17.02.17, д/с 1 от 18.04.17, д/с 2 от 22.05.17, д/с 3 от 29.06.17;, д/с 4 от 18.04.17 к согл 176 от 29.04.16 (стр)</t>
  </si>
  <si>
    <t>Соглашение № 84 от 17.02.17, д/с 1 от 19.05.17, д/с 2 от 17.10.17</t>
  </si>
  <si>
    <t>Соглашение № 146 от 16.05.17, д/с 1 от 17.10.17; дс 5 от 27.06.17 к согл 153 от 29.04.16 (стр)</t>
  </si>
  <si>
    <t>Соглашение № 46 от 17.02.17, д/с 1 от 22.05.17, д/с 2 от 17.10.17</t>
  </si>
  <si>
    <t>Соглашение № 21 от 17.02.17, д/с 1 от 28.03.17, д/с 2 от 22.05.17, д/с 3 от 13.06.17, д/с 4 от 11.09.17, д/с 5 от 17.10.17</t>
  </si>
  <si>
    <t>д/с 2 от 23.08.17, д/с 1 от 26.07.17 к согл. № 185 от 28.07.16</t>
  </si>
  <si>
    <t>Соглашение № 124 от 18.04.17, д/с 1 от 24.10.17</t>
  </si>
  <si>
    <t>резерв</t>
  </si>
  <si>
    <t>Соглашение № 167 от 22.05.2017, д/с 1 от 24.10.17</t>
  </si>
  <si>
    <t>Соглашение № 9 от 13.02.17, д/с 1 от 22.05.17, д/с 2 от 24.10.17</t>
  </si>
  <si>
    <t>Соглашение № 123 от 18.04.17, д/с 1 от 24.10.17</t>
  </si>
  <si>
    <t>Соглашение № 20 от 17.02.17, д/с 1 от 18.04.17, д/с 2 от 19.07.17, д/с 3 от 24.10.17</t>
  </si>
  <si>
    <t>Соглашение № 11 от 16.02.17, д/с 1 от 22.05.17, д/с 2 от 24.10.17</t>
  </si>
  <si>
    <t>на 01.01.18</t>
  </si>
  <si>
    <t>Соглашение № 126 от 18.04.17, д/с 1 от 31.10.17</t>
  </si>
  <si>
    <t>Соглашение № 70 от 17.02.17, д/с 1 от 22.05.17, д/с 2 от 31.10.17</t>
  </si>
  <si>
    <t>Соглашение № 19 от 17.02.17, д/с 1 от 12.04.17, д/с 2 от 31.10.17</t>
  </si>
  <si>
    <t>Соглашение № 170 от 22.05.17, д/с 1 от 31.10.17</t>
  </si>
  <si>
    <t>Соглашение № 99 от 17.02.17, д/с 1 от 22.05.17, д/с 2 от 31.10.17</t>
  </si>
  <si>
    <t>Соглашение № 40 от 17.02.17, д/с 1 от 12.04.17, д/с 2 от 31.10.17</t>
  </si>
  <si>
    <t>Соглашение № 129 от 18.04.17, д/с 1 от 31.10.17</t>
  </si>
  <si>
    <t>Соглашение № 100 от 17.02.17, д/с 1 от 22.05.17, д/с 2 от 31.10.17</t>
  </si>
  <si>
    <t>Борское с.п. Бокситогорский район</t>
  </si>
  <si>
    <t>Соглашение № 25 от 17.02.17, д/с 1 от 18.04.17, д/с 2 от 18.05.17, д/с 3 от 20.11.17</t>
  </si>
  <si>
    <t>Соглашение № 121 от 14.04.17, д/с 1 от 21.06.17, д/с 2 от 15.11.17</t>
  </si>
  <si>
    <t>Соглашение № 82 от 17.02.17, д/с 1 от 13.04.17, д/с 2 от 15.11.17</t>
  </si>
  <si>
    <t>Соглашение № 32 от 17.02.17, д/с 1 от 22.05.17, д/с 2 от 20.11.17</t>
  </si>
  <si>
    <t>Соглашение № 141 от 05.05.17, д/с 1 от 20.11.17</t>
  </si>
  <si>
    <t>Соглашение № 111 от 12.04.17, д/с 1 от 20.11.17</t>
  </si>
  <si>
    <t>Соглашение № 16 от 17.02.17, д/с 1 от 18.04.17, д/с 2 от 14.11.17</t>
  </si>
  <si>
    <t>Соглашение № 142 от 12.05.17, д/с 1 от 13.11.17</t>
  </si>
  <si>
    <t>Соглашение № 109 от 17.02.17, д/с 1 от 22.05.17, д/с 2 от 21.11.17</t>
  </si>
  <si>
    <t>Соглашение № 36 от 17.02.17, д/с 1 от 12.04.17, д/с 2 от 21.11.17</t>
  </si>
  <si>
    <t>Соглашение № 113 от 12.04.17, д/с 1 от 21.11.17</t>
  </si>
  <si>
    <t>Соглашение № 53 от 17.02.17, д/с 1 от 18.04.17, д/с 2 от 21.11.17</t>
  </si>
  <si>
    <t>ориг с ош</t>
  </si>
  <si>
    <t>Соглашение№ 15 от 17.02.17, д/с 1 от 22.05.17, д/с 2 от 23.11.17</t>
  </si>
  <si>
    <t>Соглашение № 54 от 17.02.17, д/с 1 от 22.05.17, д/с 2 от 23.11.17</t>
  </si>
  <si>
    <t>Соглашение № 107 от 17.02.17, д/с 1 от 18.05.17, д/с 2 от 24.11.17</t>
  </si>
  <si>
    <t>Соглашение № 87 от 17.02.17, д/с 1 от 22.05.17, д/с 2 от 24.11.17</t>
  </si>
  <si>
    <t>Соглашение № 150 от 16.05.17, д/с 1 от 24.11.17</t>
  </si>
  <si>
    <t>Соглашение № 185 от 28.11.17</t>
  </si>
  <si>
    <t>Соглашение № 28 от 17.02.17, д/с 1 от 04.05.17, д/с 2 от 28.11.17</t>
  </si>
  <si>
    <t>Соглашение № 147 от 16.05.17, д/с 1 от 28.11.17</t>
  </si>
  <si>
    <t>Соглашение № 158 от 19.05.17, д/с 1 от 28.11.17</t>
  </si>
  <si>
    <t>Соглашение № 97 от 17.02.17, д/с 1 от 22.05.17, д/с 2 от 30.11.17</t>
  </si>
  <si>
    <t>Соглашение № 132 от 18.04.17, д/с 1 от 30.11.17</t>
  </si>
  <si>
    <t>Соглашение № 17 от 17.02.17, д/с 1 от 19.05.17, д/с 2 от 30.11.17</t>
  </si>
  <si>
    <t>Соглашение № 38 от 17.02.17, д/с 1 от 07.04.17, д/с 2 от 22.05.17, д/с 3 от 10.06.17, д/с 4 от 08.09.17, д/с 5 от 30.11.17</t>
  </si>
  <si>
    <t>Соглашение № 79 от 17.02.17, д/с 1 от 18.04.17, д/с 2 от 30.11.17</t>
  </si>
  <si>
    <t>Соглашение № 105 от 17.02.17, д/с 2 от 12.04.17, д/с 3 от 11.09.17. д/с 4 от 30.11.17</t>
  </si>
  <si>
    <t>остаток</t>
  </si>
  <si>
    <t>Соглашение № 156 от 19.05.17, д/с 1 от 30.11.17</t>
  </si>
  <si>
    <t>Соглашение № 175 от 22.05.17, д/с 1 от 28.06.17, д/с 2 от 13.12.17</t>
  </si>
  <si>
    <t>Соглашение № 63 от 17.02.17, д/с 1 от 18.04.17, д/с 2 от 13.12.17</t>
  </si>
  <si>
    <t>д/с 4 от 18.04.17 к согл 2 от 18.02.16 (стр); д/с 1 от 13.12.17,согл № 138 от 05.05.17 (ад)</t>
  </si>
  <si>
    <t>Соглашение № 115 от 12.04.17, д/с 1 от 22.05.17, д/с 2 от 25.08.17, д/с 3 от 13.12.17</t>
  </si>
  <si>
    <t>Соглашение № 182 от 16.08.17, д/с 1 от 13.12.17</t>
  </si>
  <si>
    <t>Соглашение № 81 от 17.02.17, д/с 1 от 25.08.17. д/с 2 от 14.12.17</t>
  </si>
  <si>
    <t>Соглашение № 174 от 22.05.17, д/с 1 от 14.12.17</t>
  </si>
  <si>
    <t>Соглашение № 177 от 22.05.17, д/с 1 от 14.12.17</t>
  </si>
  <si>
    <t>Соглашение № 145 от 12.05.17, д/с 1 от 15.12.17</t>
  </si>
  <si>
    <t>Соглашение № 74 от 17.02.17, д/с 1 от 22.05.17, д/с 2 от 15.12.17</t>
  </si>
  <si>
    <t>Соглашение № 85 от 17.02.17, д/с 1 от 22.05.17, д/с 2 от 15.12.17</t>
  </si>
  <si>
    <t>Соглашение № 7 от 13.02.17, д/с 1 от 16.05.17, д/с 2 от 23.06.17, д/с 3 от 15.12.17</t>
  </si>
  <si>
    <t>Соглашение № 22 ОТ 17.02.17, д/с 1 от 22.05.17, д/с 2 от 19.12.17</t>
  </si>
  <si>
    <t>Соглашение № 18 от 17.02.17, д/с 1 от 22.05.17, 2 от 13.09.17, д/с 3 от 20.12.17</t>
  </si>
  <si>
    <t>д/с 5 от 21.12.17,д/с 4 от 07.06.2017 к согл 167 от 29.04.16 (стр); Соглашение № 43 от 17.02.17, д/с 1 от 14.04.17, д/с 2 от 11.07.17, д/с 3 от 30.11.17</t>
  </si>
  <si>
    <t>ксош</t>
  </si>
  <si>
    <t>к сош</t>
  </si>
  <si>
    <t>Соглашение № 59 от 17.02.17, д/с 1 от 05.04.17, д/с 2 от 22.05.17, д/с 3 от 26.12.17</t>
  </si>
  <si>
    <t>Соглашение № 60 от 17.02.17, д/с 1 от 22.05.17, д/с 2 от 25.08.17, д/с 3 от 26.12.17</t>
  </si>
  <si>
    <t>Соглашение № 137 от 05.05.17, д/с 1 от 26.12.17</t>
  </si>
  <si>
    <t>Соглашение № 178 от 22.05.17, д/с 1 от 26.12.17</t>
  </si>
  <si>
    <t>Соглашение № 76 от 17.02.17, д/с 1 от 22.05.17, д/с 2 от 15.12.17</t>
  </si>
  <si>
    <t>Соглашение № 131 от 18.04.17, д/с 1 от 26.12.17</t>
  </si>
  <si>
    <t>Соглашение № 45 от 17.02.17, д/с 1 от 05.05.17, д/с 2 от 26.12.17</t>
  </si>
  <si>
    <t>Соглашение № 61 от 17.02.17, д/с 1 от 18.04.17, д/с 2 от 20.07.17, д/с 3 от 11.09.17, д/с 4 от 27.12.17</t>
  </si>
  <si>
    <t>Соглашение № 160 от 22.05.17, д/с 1 от 27.12.17</t>
  </si>
  <si>
    <t>Соглашение № 57 от 17.02.17, д/с 1 от 18.04.17, д/с 2 от 18.09.17, д/с 3 от 27.12.17</t>
  </si>
  <si>
    <t>Соглашение № 117 от 13.04.17, д/с 1 от 27.12.17</t>
  </si>
  <si>
    <t>Соглашение № 122 от 17.04.17, д/с 1 от 27.12.17</t>
  </si>
  <si>
    <t>Соглашение № 10 от 14.02.17, д/с 1 от 22.05.17, д/с 2 от 24.08.17, д/с 3 от 25.08.17, д/с 4 от 20.12.17</t>
  </si>
  <si>
    <t>Соглашение № 104 от 17.02.17, д/с 1 от 22.05.17, д/с 2 от 27.12.17</t>
  </si>
  <si>
    <t>Соглашение № 37 от 17.02.17, д/с 1 от 18.04.17, д/с 2 от 13.09.17. д/с 3 от 27.12.17</t>
  </si>
  <si>
    <t>Соглашение № 144 от 12.05.17, д/с 1 от 27.12.17</t>
  </si>
  <si>
    <t>Соглашение № 41 от 17.02.17, д/с 1 от 22.05.17, д/с 2 от 27.12.17</t>
  </si>
  <si>
    <t>Соглашение № 149 от 16.05.17. д/с 1 от 15.08.17</t>
  </si>
  <si>
    <t>Соглашение № 163 от 22.05.17. д/с 1 от 28.12.17</t>
  </si>
  <si>
    <t>Соглашение № 166 от 22.05.17, д/с 1 от 28.12.17</t>
  </si>
  <si>
    <t>Соглашение № 23 от 17.02.17, д/с 1 от 12.04.17, д/с 2 от 28.12.17</t>
  </si>
  <si>
    <t>Соглашение № 90 от 17.02.17, д/с 1 от 06.07.17, д/с 2 от 19.07.17, д/с 3 от 28.12.17</t>
  </si>
  <si>
    <t>Соглашение № 89 от 17.02.17, д/с 1 от 27.07.17, д/с 2 от 28.12.17</t>
  </si>
  <si>
    <t>Соглашение № 62 от 17.02.17, д/с 1 от 22.05.15, д/с 2 от 28.12.17</t>
  </si>
  <si>
    <t>Соглашение № 12 от 16.02.17, д/с 1 от 04.05.17, д/с 2 от 03.08.17, д/с 3 от 28.12.17</t>
  </si>
  <si>
    <t>Соглашение № 168 от 22.05.17, д/с 1 от 28.12.17</t>
  </si>
  <si>
    <t>Соглашение № 127 от 18.04.17, д/с 1 от 12.07.17</t>
  </si>
  <si>
    <t>ПЛАН на 2017 год</t>
  </si>
  <si>
    <t xml:space="preserve">Проектирование и строительство (рек-ция) автомобильных дорог общего пользования местного значения  </t>
  </si>
  <si>
    <t>Ремонт автомобильных дорог общего пользования местного значения</t>
  </si>
  <si>
    <t>Капитальный ремонт и ремонт автомобильных дорогтобщего пользования местного значения, имеющих приоритетный соцально значимый характер</t>
  </si>
  <si>
    <t xml:space="preserve">Лимиты финансирования на 2017 год в соответствии с заключенными Соглашениями  
</t>
  </si>
  <si>
    <t>Остаток лимита от плана по бюджету на 2017 год</t>
  </si>
  <si>
    <t>Расходы МО за счет средств местного бюджета (КАССОВЫЙ РАСХОД)</t>
  </si>
  <si>
    <t xml:space="preserve">Остаток субсидий на счете МО по состоянию на 01.01.2018 года. </t>
  </si>
  <si>
    <t xml:space="preserve">Всего Субсидий МО за счет средств дорожного фонда ЛО 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</si>
  <si>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за счет средств дорожного фонда Ленинградской области, по состоянию на 01.01.2018 г.  ( в тыс.рублей)</t>
  </si>
  <si>
    <t xml:space="preserve">Всего Субсидии в рамках  ГП "Развитие автомобильных дорог  ЛО" </t>
  </si>
  <si>
    <t>Всего Субсидии в рамках ГП "Развитие сельского хозяйства ЛО"  (стр-во  и рек-ция сельских автодорог)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</si>
</sst>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4"/>
      <name val="Times New Roman"/>
      <family val="1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12"/>
      <name val="Times New Roman CYR"/>
      <charset val="204"/>
    </font>
    <font>
      <b/>
      <i/>
      <sz val="9"/>
      <name val="Arial Cyr"/>
      <charset val="204"/>
    </font>
    <font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C00000"/>
      <name val="Arial Cyr"/>
      <charset val="204"/>
    </font>
    <font>
      <b/>
      <sz val="12"/>
      <color rgb="FFFF0000"/>
      <name val="Times New Roman CYR"/>
      <charset val="204"/>
    </font>
    <font>
      <b/>
      <sz val="12"/>
      <color rgb="FF002060"/>
      <name val="Times New Roman CYR"/>
      <charset val="204"/>
    </font>
    <font>
      <b/>
      <i/>
      <sz val="9"/>
      <color rgb="FF002060"/>
      <name val="Arial Cyr"/>
      <charset val="204"/>
    </font>
    <font>
      <sz val="12"/>
      <color rgb="FF002060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002060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0"/>
      <name val="Times New Roman CYR"/>
      <charset val="204"/>
    </font>
    <font>
      <b/>
      <sz val="11"/>
      <name val="Times New Roman"/>
      <family val="1"/>
      <charset val="204"/>
    </font>
    <font>
      <sz val="11"/>
      <color rgb="FFC00000"/>
      <name val="Arial Cyr"/>
      <charset val="204"/>
    </font>
    <font>
      <sz val="10"/>
      <name val="Times New Roman"/>
      <family val="1"/>
      <charset val="204"/>
    </font>
    <font>
      <sz val="10"/>
      <color theme="1"/>
      <name val="Arial Cyr"/>
      <charset val="204"/>
    </font>
    <font>
      <sz val="11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u/>
      <sz val="10"/>
      <color theme="1"/>
      <name val="Arial Cyr"/>
      <charset val="204"/>
    </font>
    <font>
      <b/>
      <sz val="9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i/>
      <sz val="10"/>
      <name val="Arial Cyr"/>
      <charset val="204"/>
    </font>
    <font>
      <i/>
      <sz val="12"/>
      <name val="Arial Cyr"/>
      <charset val="204"/>
    </font>
    <font>
      <b/>
      <i/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33" fillId="0" borderId="0"/>
  </cellStyleXfs>
  <cellXfs count="492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/>
    </xf>
    <xf numFmtId="0" fontId="35" fillId="3" borderId="1" xfId="0" applyNumberFormat="1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Alignment="1">
      <alignment horizontal="center" vertical="center" wrapText="1"/>
    </xf>
    <xf numFmtId="4" fontId="5" fillId="2" borderId="12" xfId="0" applyNumberFormat="1" applyFont="1" applyFill="1" applyBorder="1" applyAlignment="1">
      <alignment vertical="center" wrapText="1"/>
    </xf>
    <xf numFmtId="4" fontId="0" fillId="2" borderId="0" xfId="0" applyNumberFormat="1" applyFont="1" applyFill="1" applyAlignment="1">
      <alignment horizontal="center"/>
    </xf>
    <xf numFmtId="4" fontId="5" fillId="2" borderId="0" xfId="0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wrapText="1"/>
    </xf>
    <xf numFmtId="4" fontId="12" fillId="3" borderId="12" xfId="0" applyNumberFormat="1" applyFont="1" applyFill="1" applyBorder="1" applyAlignment="1">
      <alignment horizontal="center" vertical="center" wrapText="1"/>
    </xf>
    <xf numFmtId="4" fontId="12" fillId="7" borderId="12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center"/>
    </xf>
    <xf numFmtId="4" fontId="2" fillId="3" borderId="14" xfId="0" applyNumberFormat="1" applyFont="1" applyFill="1" applyBorder="1" applyAlignment="1">
      <alignment horizontal="center" vertical="center" wrapText="1"/>
    </xf>
    <xf numFmtId="4" fontId="43" fillId="3" borderId="7" xfId="0" applyNumberFormat="1" applyFont="1" applyFill="1" applyBorder="1" applyAlignment="1">
      <alignment horizontal="left" vertical="center" wrapText="1"/>
    </xf>
    <xf numFmtId="4" fontId="15" fillId="0" borderId="0" xfId="0" applyNumberFormat="1" applyFont="1"/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 applyAlignment="1">
      <alignment horizontal="center"/>
    </xf>
    <xf numFmtId="4" fontId="6" fillId="2" borderId="19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Alignment="1">
      <alignment horizontal="center"/>
    </xf>
    <xf numFmtId="4" fontId="6" fillId="3" borderId="2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left" vertical="center" wrapText="1"/>
    </xf>
    <xf numFmtId="4" fontId="2" fillId="4" borderId="1" xfId="0" applyNumberFormat="1" applyFont="1" applyFill="1" applyBorder="1"/>
    <xf numFmtId="4" fontId="3" fillId="4" borderId="1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 vertical="center" wrapText="1"/>
    </xf>
    <xf numFmtId="4" fontId="0" fillId="4" borderId="0" xfId="0" applyNumberFormat="1" applyFont="1" applyFill="1" applyBorder="1" applyAlignment="1">
      <alignment horizontal="center"/>
    </xf>
    <xf numFmtId="4" fontId="3" fillId="4" borderId="19" xfId="0" applyNumberFormat="1" applyFont="1" applyFill="1" applyBorder="1" applyAlignment="1">
      <alignment horizontal="center" vertical="center" wrapText="1"/>
    </xf>
    <xf numFmtId="4" fontId="0" fillId="4" borderId="0" xfId="0" applyNumberFormat="1" applyFont="1" applyFill="1" applyAlignment="1">
      <alignment horizontal="center"/>
    </xf>
    <xf numFmtId="4" fontId="28" fillId="4" borderId="0" xfId="0" applyNumberFormat="1" applyFont="1" applyFill="1" applyAlignment="1">
      <alignment horizontal="center"/>
    </xf>
    <xf numFmtId="4" fontId="2" fillId="3" borderId="1" xfId="0" applyNumberFormat="1" applyFont="1" applyFill="1" applyBorder="1" applyAlignment="1">
      <alignment horizontal="left" vertical="center" wrapText="1"/>
    </xf>
    <xf numFmtId="4" fontId="2" fillId="9" borderId="1" xfId="0" applyNumberFormat="1" applyFont="1" applyFill="1" applyBorder="1" applyAlignment="1">
      <alignment horizontal="center" vertical="center" wrapText="1"/>
    </xf>
    <xf numFmtId="4" fontId="2" fillId="10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/>
    <xf numFmtId="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0" fillId="3" borderId="0" xfId="0" applyNumberFormat="1" applyFont="1" applyFill="1" applyBorder="1" applyAlignment="1">
      <alignment horizontal="center"/>
    </xf>
    <xf numFmtId="4" fontId="2" fillId="3" borderId="19" xfId="0" applyNumberFormat="1" applyFont="1" applyFill="1" applyBorder="1" applyAlignment="1">
      <alignment horizontal="center" vertical="center" wrapText="1"/>
    </xf>
    <xf numFmtId="4" fontId="0" fillId="3" borderId="0" xfId="0" applyNumberFormat="1" applyFont="1" applyFill="1" applyAlignment="1">
      <alignment horizontal="center"/>
    </xf>
    <xf numFmtId="4" fontId="35" fillId="3" borderId="1" xfId="0" applyNumberFormat="1" applyFont="1" applyFill="1" applyBorder="1" applyAlignment="1">
      <alignment horizontal="center" vertical="center" wrapText="1"/>
    </xf>
    <xf numFmtId="4" fontId="44" fillId="3" borderId="0" xfId="0" applyNumberFormat="1" applyFont="1" applyFill="1" applyAlignment="1">
      <alignment horizontal="center"/>
    </xf>
    <xf numFmtId="4" fontId="35" fillId="3" borderId="1" xfId="0" applyNumberFormat="1" applyFont="1" applyFill="1" applyBorder="1" applyAlignment="1">
      <alignment horizontal="left" vertical="center" wrapText="1"/>
    </xf>
    <xf numFmtId="4" fontId="35" fillId="3" borderId="3" xfId="0" applyNumberFormat="1" applyFont="1" applyFill="1" applyBorder="1" applyAlignment="1">
      <alignment horizontal="left" vertical="center" wrapText="1"/>
    </xf>
    <xf numFmtId="4" fontId="35" fillId="3" borderId="3" xfId="0" applyNumberFormat="1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/>
    </xf>
    <xf numFmtId="4" fontId="44" fillId="3" borderId="0" xfId="0" applyNumberFormat="1" applyFont="1" applyFill="1" applyBorder="1" applyAlignment="1">
      <alignment horizontal="center"/>
    </xf>
    <xf numFmtId="4" fontId="35" fillId="3" borderId="19" xfId="0" applyNumberFormat="1" applyFont="1" applyFill="1" applyBorder="1" applyAlignment="1">
      <alignment horizontal="center" vertical="center" wrapText="1"/>
    </xf>
    <xf numFmtId="4" fontId="46" fillId="3" borderId="1" xfId="0" applyNumberFormat="1" applyFont="1" applyFill="1" applyBorder="1" applyAlignment="1">
      <alignment horizontal="left" vertical="center" wrapText="1"/>
    </xf>
    <xf numFmtId="4" fontId="46" fillId="3" borderId="3" xfId="0" applyNumberFormat="1" applyFont="1" applyFill="1" applyBorder="1" applyAlignment="1">
      <alignment horizontal="left" vertical="center" wrapText="1"/>
    </xf>
    <xf numFmtId="4" fontId="46" fillId="3" borderId="3" xfId="0" applyNumberFormat="1" applyFont="1" applyFill="1" applyBorder="1" applyAlignment="1">
      <alignment horizontal="center" vertical="center" wrapText="1"/>
    </xf>
    <xf numFmtId="4" fontId="46" fillId="3" borderId="1" xfId="0" applyNumberFormat="1" applyFont="1" applyFill="1" applyBorder="1" applyAlignment="1">
      <alignment horizontal="center"/>
    </xf>
    <xf numFmtId="4" fontId="35" fillId="3" borderId="0" xfId="0" applyNumberFormat="1" applyFont="1" applyFill="1" applyBorder="1" applyAlignment="1">
      <alignment horizontal="left" vertical="center" wrapText="1"/>
    </xf>
    <xf numFmtId="4" fontId="35" fillId="3" borderId="1" xfId="0" applyNumberFormat="1" applyFont="1" applyFill="1" applyBorder="1"/>
    <xf numFmtId="4" fontId="35" fillId="3" borderId="1" xfId="0" applyNumberFormat="1" applyFont="1" applyFill="1" applyBorder="1" applyAlignment="1">
      <alignment horizontal="center" vertical="center"/>
    </xf>
    <xf numFmtId="4" fontId="23" fillId="3" borderId="3" xfId="0" applyNumberFormat="1" applyFont="1" applyFill="1" applyBorder="1" applyAlignment="1">
      <alignment horizontal="center" vertical="center" wrapText="1"/>
    </xf>
    <xf numFmtId="4" fontId="47" fillId="3" borderId="19" xfId="0" applyNumberFormat="1" applyFont="1" applyFill="1" applyBorder="1" applyAlignment="1">
      <alignment horizontal="center" vertical="center" wrapText="1"/>
    </xf>
    <xf numFmtId="4" fontId="47" fillId="3" borderId="3" xfId="0" applyNumberFormat="1" applyFont="1" applyFill="1" applyBorder="1" applyAlignment="1">
      <alignment horizontal="center" vertical="center" wrapText="1"/>
    </xf>
    <xf numFmtId="4" fontId="44" fillId="3" borderId="1" xfId="0" applyNumberFormat="1" applyFont="1" applyFill="1" applyBorder="1" applyAlignment="1">
      <alignment horizontal="center"/>
    </xf>
    <xf numFmtId="4" fontId="47" fillId="3" borderId="1" xfId="0" applyNumberFormat="1" applyFont="1" applyFill="1" applyBorder="1" applyAlignment="1">
      <alignment horizontal="left" vertical="center" wrapText="1"/>
    </xf>
    <xf numFmtId="4" fontId="35" fillId="3" borderId="3" xfId="0" applyNumberFormat="1" applyFont="1" applyFill="1" applyBorder="1" applyAlignment="1">
      <alignment horizontal="center"/>
    </xf>
    <xf numFmtId="4" fontId="48" fillId="3" borderId="1" xfId="0" applyNumberFormat="1" applyFont="1" applyFill="1" applyBorder="1" applyAlignment="1">
      <alignment horizontal="center"/>
    </xf>
    <xf numFmtId="4" fontId="48" fillId="3" borderId="3" xfId="0" applyNumberFormat="1" applyFont="1" applyFill="1" applyBorder="1" applyAlignment="1">
      <alignment horizontal="center"/>
    </xf>
    <xf numFmtId="4" fontId="35" fillId="3" borderId="3" xfId="0" applyNumberFormat="1" applyFont="1" applyFill="1" applyBorder="1" applyAlignment="1">
      <alignment horizontal="center" wrapText="1"/>
    </xf>
    <xf numFmtId="4" fontId="48" fillId="3" borderId="3" xfId="0" applyNumberFormat="1" applyFont="1" applyFill="1" applyBorder="1" applyAlignment="1">
      <alignment horizontal="center" vertical="center"/>
    </xf>
    <xf numFmtId="4" fontId="35" fillId="3" borderId="3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4" fontId="48" fillId="3" borderId="19" xfId="0" applyNumberFormat="1" applyFont="1" applyFill="1" applyBorder="1" applyAlignment="1">
      <alignment horizontal="center"/>
    </xf>
    <xf numFmtId="4" fontId="35" fillId="3" borderId="19" xfId="0" applyNumberFormat="1" applyFont="1" applyFill="1" applyBorder="1" applyAlignment="1">
      <alignment horizontal="center"/>
    </xf>
    <xf numFmtId="4" fontId="47" fillId="3" borderId="3" xfId="0" applyNumberFormat="1" applyFont="1" applyFill="1" applyBorder="1" applyAlignment="1">
      <alignment horizontal="left" vertical="center" wrapText="1"/>
    </xf>
    <xf numFmtId="4" fontId="46" fillId="3" borderId="3" xfId="0" applyNumberFormat="1" applyFont="1" applyFill="1" applyBorder="1" applyAlignment="1">
      <alignment horizontal="center"/>
    </xf>
    <xf numFmtId="4" fontId="46" fillId="3" borderId="3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>
      <alignment horizontal="center"/>
    </xf>
    <xf numFmtId="4" fontId="50" fillId="3" borderId="0" xfId="0" applyNumberFormat="1" applyFont="1" applyFill="1" applyBorder="1" applyAlignment="1">
      <alignment horizontal="center"/>
    </xf>
    <xf numFmtId="4" fontId="46" fillId="3" borderId="19" xfId="0" applyNumberFormat="1" applyFont="1" applyFill="1" applyBorder="1" applyAlignment="1">
      <alignment horizontal="center"/>
    </xf>
    <xf numFmtId="4" fontId="50" fillId="3" borderId="0" xfId="0" applyNumberFormat="1" applyFont="1" applyFill="1" applyAlignment="1">
      <alignment horizontal="center"/>
    </xf>
    <xf numFmtId="4" fontId="2" fillId="4" borderId="3" xfId="0" applyNumberFormat="1" applyFont="1" applyFill="1" applyBorder="1" applyAlignment="1">
      <alignment horizontal="center" vertical="center" wrapText="1"/>
    </xf>
    <xf numFmtId="4" fontId="48" fillId="3" borderId="1" xfId="0" applyNumberFormat="1" applyFont="1" applyFill="1" applyBorder="1" applyAlignment="1">
      <alignment horizontal="center" vertical="center" wrapText="1"/>
    </xf>
    <xf numFmtId="4" fontId="35" fillId="3" borderId="1" xfId="1" applyNumberFormat="1" applyFont="1" applyFill="1" applyBorder="1"/>
    <xf numFmtId="4" fontId="46" fillId="3" borderId="1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46" fillId="3" borderId="19" xfId="0" applyNumberFormat="1" applyFont="1" applyFill="1" applyBorder="1" applyAlignment="1">
      <alignment horizontal="center" vertical="center" wrapText="1"/>
    </xf>
    <xf numFmtId="4" fontId="46" fillId="3" borderId="1" xfId="0" applyNumberFormat="1" applyFont="1" applyFill="1" applyBorder="1" applyAlignment="1">
      <alignment horizontal="center" vertical="center"/>
    </xf>
    <xf numFmtId="4" fontId="35" fillId="3" borderId="1" xfId="1" applyNumberFormat="1" applyFont="1" applyFill="1" applyBorder="1" applyAlignment="1">
      <alignment horizontal="center" vertical="center"/>
    </xf>
    <xf numFmtId="4" fontId="35" fillId="3" borderId="1" xfId="0" applyNumberFormat="1" applyFont="1" applyFill="1" applyBorder="1" applyAlignment="1">
      <alignment horizontal="center" wrapText="1"/>
    </xf>
    <xf numFmtId="4" fontId="35" fillId="3" borderId="6" xfId="0" applyNumberFormat="1" applyFont="1" applyFill="1" applyBorder="1" applyAlignment="1">
      <alignment horizontal="center" vertical="center" wrapText="1"/>
    </xf>
    <xf numFmtId="4" fontId="35" fillId="3" borderId="2" xfId="0" applyNumberFormat="1" applyFont="1" applyFill="1" applyBorder="1"/>
    <xf numFmtId="4" fontId="52" fillId="3" borderId="19" xfId="3" applyNumberFormat="1" applyFont="1" applyFill="1" applyBorder="1" applyAlignment="1">
      <alignment horizontal="center" vertical="center" wrapText="1"/>
    </xf>
    <xf numFmtId="4" fontId="35" fillId="3" borderId="0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left" vertical="center" wrapText="1"/>
    </xf>
    <xf numFmtId="4" fontId="2" fillId="7" borderId="3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horizontal="left" vertical="center" wrapText="1"/>
    </xf>
    <xf numFmtId="4" fontId="35" fillId="3" borderId="2" xfId="0" applyNumberFormat="1" applyFont="1" applyFill="1" applyBorder="1" applyAlignment="1">
      <alignment horizontal="center" vertical="center" wrapText="1"/>
    </xf>
    <xf numFmtId="4" fontId="35" fillId="3" borderId="2" xfId="0" applyNumberFormat="1" applyFont="1" applyFill="1" applyBorder="1" applyAlignment="1">
      <alignment horizontal="center"/>
    </xf>
    <xf numFmtId="4" fontId="35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/>
    </xf>
    <xf numFmtId="4" fontId="9" fillId="4" borderId="1" xfId="0" applyNumberFormat="1" applyFont="1" applyFill="1" applyBorder="1" applyAlignment="1">
      <alignment horizontal="center"/>
    </xf>
    <xf numFmtId="4" fontId="3" fillId="4" borderId="24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4" fontId="6" fillId="8" borderId="13" xfId="0" applyNumberFormat="1" applyFont="1" applyFill="1" applyBorder="1" applyAlignment="1">
      <alignment horizontal="center" vertical="center" wrapText="1"/>
    </xf>
    <xf numFmtId="4" fontId="6" fillId="8" borderId="11" xfId="0" applyNumberFormat="1" applyFont="1" applyFill="1" applyBorder="1" applyAlignment="1">
      <alignment horizontal="center" vertical="center" wrapText="1"/>
    </xf>
    <xf numFmtId="4" fontId="11" fillId="8" borderId="1" xfId="0" applyNumberFormat="1" applyFont="1" applyFill="1" applyBorder="1" applyAlignment="1">
      <alignment horizontal="center"/>
    </xf>
    <xf numFmtId="4" fontId="6" fillId="8" borderId="1" xfId="0" applyNumberFormat="1" applyFont="1" applyFill="1" applyBorder="1" applyAlignment="1">
      <alignment horizontal="center" vertical="center" wrapText="1"/>
    </xf>
    <xf numFmtId="4" fontId="6" fillId="8" borderId="1" xfId="0" applyNumberFormat="1" applyFont="1" applyFill="1" applyBorder="1" applyAlignment="1">
      <alignment horizontal="left" vertical="center" wrapText="1"/>
    </xf>
    <xf numFmtId="4" fontId="6" fillId="8" borderId="1" xfId="0" applyNumberFormat="1" applyFont="1" applyFill="1" applyBorder="1"/>
    <xf numFmtId="4" fontId="11" fillId="8" borderId="15" xfId="0" applyNumberFormat="1" applyFont="1" applyFill="1" applyBorder="1" applyAlignment="1">
      <alignment horizontal="center"/>
    </xf>
    <xf numFmtId="4" fontId="6" fillId="8" borderId="15" xfId="0" applyNumberFormat="1" applyFont="1" applyFill="1" applyBorder="1" applyAlignment="1">
      <alignment horizontal="left" vertical="center" wrapText="1"/>
    </xf>
    <xf numFmtId="4" fontId="6" fillId="8" borderId="15" xfId="0" applyNumberFormat="1" applyFont="1" applyFill="1" applyBorder="1" applyAlignment="1">
      <alignment horizontal="center" vertical="center" wrapText="1"/>
    </xf>
    <xf numFmtId="4" fontId="6" fillId="8" borderId="16" xfId="0" applyNumberFormat="1" applyFont="1" applyFill="1" applyBorder="1" applyAlignment="1">
      <alignment horizontal="center" vertical="center" wrapText="1"/>
    </xf>
    <xf numFmtId="4" fontId="41" fillId="8" borderId="15" xfId="0" applyNumberFormat="1" applyFont="1" applyFill="1" applyBorder="1" applyAlignment="1">
      <alignment horizontal="center" vertical="center" wrapText="1"/>
    </xf>
    <xf numFmtId="4" fontId="6" fillId="8" borderId="3" xfId="0" applyNumberFormat="1" applyFont="1" applyFill="1" applyBorder="1" applyAlignment="1">
      <alignment horizontal="center" vertical="center" wrapText="1"/>
    </xf>
    <xf numFmtId="4" fontId="41" fillId="8" borderId="16" xfId="0" applyNumberFormat="1" applyFont="1" applyFill="1" applyBorder="1" applyAlignment="1">
      <alignment horizontal="center" vertical="center" wrapText="1"/>
    </xf>
    <xf numFmtId="4" fontId="11" fillId="8" borderId="0" xfId="0" applyNumberFormat="1" applyFont="1" applyFill="1" applyBorder="1" applyAlignment="1">
      <alignment horizontal="center"/>
    </xf>
    <xf numFmtId="4" fontId="41" fillId="8" borderId="20" xfId="0" applyNumberFormat="1" applyFont="1" applyFill="1" applyBorder="1" applyAlignment="1">
      <alignment horizontal="center" vertical="center" wrapText="1"/>
    </xf>
    <xf numFmtId="4" fontId="41" fillId="8" borderId="7" xfId="0" applyNumberFormat="1" applyFont="1" applyFill="1" applyBorder="1" applyAlignment="1">
      <alignment horizontal="center" vertical="center" wrapText="1"/>
    </xf>
    <xf numFmtId="4" fontId="11" fillId="8" borderId="0" xfId="0" applyNumberFormat="1" applyFont="1" applyFill="1" applyAlignment="1">
      <alignment horizontal="center"/>
    </xf>
    <xf numFmtId="4" fontId="41" fillId="8" borderId="1" xfId="0" applyNumberFormat="1" applyFont="1" applyFill="1" applyBorder="1" applyAlignment="1">
      <alignment horizontal="center" vertical="center" wrapText="1"/>
    </xf>
    <xf numFmtId="4" fontId="42" fillId="8" borderId="0" xfId="0" applyNumberFormat="1" applyFont="1" applyFill="1" applyAlignment="1">
      <alignment horizontal="center"/>
    </xf>
    <xf numFmtId="4" fontId="41" fillId="8" borderId="2" xfId="0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2" fillId="3" borderId="18" xfId="0" applyNumberFormat="1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 wrapText="1"/>
    </xf>
    <xf numFmtId="4" fontId="3" fillId="3" borderId="39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0" fillId="3" borderId="10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center"/>
    </xf>
    <xf numFmtId="4" fontId="2" fillId="3" borderId="8" xfId="0" applyNumberFormat="1" applyFont="1" applyFill="1" applyBorder="1" applyAlignment="1">
      <alignment horizontal="left" vertical="center" wrapText="1"/>
    </xf>
    <xf numFmtId="4" fontId="2" fillId="3" borderId="8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2" fillId="3" borderId="2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/>
    </xf>
    <xf numFmtId="4" fontId="2" fillId="3" borderId="23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6" fillId="8" borderId="1" xfId="0" applyNumberFormat="1" applyFont="1" applyFill="1" applyBorder="1" applyAlignment="1">
      <alignment horizontal="center"/>
    </xf>
    <xf numFmtId="4" fontId="6" fillId="8" borderId="6" xfId="0" applyNumberFormat="1" applyFont="1" applyFill="1" applyBorder="1" applyAlignment="1">
      <alignment horizontal="center" vertical="center" wrapText="1"/>
    </xf>
    <xf numFmtId="4" fontId="6" fillId="8" borderId="3" xfId="0" applyNumberFormat="1" applyFont="1" applyFill="1" applyBorder="1" applyAlignment="1">
      <alignment horizontal="center"/>
    </xf>
    <xf numFmtId="4" fontId="6" fillId="8" borderId="0" xfId="0" applyNumberFormat="1" applyFont="1" applyFill="1" applyBorder="1" applyAlignment="1">
      <alignment horizontal="center"/>
    </xf>
    <xf numFmtId="4" fontId="6" fillId="8" borderId="0" xfId="0" applyNumberFormat="1" applyFont="1" applyFill="1" applyAlignment="1">
      <alignment horizontal="center"/>
    </xf>
    <xf numFmtId="4" fontId="6" fillId="8" borderId="40" xfId="0" applyNumberFormat="1" applyFont="1" applyFill="1" applyBorder="1" applyAlignment="1">
      <alignment horizontal="center"/>
    </xf>
    <xf numFmtId="4" fontId="6" fillId="8" borderId="41" xfId="0" applyNumberFormat="1" applyFont="1" applyFill="1" applyBorder="1" applyAlignment="1">
      <alignment horizontal="center"/>
    </xf>
    <xf numFmtId="4" fontId="6" fillId="8" borderId="2" xfId="0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 vertical="center" wrapText="1"/>
    </xf>
    <xf numFmtId="4" fontId="0" fillId="3" borderId="40" xfId="0" applyNumberFormat="1" applyFont="1" applyFill="1" applyBorder="1" applyAlignment="1">
      <alignment horizontal="center"/>
    </xf>
    <xf numFmtId="4" fontId="0" fillId="3" borderId="4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/>
    </xf>
    <xf numFmtId="4" fontId="21" fillId="3" borderId="2" xfId="0" applyNumberFormat="1" applyFont="1" applyFill="1" applyBorder="1" applyAlignment="1">
      <alignment horizontal="left" vertical="center" wrapText="1"/>
    </xf>
    <xf numFmtId="4" fontId="21" fillId="3" borderId="3" xfId="0" applyNumberFormat="1" applyFont="1" applyFill="1" applyBorder="1" applyAlignment="1">
      <alignment horizontal="left" vertical="center" wrapText="1"/>
    </xf>
    <xf numFmtId="4" fontId="37" fillId="3" borderId="3" xfId="0" applyNumberFormat="1" applyFont="1" applyFill="1" applyBorder="1" applyAlignment="1">
      <alignment horizontal="left" vertical="center" wrapText="1"/>
    </xf>
    <xf numFmtId="4" fontId="0" fillId="3" borderId="17" xfId="0" applyNumberFormat="1" applyFont="1" applyFill="1" applyBorder="1" applyAlignment="1">
      <alignment horizontal="center"/>
    </xf>
    <xf numFmtId="4" fontId="19" fillId="3" borderId="2" xfId="0" applyNumberFormat="1" applyFont="1" applyFill="1" applyBorder="1" applyAlignment="1">
      <alignment horizontal="center" vertical="center" wrapText="1"/>
    </xf>
    <xf numFmtId="4" fontId="39" fillId="3" borderId="1" xfId="0" applyNumberFormat="1" applyFont="1" applyFill="1" applyBorder="1" applyAlignment="1">
      <alignment horizontal="center" vertical="center" wrapText="1"/>
    </xf>
    <xf numFmtId="4" fontId="21" fillId="3" borderId="2" xfId="0" applyNumberFormat="1" applyFont="1" applyFill="1" applyBorder="1" applyAlignment="1">
      <alignment horizontal="center" vertical="center" wrapText="1"/>
    </xf>
    <xf numFmtId="4" fontId="0" fillId="3" borderId="8" xfId="0" applyNumberFormat="1" applyFont="1" applyFill="1" applyBorder="1" applyAlignment="1">
      <alignment horizontal="center"/>
    </xf>
    <xf numFmtId="4" fontId="32" fillId="3" borderId="1" xfId="0" applyNumberFormat="1" applyFont="1" applyFill="1" applyBorder="1" applyAlignment="1">
      <alignment horizontal="center" vertical="center" wrapText="1"/>
    </xf>
    <xf numFmtId="4" fontId="31" fillId="3" borderId="3" xfId="0" applyNumberFormat="1" applyFont="1" applyFill="1" applyBorder="1" applyAlignment="1">
      <alignment horizontal="left" vertical="center" wrapText="1"/>
    </xf>
    <xf numFmtId="4" fontId="38" fillId="3" borderId="3" xfId="0" applyNumberFormat="1" applyFont="1" applyFill="1" applyBorder="1" applyAlignment="1">
      <alignment horizontal="left" vertical="center" wrapText="1"/>
    </xf>
    <xf numFmtId="4" fontId="40" fillId="3" borderId="1" xfId="0" applyNumberFormat="1" applyFont="1" applyFill="1" applyBorder="1" applyAlignment="1">
      <alignment horizontal="center" vertical="center" wrapText="1"/>
    </xf>
    <xf numFmtId="4" fontId="40" fillId="3" borderId="7" xfId="0" applyNumberFormat="1" applyFont="1" applyFill="1" applyBorder="1" applyAlignment="1">
      <alignment horizontal="center" vertical="center" wrapText="1"/>
    </xf>
    <xf numFmtId="4" fontId="21" fillId="3" borderId="41" xfId="0" applyNumberFormat="1" applyFont="1" applyFill="1" applyBorder="1" applyAlignment="1">
      <alignment horizontal="left" vertical="center" wrapText="1"/>
    </xf>
    <xf numFmtId="4" fontId="40" fillId="3" borderId="17" xfId="0" applyNumberFormat="1" applyFont="1" applyFill="1" applyBorder="1" applyAlignment="1">
      <alignment horizontal="center" vertical="center" wrapText="1"/>
    </xf>
    <xf numFmtId="4" fontId="21" fillId="3" borderId="13" xfId="0" applyNumberFormat="1" applyFont="1" applyFill="1" applyBorder="1" applyAlignment="1">
      <alignment horizontal="left" vertical="center" wrapText="1"/>
    </xf>
    <xf numFmtId="4" fontId="21" fillId="9" borderId="3" xfId="0" applyNumberFormat="1" applyFont="1" applyFill="1" applyBorder="1" applyAlignment="1">
      <alignment horizontal="left" vertical="center" wrapText="1"/>
    </xf>
    <xf numFmtId="4" fontId="2" fillId="3" borderId="41" xfId="0" applyNumberFormat="1" applyFont="1" applyFill="1" applyBorder="1" applyAlignment="1">
      <alignment horizontal="center" vertical="center" wrapText="1"/>
    </xf>
    <xf numFmtId="4" fontId="2" fillId="3" borderId="40" xfId="0" applyNumberFormat="1" applyFont="1" applyFill="1" applyBorder="1" applyAlignment="1">
      <alignment horizontal="center" vertical="center" wrapText="1"/>
    </xf>
    <xf numFmtId="4" fontId="9" fillId="3" borderId="7" xfId="0" applyNumberFormat="1" applyFont="1" applyFill="1" applyBorder="1" applyAlignment="1">
      <alignment horizontal="center"/>
    </xf>
    <xf numFmtId="4" fontId="21" fillId="3" borderId="9" xfId="0" applyNumberFormat="1" applyFont="1" applyFill="1" applyBorder="1" applyAlignment="1">
      <alignment horizontal="left" vertical="center" wrapText="1"/>
    </xf>
    <xf numFmtId="4" fontId="21" fillId="3" borderId="14" xfId="0" applyNumberFormat="1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 wrapText="1"/>
    </xf>
    <xf numFmtId="4" fontId="21" fillId="3" borderId="1" xfId="0" applyNumberFormat="1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center"/>
    </xf>
    <xf numFmtId="4" fontId="9" fillId="3" borderId="0" xfId="0" applyNumberFormat="1" applyFont="1" applyFill="1" applyBorder="1" applyAlignment="1">
      <alignment horizontal="center"/>
    </xf>
    <xf numFmtId="4" fontId="8" fillId="3" borderId="0" xfId="0" applyNumberFormat="1" applyFont="1" applyFill="1" applyBorder="1" applyAlignment="1">
      <alignment horizontal="left"/>
    </xf>
    <xf numFmtId="4" fontId="3" fillId="3" borderId="0" xfId="0" applyNumberFormat="1" applyFont="1" applyFill="1" applyBorder="1" applyAlignment="1">
      <alignment horizontal="left" vertical="center" wrapText="1"/>
    </xf>
    <xf numFmtId="4" fontId="3" fillId="3" borderId="0" xfId="0" applyNumberFormat="1" applyFont="1" applyFill="1" applyBorder="1" applyAlignment="1">
      <alignment horizontal="center" vertical="center" wrapText="1"/>
    </xf>
    <xf numFmtId="4" fontId="0" fillId="3" borderId="0" xfId="0" applyNumberFormat="1" applyFont="1" applyFill="1" applyAlignment="1">
      <alignment horizontal="center" vertical="center" wrapText="1"/>
    </xf>
    <xf numFmtId="4" fontId="19" fillId="3" borderId="13" xfId="0" applyNumberFormat="1" applyFont="1" applyFill="1" applyBorder="1" applyAlignment="1">
      <alignment horizontal="left" vertical="center" wrapText="1"/>
    </xf>
    <xf numFmtId="4" fontId="3" fillId="3" borderId="8" xfId="0" applyNumberFormat="1" applyFont="1" applyFill="1" applyBorder="1" applyAlignment="1">
      <alignment horizontal="center" vertical="center" wrapText="1"/>
    </xf>
    <xf numFmtId="4" fontId="13" fillId="2" borderId="8" xfId="0" applyNumberFormat="1" applyFont="1" applyFill="1" applyBorder="1" applyAlignment="1">
      <alignment horizontal="center"/>
    </xf>
    <xf numFmtId="4" fontId="4" fillId="3" borderId="8" xfId="0" applyNumberFormat="1" applyFont="1" applyFill="1" applyBorder="1" applyAlignment="1">
      <alignment horizontal="center"/>
    </xf>
    <xf numFmtId="4" fontId="4" fillId="2" borderId="8" xfId="0" applyNumberFormat="1" applyFont="1" applyFill="1" applyBorder="1" applyAlignment="1">
      <alignment horizontal="center"/>
    </xf>
    <xf numFmtId="4" fontId="15" fillId="0" borderId="0" xfId="0" applyNumberFormat="1" applyFont="1" applyAlignment="1">
      <alignment vertical="center" wrapText="1"/>
    </xf>
    <xf numFmtId="4" fontId="4" fillId="3" borderId="1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15" fillId="0" borderId="0" xfId="0" applyNumberFormat="1" applyFont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/>
    </xf>
    <xf numFmtId="4" fontId="21" fillId="3" borderId="3" xfId="0" applyNumberFormat="1" applyFont="1" applyFill="1" applyBorder="1" applyAlignment="1">
      <alignment horizontal="center" vertical="center" wrapText="1"/>
    </xf>
    <xf numFmtId="4" fontId="19" fillId="3" borderId="2" xfId="0" applyNumberFormat="1" applyFont="1" applyFill="1" applyBorder="1" applyAlignment="1">
      <alignment horizontal="left" vertical="center" wrapText="1"/>
    </xf>
    <xf numFmtId="4" fontId="19" fillId="3" borderId="3" xfId="0" applyNumberFormat="1" applyFont="1" applyFill="1" applyBorder="1" applyAlignment="1">
      <alignment horizontal="left" vertical="center" wrapText="1"/>
    </xf>
    <xf numFmtId="4" fontId="8" fillId="4" borderId="3" xfId="0" applyNumberFormat="1" applyFont="1" applyFill="1" applyBorder="1" applyAlignment="1">
      <alignment horizontal="center"/>
    </xf>
    <xf numFmtId="4" fontId="21" fillId="4" borderId="1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19" fillId="3" borderId="11" xfId="0" applyNumberFormat="1" applyFont="1" applyFill="1" applyBorder="1" applyAlignment="1">
      <alignment horizontal="left" vertical="center" wrapText="1"/>
    </xf>
    <xf numFmtId="4" fontId="21" fillId="10" borderId="13" xfId="0" applyNumberFormat="1" applyFont="1" applyFill="1" applyBorder="1" applyAlignment="1">
      <alignment horizontal="left" vertical="center" wrapText="1"/>
    </xf>
    <xf numFmtId="4" fontId="21" fillId="9" borderId="13" xfId="0" applyNumberFormat="1" applyFont="1" applyFill="1" applyBorder="1" applyAlignment="1">
      <alignment horizontal="left" vertical="center" wrapText="1"/>
    </xf>
    <xf numFmtId="4" fontId="36" fillId="3" borderId="13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wrapText="1"/>
    </xf>
    <xf numFmtId="4" fontId="36" fillId="3" borderId="3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4" fontId="0" fillId="0" borderId="6" xfId="0" applyNumberFormat="1" applyBorder="1" applyAlignment="1">
      <alignment horizontal="center" wrapText="1"/>
    </xf>
    <xf numFmtId="4" fontId="0" fillId="4" borderId="0" xfId="0" applyNumberFormat="1" applyFont="1" applyFill="1" applyAlignment="1">
      <alignment horizontal="center" vertical="center" wrapText="1"/>
    </xf>
    <xf numFmtId="4" fontId="11" fillId="4" borderId="0" xfId="0" applyNumberFormat="1" applyFont="1" applyFill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/>
    </xf>
    <xf numFmtId="4" fontId="0" fillId="4" borderId="40" xfId="0" applyNumberFormat="1" applyFont="1" applyFill="1" applyBorder="1" applyAlignment="1">
      <alignment horizontal="center"/>
    </xf>
    <xf numFmtId="4" fontId="0" fillId="4" borderId="41" xfId="0" applyNumberFormat="1" applyFont="1" applyFill="1" applyBorder="1" applyAlignment="1">
      <alignment horizontal="center"/>
    </xf>
    <xf numFmtId="4" fontId="21" fillId="3" borderId="0" xfId="0" applyNumberFormat="1" applyFont="1" applyFill="1" applyBorder="1" applyAlignment="1">
      <alignment horizontal="left" vertical="center" wrapText="1"/>
    </xf>
    <xf numFmtId="4" fontId="34" fillId="3" borderId="40" xfId="0" applyNumberFormat="1" applyFont="1" applyFill="1" applyBorder="1" applyAlignment="1">
      <alignment horizontal="center"/>
    </xf>
    <xf numFmtId="4" fontId="34" fillId="4" borderId="38" xfId="0" applyNumberFormat="1" applyFont="1" applyFill="1" applyBorder="1" applyAlignment="1">
      <alignment horizontal="center"/>
    </xf>
    <xf numFmtId="4" fontId="0" fillId="4" borderId="37" xfId="0" applyNumberFormat="1" applyFont="1" applyFill="1" applyBorder="1" applyAlignment="1">
      <alignment horizontal="center"/>
    </xf>
    <xf numFmtId="4" fontId="34" fillId="4" borderId="37" xfId="0" applyNumberFormat="1" applyFont="1" applyFill="1" applyBorder="1" applyAlignment="1">
      <alignment horizontal="center"/>
    </xf>
    <xf numFmtId="4" fontId="2" fillId="3" borderId="6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Alignment="1">
      <alignment horizontal="left"/>
    </xf>
    <xf numFmtId="4" fontId="13" fillId="2" borderId="0" xfId="0" applyNumberFormat="1" applyFont="1" applyFill="1" applyAlignment="1">
      <alignment horizontal="center"/>
    </xf>
    <xf numFmtId="4" fontId="8" fillId="5" borderId="1" xfId="0" applyNumberFormat="1" applyFont="1" applyFill="1" applyBorder="1" applyAlignment="1">
      <alignment horizontal="left"/>
    </xf>
    <xf numFmtId="4" fontId="3" fillId="5" borderId="1" xfId="0" applyNumberFormat="1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5" borderId="1" xfId="2" applyNumberFormat="1" applyFont="1" applyFill="1" applyBorder="1" applyAlignment="1">
      <alignment horizontal="center"/>
    </xf>
    <xf numFmtId="4" fontId="3" fillId="3" borderId="1" xfId="2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center"/>
    </xf>
    <xf numFmtId="4" fontId="3" fillId="5" borderId="3" xfId="0" applyNumberFormat="1" applyFont="1" applyFill="1" applyBorder="1" applyAlignment="1">
      <alignment horizontal="center"/>
    </xf>
    <xf numFmtId="4" fontId="0" fillId="5" borderId="0" xfId="0" applyNumberFormat="1" applyFont="1" applyFill="1" applyBorder="1" applyAlignment="1">
      <alignment horizontal="center"/>
    </xf>
    <xf numFmtId="4" fontId="0" fillId="5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left"/>
    </xf>
    <xf numFmtId="4" fontId="0" fillId="2" borderId="0" xfId="2" applyNumberFormat="1" applyFont="1" applyFill="1" applyAlignment="1">
      <alignment horizontal="center"/>
    </xf>
    <xf numFmtId="4" fontId="0" fillId="3" borderId="0" xfId="2" applyNumberFormat="1" applyFont="1" applyFill="1" applyAlignment="1">
      <alignment horizontal="center"/>
    </xf>
    <xf numFmtId="4" fontId="13" fillId="2" borderId="6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center"/>
    </xf>
    <xf numFmtId="4" fontId="4" fillId="3" borderId="6" xfId="0" applyNumberFormat="1" applyFont="1" applyFill="1" applyBorder="1" applyAlignment="1">
      <alignment horizontal="center"/>
    </xf>
    <xf numFmtId="4" fontId="21" fillId="3" borderId="11" xfId="0" applyNumberFormat="1" applyFont="1" applyFill="1" applyBorder="1" applyAlignment="1">
      <alignment horizontal="left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4" fontId="2" fillId="4" borderId="13" xfId="0" applyNumberFormat="1" applyFont="1" applyFill="1" applyBorder="1" applyAlignment="1">
      <alignment horizontal="center" vertical="center" wrapText="1"/>
    </xf>
    <xf numFmtId="4" fontId="2" fillId="4" borderId="11" xfId="0" applyNumberFormat="1" applyFont="1" applyFill="1" applyBorder="1" applyAlignment="1">
      <alignment horizontal="center" vertical="center" wrapText="1"/>
    </xf>
    <xf numFmtId="4" fontId="21" fillId="4" borderId="2" xfId="0" applyNumberFormat="1" applyFont="1" applyFill="1" applyBorder="1" applyAlignment="1">
      <alignment horizontal="center" vertical="center" wrapText="1"/>
    </xf>
    <xf numFmtId="4" fontId="21" fillId="4" borderId="3" xfId="0" applyNumberFormat="1" applyFont="1" applyFill="1" applyBorder="1" applyAlignment="1">
      <alignment horizontal="left" vertical="center" wrapText="1"/>
    </xf>
    <xf numFmtId="4" fontId="37" fillId="4" borderId="3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/>
    </xf>
    <xf numFmtId="4" fontId="2" fillId="4" borderId="3" xfId="0" applyNumberFormat="1" applyFont="1" applyFill="1" applyBorder="1" applyAlignment="1">
      <alignment horizontal="center"/>
    </xf>
    <xf numFmtId="4" fontId="2" fillId="4" borderId="1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center"/>
    </xf>
    <xf numFmtId="4" fontId="0" fillId="7" borderId="0" xfId="0" applyNumberFormat="1" applyFont="1" applyFill="1" applyAlignment="1">
      <alignment horizontal="center"/>
    </xf>
    <xf numFmtId="0" fontId="0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right" vertical="center" wrapText="1"/>
    </xf>
    <xf numFmtId="0" fontId="0" fillId="4" borderId="0" xfId="0" applyNumberFormat="1" applyFont="1" applyFill="1" applyAlignment="1">
      <alignment horizont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44" fillId="3" borderId="0" xfId="0" applyNumberFormat="1" applyFont="1" applyFill="1" applyAlignment="1">
      <alignment horizontal="center"/>
    </xf>
    <xf numFmtId="0" fontId="44" fillId="3" borderId="1" xfId="0" applyNumberFormat="1" applyFont="1" applyFill="1" applyBorder="1" applyAlignment="1">
      <alignment horizontal="center" vertical="center" wrapText="1"/>
    </xf>
    <xf numFmtId="0" fontId="45" fillId="3" borderId="1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left" vertical="center" wrapText="1"/>
    </xf>
    <xf numFmtId="0" fontId="35" fillId="3" borderId="0" xfId="0" applyNumberFormat="1" applyFont="1" applyFill="1" applyBorder="1" applyAlignment="1">
      <alignment horizontal="left" vertical="center" wrapText="1"/>
    </xf>
    <xf numFmtId="0" fontId="35" fillId="3" borderId="1" xfId="0" applyNumberFormat="1" applyFont="1" applyFill="1" applyBorder="1" applyAlignment="1">
      <alignment horizontal="justify" vertical="center" wrapText="1"/>
    </xf>
    <xf numFmtId="0" fontId="35" fillId="3" borderId="1" xfId="0" applyNumberFormat="1" applyFont="1" applyFill="1" applyBorder="1"/>
    <xf numFmtId="0" fontId="3" fillId="4" borderId="1" xfId="0" applyNumberFormat="1" applyFont="1" applyFill="1" applyBorder="1"/>
    <xf numFmtId="0" fontId="48" fillId="3" borderId="1" xfId="0" applyNumberFormat="1" applyFont="1" applyFill="1" applyBorder="1"/>
    <xf numFmtId="0" fontId="50" fillId="3" borderId="0" xfId="0" applyNumberFormat="1" applyFont="1" applyFill="1" applyAlignment="1">
      <alignment horizontal="center"/>
    </xf>
    <xf numFmtId="0" fontId="50" fillId="3" borderId="1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wrapText="1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NumberFormat="1" applyFont="1" applyFill="1" applyBorder="1"/>
    <xf numFmtId="0" fontId="35" fillId="3" borderId="1" xfId="1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left" vertical="center" wrapText="1"/>
    </xf>
    <xf numFmtId="0" fontId="35" fillId="3" borderId="1" xfId="1" applyNumberFormat="1" applyFont="1" applyFill="1" applyBorder="1"/>
    <xf numFmtId="0" fontId="48" fillId="3" borderId="1" xfId="1" applyNumberFormat="1" applyFont="1" applyFill="1" applyBorder="1"/>
    <xf numFmtId="0" fontId="48" fillId="3" borderId="1" xfId="0" applyNumberFormat="1" applyFont="1" applyFill="1" applyBorder="1" applyAlignment="1">
      <alignment horizontal="center" vertical="center" wrapText="1"/>
    </xf>
    <xf numFmtId="0" fontId="48" fillId="3" borderId="1" xfId="0" applyNumberFormat="1" applyFont="1" applyFill="1" applyBorder="1" applyAlignment="1">
      <alignment horizontal="right" vertical="center" wrapText="1"/>
    </xf>
    <xf numFmtId="0" fontId="24" fillId="4" borderId="1" xfId="0" applyNumberFormat="1" applyFont="1" applyFill="1" applyBorder="1" applyAlignment="1">
      <alignment horizontal="right" vertical="center" wrapText="1"/>
    </xf>
    <xf numFmtId="0" fontId="9" fillId="4" borderId="1" xfId="0" applyNumberFormat="1" applyFont="1" applyFill="1" applyBorder="1" applyAlignment="1">
      <alignment horizontal="center"/>
    </xf>
    <xf numFmtId="0" fontId="8" fillId="4" borderId="1" xfId="0" applyNumberFormat="1" applyFont="1" applyFill="1" applyBorder="1"/>
    <xf numFmtId="0" fontId="19" fillId="3" borderId="2" xfId="0" applyNumberFormat="1" applyFont="1" applyFill="1" applyBorder="1" applyAlignment="1">
      <alignment horizontal="center" vertical="center" wrapText="1"/>
    </xf>
    <xf numFmtId="4" fontId="48" fillId="4" borderId="1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/>
    </xf>
    <xf numFmtId="4" fontId="0" fillId="3" borderId="0" xfId="0" applyNumberFormat="1" applyFont="1" applyFill="1" applyBorder="1" applyAlignment="1">
      <alignment horizontal="center" vertical="center"/>
    </xf>
    <xf numFmtId="4" fontId="0" fillId="3" borderId="0" xfId="0" applyNumberFormat="1" applyFont="1" applyFill="1" applyAlignment="1">
      <alignment horizontal="center" vertical="center"/>
    </xf>
    <xf numFmtId="4" fontId="0" fillId="3" borderId="17" xfId="0" applyNumberFormat="1" applyFont="1" applyFill="1" applyBorder="1" applyAlignment="1">
      <alignment horizontal="center" vertical="center"/>
    </xf>
    <xf numFmtId="4" fontId="0" fillId="3" borderId="40" xfId="0" applyNumberFormat="1" applyFont="1" applyFill="1" applyBorder="1" applyAlignment="1">
      <alignment horizontal="center" vertical="center"/>
    </xf>
    <xf numFmtId="4" fontId="0" fillId="3" borderId="41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0" fillId="3" borderId="8" xfId="0" applyNumberFormat="1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left" vertical="center" wrapText="1"/>
    </xf>
    <xf numFmtId="4" fontId="19" fillId="2" borderId="0" xfId="0" applyNumberFormat="1" applyFont="1" applyFill="1" applyAlignment="1">
      <alignment horizontal="center"/>
    </xf>
    <xf numFmtId="4" fontId="36" fillId="2" borderId="7" xfId="0" applyNumberFormat="1" applyFont="1" applyFill="1" applyBorder="1" applyAlignment="1">
      <alignment horizontal="center" vertical="center" textRotation="90" wrapText="1"/>
    </xf>
    <xf numFmtId="4" fontId="36" fillId="3" borderId="7" xfId="0" applyNumberFormat="1" applyFont="1" applyFill="1" applyBorder="1" applyAlignment="1">
      <alignment horizontal="center" vertical="center" wrapText="1"/>
    </xf>
    <xf numFmtId="4" fontId="36" fillId="2" borderId="17" xfId="0" applyNumberFormat="1" applyFont="1" applyFill="1" applyBorder="1" applyAlignment="1">
      <alignment horizontal="center" vertical="center" textRotation="90" wrapText="1"/>
    </xf>
    <xf numFmtId="4" fontId="36" fillId="3" borderId="8" xfId="0" applyNumberFormat="1" applyFont="1" applyFill="1" applyBorder="1" applyAlignment="1">
      <alignment horizontal="left" vertical="center" wrapText="1"/>
    </xf>
    <xf numFmtId="4" fontId="36" fillId="2" borderId="1" xfId="0" applyNumberFormat="1" applyFont="1" applyFill="1" applyBorder="1" applyAlignment="1">
      <alignment horizontal="center" vertical="center" textRotation="90" wrapText="1"/>
    </xf>
    <xf numFmtId="4" fontId="36" fillId="3" borderId="1" xfId="0" applyNumberFormat="1" applyFont="1" applyFill="1" applyBorder="1" applyAlignment="1">
      <alignment horizontal="center" vertical="center" wrapText="1"/>
    </xf>
    <xf numFmtId="4" fontId="36" fillId="2" borderId="2" xfId="0" applyNumberFormat="1" applyFont="1" applyFill="1" applyBorder="1" applyAlignment="1">
      <alignment horizontal="center" vertical="center" textRotation="90" wrapText="1"/>
    </xf>
    <xf numFmtId="4" fontId="53" fillId="3" borderId="1" xfId="0" applyNumberFormat="1" applyFont="1" applyFill="1" applyBorder="1" applyAlignment="1">
      <alignment horizontal="center" vertical="center" wrapText="1"/>
    </xf>
    <xf numFmtId="4" fontId="36" fillId="3" borderId="2" xfId="0" applyNumberFormat="1" applyFont="1" applyFill="1" applyBorder="1" applyAlignment="1">
      <alignment horizontal="center" vertical="center" textRotation="90" wrapText="1"/>
    </xf>
    <xf numFmtId="4" fontId="36" fillId="3" borderId="1" xfId="0" applyNumberFormat="1" applyFont="1" applyFill="1" applyBorder="1" applyAlignment="1">
      <alignment horizontal="center" vertical="center" textRotation="90" wrapText="1"/>
    </xf>
    <xf numFmtId="4" fontId="36" fillId="4" borderId="1" xfId="0" applyNumberFormat="1" applyFont="1" applyFill="1" applyBorder="1" applyAlignment="1">
      <alignment horizontal="center" vertical="center" wrapText="1"/>
    </xf>
    <xf numFmtId="4" fontId="36" fillId="4" borderId="1" xfId="0" applyNumberFormat="1" applyFont="1" applyFill="1" applyBorder="1" applyAlignment="1">
      <alignment horizontal="center" vertical="center" textRotation="90" wrapText="1"/>
    </xf>
    <xf numFmtId="4" fontId="36" fillId="4" borderId="2" xfId="0" applyNumberFormat="1" applyFont="1" applyFill="1" applyBorder="1" applyAlignment="1">
      <alignment horizontal="center" vertical="center" textRotation="90" wrapText="1"/>
    </xf>
    <xf numFmtId="4" fontId="19" fillId="2" borderId="0" xfId="0" applyNumberFormat="1" applyFont="1" applyFill="1" applyBorder="1" applyAlignment="1">
      <alignment horizontal="center"/>
    </xf>
    <xf numFmtId="4" fontId="36" fillId="2" borderId="8" xfId="0" applyNumberFormat="1" applyFont="1" applyFill="1" applyBorder="1" applyAlignment="1">
      <alignment horizontal="center" vertical="center" textRotation="90" wrapText="1"/>
    </xf>
    <xf numFmtId="4" fontId="36" fillId="2" borderId="11" xfId="0" applyNumberFormat="1" applyFont="1" applyFill="1" applyBorder="1" applyAlignment="1">
      <alignment horizontal="center" vertical="center" textRotation="90" wrapText="1"/>
    </xf>
    <xf numFmtId="4" fontId="54" fillId="3" borderId="4" xfId="0" applyNumberFormat="1" applyFont="1" applyFill="1" applyBorder="1" applyAlignment="1">
      <alignment horizontal="center" vertical="center" wrapText="1"/>
    </xf>
    <xf numFmtId="4" fontId="36" fillId="2" borderId="5" xfId="0" applyNumberFormat="1" applyFont="1" applyFill="1" applyBorder="1" applyAlignment="1">
      <alignment horizontal="center" vertical="center" textRotation="90" wrapText="1"/>
    </xf>
    <xf numFmtId="4" fontId="54" fillId="2" borderId="1" xfId="0" applyNumberFormat="1" applyFont="1" applyFill="1" applyBorder="1" applyAlignment="1">
      <alignment horizontal="center" vertical="center" textRotation="90" wrapText="1"/>
    </xf>
    <xf numFmtId="4" fontId="19" fillId="0" borderId="0" xfId="0" applyNumberFormat="1" applyFont="1"/>
    <xf numFmtId="4" fontId="36" fillId="3" borderId="8" xfId="0" applyNumberFormat="1" applyFont="1" applyFill="1" applyBorder="1" applyAlignment="1">
      <alignment horizontal="center" vertical="center" wrapText="1"/>
    </xf>
    <xf numFmtId="4" fontId="36" fillId="3" borderId="8" xfId="0" applyNumberFormat="1" applyFont="1" applyFill="1" applyBorder="1" applyAlignment="1">
      <alignment horizontal="center" vertical="center" textRotation="90" wrapText="1"/>
    </xf>
    <xf numFmtId="4" fontId="36" fillId="3" borderId="11" xfId="0" applyNumberFormat="1" applyFont="1" applyFill="1" applyBorder="1" applyAlignment="1">
      <alignment horizontal="center" vertical="center" textRotation="90" wrapText="1"/>
    </xf>
    <xf numFmtId="4" fontId="55" fillId="3" borderId="0" xfId="0" applyNumberFormat="1" applyFont="1" applyFill="1" applyAlignment="1">
      <alignment horizontal="center"/>
    </xf>
    <xf numFmtId="4" fontId="7" fillId="3" borderId="13" xfId="0" applyNumberFormat="1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4" fontId="56" fillId="3" borderId="1" xfId="0" applyNumberFormat="1" applyFont="1" applyFill="1" applyBorder="1" applyAlignment="1">
      <alignment horizontal="center"/>
    </xf>
    <xf numFmtId="4" fontId="58" fillId="3" borderId="1" xfId="0" applyNumberFormat="1" applyFont="1" applyFill="1" applyBorder="1" applyAlignment="1">
      <alignment horizontal="center" vertical="center" wrapText="1"/>
    </xf>
    <xf numFmtId="4" fontId="58" fillId="3" borderId="2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left" vertical="center" wrapText="1"/>
    </xf>
    <xf numFmtId="4" fontId="39" fillId="3" borderId="1" xfId="0" applyNumberFormat="1" applyFont="1" applyFill="1" applyBorder="1" applyAlignment="1">
      <alignment horizontal="left" vertical="center" wrapText="1"/>
    </xf>
    <xf numFmtId="4" fontId="40" fillId="3" borderId="1" xfId="0" applyNumberFormat="1" applyFont="1" applyFill="1" applyBorder="1" applyAlignment="1">
      <alignment horizontal="left" vertical="center" wrapText="1"/>
    </xf>
    <xf numFmtId="4" fontId="20" fillId="3" borderId="1" xfId="0" applyNumberFormat="1" applyFont="1" applyFill="1" applyBorder="1" applyAlignment="1">
      <alignment horizontal="left" vertical="center" wrapText="1"/>
    </xf>
    <xf numFmtId="4" fontId="34" fillId="3" borderId="0" xfId="0" applyNumberFormat="1" applyFont="1" applyFill="1" applyAlignment="1">
      <alignment horizontal="center"/>
    </xf>
    <xf numFmtId="4" fontId="59" fillId="3" borderId="13" xfId="0" applyNumberFormat="1" applyFont="1" applyFill="1" applyBorder="1" applyAlignment="1">
      <alignment horizontal="center" vertical="center" wrapText="1"/>
    </xf>
    <xf numFmtId="4" fontId="59" fillId="3" borderId="11" xfId="0" applyNumberFormat="1" applyFont="1" applyFill="1" applyBorder="1" applyAlignment="1">
      <alignment horizontal="center" vertical="center" wrapText="1"/>
    </xf>
    <xf numFmtId="4" fontId="34" fillId="3" borderId="1" xfId="0" applyNumberFormat="1" applyFont="1" applyFill="1" applyBorder="1" applyAlignment="1">
      <alignment horizontal="center"/>
    </xf>
    <xf numFmtId="4" fontId="59" fillId="3" borderId="1" xfId="0" applyNumberFormat="1" applyFont="1" applyFill="1" applyBorder="1" applyAlignment="1">
      <alignment horizontal="center" vertical="center" wrapText="1"/>
    </xf>
    <xf numFmtId="4" fontId="34" fillId="3" borderId="0" xfId="0" applyNumberFormat="1" applyFont="1" applyFill="1" applyBorder="1" applyAlignment="1">
      <alignment horizontal="center"/>
    </xf>
    <xf numFmtId="4" fontId="59" fillId="3" borderId="2" xfId="0" applyNumberFormat="1" applyFont="1" applyFill="1" applyBorder="1" applyAlignment="1">
      <alignment horizontal="center" vertical="center" wrapText="1"/>
    </xf>
    <xf numFmtId="4" fontId="34" fillId="3" borderId="41" xfId="0" applyNumberFormat="1" applyFont="1" applyFill="1" applyBorder="1" applyAlignment="1">
      <alignment horizontal="center"/>
    </xf>
    <xf numFmtId="4" fontId="34" fillId="3" borderId="7" xfId="0" applyNumberFormat="1" applyFont="1" applyFill="1" applyBorder="1" applyAlignment="1">
      <alignment horizontal="center"/>
    </xf>
    <xf numFmtId="4" fontId="34" fillId="4" borderId="1" xfId="0" applyNumberFormat="1" applyFont="1" applyFill="1" applyBorder="1" applyAlignment="1">
      <alignment horizontal="center"/>
    </xf>
    <xf numFmtId="4" fontId="59" fillId="3" borderId="1" xfId="0" applyNumberFormat="1" applyFont="1" applyFill="1" applyBorder="1" applyAlignment="1">
      <alignment horizontal="center"/>
    </xf>
    <xf numFmtId="4" fontId="59" fillId="3" borderId="1" xfId="0" applyNumberFormat="1" applyFont="1" applyFill="1" applyBorder="1" applyAlignment="1">
      <alignment horizontal="center" vertical="center"/>
    </xf>
    <xf numFmtId="4" fontId="59" fillId="3" borderId="2" xfId="0" applyNumberFormat="1" applyFont="1" applyFill="1" applyBorder="1" applyAlignment="1">
      <alignment horizontal="center"/>
    </xf>
    <xf numFmtId="4" fontId="55" fillId="3" borderId="0" xfId="0" applyNumberFormat="1" applyFont="1" applyFill="1" applyBorder="1" applyAlignment="1">
      <alignment horizontal="center" vertical="center"/>
    </xf>
    <xf numFmtId="4" fontId="55" fillId="3" borderId="0" xfId="0" applyNumberFormat="1" applyFont="1" applyFill="1" applyAlignment="1">
      <alignment horizontal="center" vertical="center"/>
    </xf>
    <xf numFmtId="4" fontId="55" fillId="3" borderId="40" xfId="0" applyNumberFormat="1" applyFont="1" applyFill="1" applyBorder="1" applyAlignment="1">
      <alignment horizontal="center" vertical="center"/>
    </xf>
    <xf numFmtId="4" fontId="55" fillId="3" borderId="41" xfId="0" applyNumberFormat="1" applyFont="1" applyFill="1" applyBorder="1" applyAlignment="1">
      <alignment horizontal="center" vertical="center"/>
    </xf>
    <xf numFmtId="4" fontId="57" fillId="4" borderId="3" xfId="0" applyNumberFormat="1" applyFont="1" applyFill="1" applyBorder="1" applyAlignment="1">
      <alignment horizontal="center" vertical="center" wrapText="1"/>
    </xf>
    <xf numFmtId="4" fontId="58" fillId="4" borderId="1" xfId="0" applyNumberFormat="1" applyFont="1" applyFill="1" applyBorder="1" applyAlignment="1">
      <alignment horizontal="center" vertical="center" wrapText="1"/>
    </xf>
    <xf numFmtId="4" fontId="58" fillId="4" borderId="3" xfId="0" applyNumberFormat="1" applyFont="1" applyFill="1" applyBorder="1" applyAlignment="1">
      <alignment horizontal="center" vertical="center" wrapText="1"/>
    </xf>
    <xf numFmtId="4" fontId="60" fillId="3" borderId="1" xfId="0" applyNumberFormat="1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horizontal="center"/>
    </xf>
    <xf numFmtId="4" fontId="19" fillId="0" borderId="0" xfId="0" applyNumberFormat="1" applyFont="1" applyFill="1" applyAlignment="1">
      <alignment horizontal="center"/>
    </xf>
    <xf numFmtId="4" fontId="11" fillId="0" borderId="0" xfId="0" applyNumberFormat="1" applyFont="1" applyFill="1" applyAlignment="1">
      <alignment horizontal="center"/>
    </xf>
    <xf numFmtId="4" fontId="44" fillId="0" borderId="0" xfId="0" applyNumberFormat="1" applyFont="1" applyFill="1" applyAlignment="1">
      <alignment horizontal="center"/>
    </xf>
    <xf numFmtId="4" fontId="50" fillId="0" borderId="0" xfId="0" applyNumberFormat="1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4" fontId="34" fillId="0" borderId="0" xfId="0" applyNumberFormat="1" applyFont="1" applyFill="1" applyAlignment="1">
      <alignment horizontal="center"/>
    </xf>
    <xf numFmtId="4" fontId="55" fillId="0" borderId="0" xfId="0" applyNumberFormat="1" applyFont="1" applyFill="1" applyAlignment="1">
      <alignment horizontal="center"/>
    </xf>
    <xf numFmtId="4" fontId="0" fillId="0" borderId="1" xfId="0" applyNumberFormat="1" applyFont="1" applyFill="1" applyBorder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4" fontId="0" fillId="0" borderId="0" xfId="0" applyNumberFormat="1" applyFont="1" applyFill="1" applyAlignment="1">
      <alignment horizontal="center" vertical="center" wrapText="1"/>
    </xf>
    <xf numFmtId="4" fontId="11" fillId="0" borderId="0" xfId="0" applyNumberFormat="1" applyFont="1" applyFill="1" applyAlignment="1">
      <alignment horizontal="center" vertical="center" wrapText="1"/>
    </xf>
    <xf numFmtId="4" fontId="0" fillId="0" borderId="0" xfId="0" applyNumberFormat="1" applyFont="1" applyFill="1" applyAlignment="1">
      <alignment horizontal="left"/>
    </xf>
    <xf numFmtId="4" fontId="13" fillId="0" borderId="0" xfId="0" applyNumberFormat="1" applyFont="1" applyFill="1" applyAlignment="1">
      <alignment horizontal="center"/>
    </xf>
    <xf numFmtId="4" fontId="2" fillId="3" borderId="7" xfId="0" applyNumberFormat="1" applyFont="1" applyFill="1" applyBorder="1" applyAlignment="1">
      <alignment horizontal="center" vertical="center" wrapText="1"/>
    </xf>
    <xf numFmtId="4" fontId="34" fillId="11" borderId="3" xfId="0" applyNumberFormat="1" applyFont="1" applyFill="1" applyBorder="1" applyAlignment="1">
      <alignment horizontal="left" vertical="center" wrapText="1"/>
    </xf>
    <xf numFmtId="4" fontId="59" fillId="11" borderId="3" xfId="0" applyNumberFormat="1" applyFont="1" applyFill="1" applyBorder="1" applyAlignment="1">
      <alignment horizontal="center" vertical="center" wrapText="1"/>
    </xf>
    <xf numFmtId="4" fontId="59" fillId="11" borderId="1" xfId="0" applyNumberFormat="1" applyFont="1" applyFill="1" applyBorder="1" applyAlignment="1">
      <alignment horizontal="center" vertical="center" wrapText="1"/>
    </xf>
    <xf numFmtId="4" fontId="34" fillId="12" borderId="3" xfId="0" applyNumberFormat="1" applyFont="1" applyFill="1" applyBorder="1" applyAlignment="1">
      <alignment horizontal="left" vertical="center" wrapText="1"/>
    </xf>
    <xf numFmtId="4" fontId="59" fillId="12" borderId="3" xfId="0" applyNumberFormat="1" applyFont="1" applyFill="1" applyBorder="1" applyAlignment="1">
      <alignment horizontal="center" vertical="center" wrapText="1"/>
    </xf>
    <xf numFmtId="4" fontId="59" fillId="12" borderId="1" xfId="0" applyNumberFormat="1" applyFont="1" applyFill="1" applyBorder="1" applyAlignment="1">
      <alignment horizontal="center" vertical="center" wrapText="1"/>
    </xf>
    <xf numFmtId="4" fontId="59" fillId="11" borderId="3" xfId="0" applyNumberFormat="1" applyFont="1" applyFill="1" applyBorder="1" applyAlignment="1">
      <alignment horizontal="left" vertical="center" wrapText="1"/>
    </xf>
    <xf numFmtId="4" fontId="59" fillId="11" borderId="1" xfId="0" applyNumberFormat="1" applyFont="1" applyFill="1" applyBorder="1" applyAlignment="1">
      <alignment horizontal="center"/>
    </xf>
    <xf numFmtId="4" fontId="59" fillId="11" borderId="3" xfId="0" applyNumberFormat="1" applyFont="1" applyFill="1" applyBorder="1" applyAlignment="1">
      <alignment horizontal="center" vertical="center"/>
    </xf>
    <xf numFmtId="4" fontId="59" fillId="11" borderId="1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25" fillId="2" borderId="34" xfId="0" applyNumberFormat="1" applyFont="1" applyFill="1" applyBorder="1" applyAlignment="1">
      <alignment horizontal="center" vertical="center" textRotation="90" wrapText="1"/>
    </xf>
    <xf numFmtId="4" fontId="25" fillId="2" borderId="22" xfId="0" applyNumberFormat="1" applyFont="1" applyFill="1" applyBorder="1" applyAlignment="1">
      <alignment horizontal="center" vertical="center" textRotation="90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4" fontId="43" fillId="3" borderId="2" xfId="0" applyNumberFormat="1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4" fontId="21" fillId="3" borderId="2" xfId="0" applyNumberFormat="1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3" borderId="36" xfId="0" applyNumberFormat="1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>
      <alignment horizontal="center" vertical="center" wrapText="1"/>
    </xf>
    <xf numFmtId="4" fontId="21" fillId="3" borderId="3" xfId="0" applyNumberFormat="1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/>
    </xf>
    <xf numFmtId="4" fontId="8" fillId="4" borderId="3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 vertical="center" textRotation="90" wrapText="1"/>
    </xf>
    <xf numFmtId="4" fontId="6" fillId="2" borderId="8" xfId="0" applyNumberFormat="1" applyFont="1" applyFill="1" applyBorder="1" applyAlignment="1">
      <alignment horizontal="center" vertical="center" textRotation="90" wrapText="1"/>
    </xf>
    <xf numFmtId="4" fontId="34" fillId="12" borderId="2" xfId="0" applyNumberFormat="1" applyFont="1" applyFill="1" applyBorder="1" applyAlignment="1">
      <alignment horizontal="left" vertical="center" wrapText="1"/>
    </xf>
    <xf numFmtId="4" fontId="34" fillId="12" borderId="3" xfId="0" applyNumberFormat="1" applyFont="1" applyFill="1" applyBorder="1" applyAlignment="1">
      <alignment horizontal="left" vertical="center" wrapText="1"/>
    </xf>
    <xf numFmtId="4" fontId="34" fillId="11" borderId="2" xfId="0" applyNumberFormat="1" applyFont="1" applyFill="1" applyBorder="1" applyAlignment="1">
      <alignment horizontal="left" vertical="center" wrapText="1"/>
    </xf>
    <xf numFmtId="4" fontId="34" fillId="11" borderId="3" xfId="0" applyNumberFormat="1" applyFont="1" applyFill="1" applyBorder="1" applyAlignment="1">
      <alignment horizontal="left" vertical="center" wrapText="1"/>
    </xf>
    <xf numFmtId="4" fontId="57" fillId="4" borderId="2" xfId="0" applyNumberFormat="1" applyFont="1" applyFill="1" applyBorder="1" applyAlignment="1">
      <alignment horizontal="center" vertical="center" wrapText="1"/>
    </xf>
    <xf numFmtId="4" fontId="57" fillId="4" borderId="3" xfId="0" applyNumberFormat="1" applyFont="1" applyFill="1" applyBorder="1" applyAlignment="1">
      <alignment horizontal="center" vertical="center" wrapText="1"/>
    </xf>
    <xf numFmtId="4" fontId="19" fillId="3" borderId="11" xfId="0" applyNumberFormat="1" applyFont="1" applyFill="1" applyBorder="1" applyAlignment="1">
      <alignment horizontal="left" vertical="center" wrapText="1"/>
    </xf>
    <xf numFmtId="4" fontId="19" fillId="3" borderId="13" xfId="0" applyNumberFormat="1" applyFont="1" applyFill="1" applyBorder="1" applyAlignment="1">
      <alignment horizontal="left" vertical="center" wrapText="1"/>
    </xf>
    <xf numFmtId="4" fontId="6" fillId="8" borderId="2" xfId="0" applyNumberFormat="1" applyFont="1" applyFill="1" applyBorder="1" applyAlignment="1">
      <alignment horizontal="center" vertical="center" wrapText="1"/>
    </xf>
    <xf numFmtId="4" fontId="6" fillId="8" borderId="6" xfId="0" applyNumberFormat="1" applyFont="1" applyFill="1" applyBorder="1" applyAlignment="1">
      <alignment horizontal="center" vertical="center" wrapText="1"/>
    </xf>
    <xf numFmtId="4" fontId="8" fillId="3" borderId="30" xfId="0" applyNumberFormat="1" applyFont="1" applyFill="1" applyBorder="1" applyAlignment="1">
      <alignment horizontal="center" vertical="center" wrapText="1"/>
    </xf>
    <xf numFmtId="4" fontId="8" fillId="3" borderId="31" xfId="0" applyNumberFormat="1" applyFont="1" applyFill="1" applyBorder="1" applyAlignment="1">
      <alignment horizontal="center" vertical="center" wrapText="1"/>
    </xf>
    <xf numFmtId="4" fontId="8" fillId="3" borderId="32" xfId="0" applyNumberFormat="1" applyFont="1" applyFill="1" applyBorder="1" applyAlignment="1">
      <alignment horizontal="center" vertical="center" wrapText="1"/>
    </xf>
    <xf numFmtId="4" fontId="8" fillId="3" borderId="33" xfId="0" applyNumberFormat="1" applyFont="1" applyFill="1" applyBorder="1" applyAlignment="1">
      <alignment horizontal="center" vertical="center" wrapText="1"/>
    </xf>
    <xf numFmtId="4" fontId="8" fillId="4" borderId="25" xfId="0" applyNumberFormat="1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4" fontId="8" fillId="4" borderId="27" xfId="0" applyNumberFormat="1" applyFont="1" applyFill="1" applyBorder="1" applyAlignment="1">
      <alignment horizontal="center" vertical="center" wrapText="1"/>
    </xf>
    <xf numFmtId="4" fontId="8" fillId="4" borderId="28" xfId="0" applyNumberFormat="1" applyFont="1" applyFill="1" applyBorder="1" applyAlignment="1">
      <alignment horizontal="center" vertical="center" wrapText="1"/>
    </xf>
    <xf numFmtId="4" fontId="8" fillId="3" borderId="29" xfId="0" applyNumberFormat="1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center" vertical="center" wrapText="1"/>
    </xf>
    <xf numFmtId="4" fontId="8" fillId="3" borderId="27" xfId="0" applyNumberFormat="1" applyFont="1" applyFill="1" applyBorder="1" applyAlignment="1">
      <alignment horizontal="center" vertical="center" wrapText="1"/>
    </xf>
    <xf numFmtId="4" fontId="8" fillId="3" borderId="28" xfId="0" applyNumberFormat="1" applyFont="1" applyFill="1" applyBorder="1" applyAlignment="1">
      <alignment horizontal="center" vertical="center" wrapText="1"/>
    </xf>
    <xf numFmtId="4" fontId="14" fillId="3" borderId="35" xfId="0" applyNumberFormat="1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4" fontId="14" fillId="3" borderId="3" xfId="0" applyNumberFormat="1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textRotation="90" wrapText="1"/>
    </xf>
    <xf numFmtId="4" fontId="12" fillId="2" borderId="8" xfId="0" applyNumberFormat="1" applyFont="1" applyFill="1" applyBorder="1" applyAlignment="1">
      <alignment horizontal="center" vertical="center" textRotation="90" wrapText="1"/>
    </xf>
    <xf numFmtId="4" fontId="22" fillId="2" borderId="7" xfId="0" applyNumberFormat="1" applyFont="1" applyFill="1" applyBorder="1" applyAlignment="1">
      <alignment horizontal="center" vertical="center" textRotation="90" wrapText="1"/>
    </xf>
    <xf numFmtId="4" fontId="22" fillId="2" borderId="8" xfId="0" applyNumberFormat="1" applyFont="1" applyFill="1" applyBorder="1" applyAlignment="1">
      <alignment horizontal="center" vertical="center" textRotation="90" wrapText="1"/>
    </xf>
    <xf numFmtId="4" fontId="26" fillId="2" borderId="7" xfId="0" applyNumberFormat="1" applyFont="1" applyFill="1" applyBorder="1" applyAlignment="1">
      <alignment horizontal="center" vertical="center" textRotation="90" wrapText="1"/>
    </xf>
    <xf numFmtId="4" fontId="26" fillId="2" borderId="8" xfId="0" applyNumberFormat="1" applyFont="1" applyFill="1" applyBorder="1" applyAlignment="1">
      <alignment horizontal="center" vertical="center" textRotation="90" wrapText="1"/>
    </xf>
    <xf numFmtId="0" fontId="48" fillId="3" borderId="1" xfId="0" applyNumberFormat="1" applyFont="1" applyFill="1" applyBorder="1" applyAlignment="1">
      <alignment horizontal="center" vertical="center" wrapText="1"/>
    </xf>
    <xf numFmtId="0" fontId="44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17" fillId="4" borderId="1" xfId="0" applyNumberFormat="1" applyFont="1" applyFill="1" applyBorder="1" applyAlignment="1">
      <alignment horizontal="left" wrapText="1"/>
    </xf>
    <xf numFmtId="0" fontId="35" fillId="3" borderId="7" xfId="0" applyNumberFormat="1" applyFont="1" applyFill="1" applyBorder="1" applyAlignment="1">
      <alignment horizontal="center" vertical="center" wrapText="1"/>
    </xf>
    <xf numFmtId="0" fontId="44" fillId="3" borderId="8" xfId="0" applyNumberFormat="1" applyFont="1" applyFill="1" applyBorder="1" applyAlignment="1">
      <alignment horizontal="center" vertical="center" wrapText="1"/>
    </xf>
    <xf numFmtId="0" fontId="35" fillId="3" borderId="7" xfId="0" applyNumberFormat="1" applyFont="1" applyFill="1" applyBorder="1" applyAlignment="1">
      <alignment horizontal="left" vertical="center" wrapText="1"/>
    </xf>
    <xf numFmtId="0" fontId="44" fillId="3" borderId="8" xfId="0" applyNumberFormat="1" applyFont="1" applyFill="1" applyBorder="1" applyAlignment="1">
      <alignment horizontal="left" vertical="center" wrapText="1"/>
    </xf>
    <xf numFmtId="0" fontId="48" fillId="3" borderId="1" xfId="0" applyNumberFormat="1" applyFont="1" applyFill="1" applyBorder="1" applyAlignment="1">
      <alignment horizontal="left" vertical="center" wrapText="1"/>
    </xf>
    <xf numFmtId="0" fontId="49" fillId="3" borderId="1" xfId="0" applyNumberFormat="1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vertical="center" wrapText="1"/>
    </xf>
    <xf numFmtId="0" fontId="35" fillId="3" borderId="1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left" vertical="center" wrapText="1"/>
    </xf>
    <xf numFmtId="0" fontId="48" fillId="3" borderId="1" xfId="1" applyNumberFormat="1" applyFont="1" applyFill="1" applyBorder="1" applyAlignment="1">
      <alignment horizontal="center" vertical="center" wrapText="1"/>
    </xf>
    <xf numFmtId="0" fontId="51" fillId="3" borderId="1" xfId="1" applyNumberFormat="1" applyFont="1" applyFill="1" applyBorder="1" applyAlignment="1">
      <alignment vertical="center" wrapText="1"/>
    </xf>
    <xf numFmtId="0" fontId="48" fillId="3" borderId="1" xfId="1" applyNumberFormat="1" applyFont="1" applyFill="1" applyBorder="1" applyAlignment="1">
      <alignment horizontal="left" vertical="center" wrapText="1"/>
    </xf>
    <xf numFmtId="0" fontId="49" fillId="3" borderId="1" xfId="1" applyNumberFormat="1" applyFont="1" applyFill="1" applyBorder="1" applyAlignment="1">
      <alignment horizontal="left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0" fillId="0" borderId="17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4" fontId="0" fillId="0" borderId="17" xfId="0" applyNumberFormat="1" applyFont="1" applyBorder="1" applyAlignment="1">
      <alignment horizontal="center" vertical="center" wrapText="1"/>
    </xf>
    <xf numFmtId="4" fontId="0" fillId="0" borderId="8" xfId="0" applyNumberFormat="1" applyFont="1" applyBorder="1" applyAlignment="1">
      <alignment horizontal="center" vertical="center" wrapText="1"/>
    </xf>
    <xf numFmtId="0" fontId="48" fillId="3" borderId="1" xfId="0" applyNumberFormat="1" applyFont="1" applyFill="1" applyBorder="1" applyAlignment="1"/>
    <xf numFmtId="0" fontId="44" fillId="3" borderId="1" xfId="0" applyNumberFormat="1" applyFont="1" applyFill="1" applyBorder="1" applyAlignment="1"/>
    <xf numFmtId="0" fontId="35" fillId="3" borderId="1" xfId="0" applyNumberFormat="1" applyFont="1" applyFill="1" applyBorder="1" applyAlignment="1">
      <alignment wrapText="1"/>
    </xf>
  </cellXfs>
  <cellStyles count="5">
    <cellStyle name="TableStyleLight1" xfId="4"/>
    <cellStyle name="Гиперссылка" xfId="3" builtinId="8"/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R647"/>
  <sheetViews>
    <sheetView tabSelected="1" zoomScale="79" zoomScaleNormal="79" workbookViewId="0">
      <pane xSplit="14" ySplit="5" topLeftCell="V289" activePane="bottomRight" state="frozen"/>
      <selection activeCell="A2" sqref="A2"/>
      <selection pane="topRight" activeCell="H2" sqref="H2"/>
      <selection pane="bottomLeft" activeCell="A6" sqref="A6"/>
      <selection pane="bottomRight" activeCell="M294" sqref="M294:N294"/>
    </sheetView>
  </sheetViews>
  <sheetFormatPr defaultColWidth="9.109375" defaultRowHeight="17.399999999999999" x14ac:dyDescent="0.3"/>
  <cols>
    <col min="1" max="1" width="7.44140625" style="8" hidden="1" customWidth="1"/>
    <col min="2" max="2" width="3.5546875" style="203" hidden="1" customWidth="1"/>
    <col min="3" max="3" width="3.88671875" style="6" hidden="1" customWidth="1"/>
    <col min="4" max="4" width="7.88671875" style="6" hidden="1" customWidth="1"/>
    <col min="5" max="8" width="4.5546875" style="8" hidden="1" customWidth="1"/>
    <col min="9" max="9" width="5.109375" style="8" hidden="1" customWidth="1"/>
    <col min="10" max="10" width="4.44140625" style="8" hidden="1" customWidth="1"/>
    <col min="11" max="11" width="9.109375" style="8" hidden="1" customWidth="1"/>
    <col min="12" max="12" width="8.109375" style="8" hidden="1" customWidth="1"/>
    <col min="13" max="13" width="4.5546875" style="8" customWidth="1"/>
    <col min="14" max="14" width="28.44140625" style="242" customWidth="1"/>
    <col min="15" max="15" width="6.6640625" style="242" hidden="1" customWidth="1"/>
    <col min="16" max="16" width="6.88671875" style="242" hidden="1" customWidth="1"/>
    <col min="17" max="17" width="14.6640625" style="242" hidden="1" customWidth="1"/>
    <col min="18" max="18" width="14.33203125" style="242" hidden="1" customWidth="1"/>
    <col min="19" max="19" width="14.6640625" style="242" hidden="1" customWidth="1"/>
    <col min="20" max="20" width="9.5546875" style="242" hidden="1" customWidth="1"/>
    <col min="21" max="21" width="7.88671875" style="242" hidden="1" customWidth="1"/>
    <col min="22" max="23" width="14.6640625" style="8" customWidth="1"/>
    <col min="24" max="25" width="14.6640625" style="243" customWidth="1"/>
    <col min="26" max="26" width="14.6640625" style="243" hidden="1" customWidth="1"/>
    <col min="27" max="28" width="14.6640625" style="8" hidden="1" customWidth="1"/>
    <col min="29" max="31" width="14.6640625" style="243" hidden="1" customWidth="1"/>
    <col min="32" max="33" width="14.6640625" style="8" hidden="1" customWidth="1"/>
    <col min="34" max="36" width="14.6640625" style="243" hidden="1" customWidth="1"/>
    <col min="37" max="38" width="14.6640625" style="8" hidden="1" customWidth="1"/>
    <col min="39" max="42" width="14.6640625" style="243" hidden="1" customWidth="1"/>
    <col min="43" max="43" width="14.6640625" style="8" customWidth="1"/>
    <col min="44" max="46" width="14.6640625" style="59" customWidth="1"/>
    <col min="47" max="47" width="14.6640625" style="59" hidden="1" customWidth="1"/>
    <col min="48" max="51" width="12.6640625" style="59" customWidth="1"/>
    <col min="52" max="57" width="14.6640625" style="59" hidden="1" customWidth="1"/>
    <col min="58" max="62" width="14.6640625" style="8" hidden="1" customWidth="1"/>
    <col min="63" max="66" width="14.6640625" style="271" customWidth="1"/>
    <col min="67" max="67" width="14.6640625" style="271" hidden="1" customWidth="1"/>
    <col min="68" max="71" width="14.6640625" style="8" customWidth="1"/>
    <col min="72" max="72" width="14.6640625" style="8" hidden="1" customWidth="1"/>
    <col min="73" max="76" width="14.6640625" style="8" customWidth="1"/>
    <col min="77" max="77" width="14.6640625" style="8" hidden="1" customWidth="1"/>
    <col min="78" max="82" width="14.6640625" style="8" customWidth="1"/>
    <col min="83" max="83" width="14.6640625" style="8" hidden="1" customWidth="1"/>
    <col min="84" max="87" width="14.109375" style="8" customWidth="1"/>
    <col min="88" max="88" width="11.44140625" style="8" hidden="1" customWidth="1"/>
    <col min="89" max="89" width="0.44140625" style="16" hidden="1" customWidth="1"/>
    <col min="90" max="90" width="16" style="8" hidden="1" customWidth="1"/>
    <col min="91" max="91" width="18.109375" style="8" hidden="1" customWidth="1"/>
    <col min="92" max="92" width="14.6640625" style="8" hidden="1" customWidth="1"/>
    <col min="93" max="93" width="15" style="8" hidden="1" customWidth="1"/>
    <col min="94" max="94" width="14.33203125" style="8" hidden="1" customWidth="1"/>
    <col min="95" max="95" width="15" style="8" hidden="1" customWidth="1"/>
    <col min="96" max="96" width="13.88671875" style="8" hidden="1" customWidth="1"/>
    <col min="97" max="97" width="14" style="8" hidden="1" customWidth="1"/>
    <col min="98" max="98" width="16.33203125" style="8" hidden="1" customWidth="1"/>
    <col min="99" max="99" width="15.109375" style="8" hidden="1" customWidth="1"/>
    <col min="100" max="100" width="14.88671875" style="8" hidden="1" customWidth="1"/>
    <col min="101" max="101" width="16.44140625" style="8" hidden="1" customWidth="1"/>
    <col min="102" max="102" width="14.33203125" style="8" hidden="1" customWidth="1"/>
    <col min="103" max="103" width="14.5546875" style="8" hidden="1" customWidth="1"/>
    <col min="104" max="104" width="15.44140625" style="8" hidden="1" customWidth="1"/>
    <col min="105" max="105" width="15" style="8" hidden="1" customWidth="1"/>
    <col min="106" max="106" width="9.33203125" style="8" hidden="1" customWidth="1"/>
    <col min="107" max="107" width="12.44140625" style="8" hidden="1" customWidth="1"/>
    <col min="108" max="108" width="12.88671875" style="8" hidden="1" customWidth="1"/>
    <col min="109" max="109" width="10.5546875" style="8" hidden="1" customWidth="1"/>
    <col min="110" max="110" width="15.44140625" style="8" hidden="1" customWidth="1"/>
    <col min="111" max="111" width="1.44140625" style="8" hidden="1" customWidth="1"/>
    <col min="112" max="112" width="15.33203125" style="8" hidden="1" customWidth="1"/>
    <col min="113" max="113" width="14.6640625" style="8" hidden="1" customWidth="1"/>
    <col min="114" max="114" width="1.5546875" style="8" hidden="1" customWidth="1"/>
    <col min="115" max="115" width="15.33203125" style="8" hidden="1" customWidth="1"/>
    <col min="116" max="116" width="15.44140625" style="8" hidden="1" customWidth="1"/>
    <col min="117" max="117" width="1.5546875" style="8" hidden="1" customWidth="1"/>
    <col min="118" max="118" width="2.44140625" style="8" hidden="1" customWidth="1"/>
    <col min="119" max="119" width="1.33203125" style="8" hidden="1" customWidth="1"/>
    <col min="120" max="120" width="7.109375" style="8" hidden="1" customWidth="1"/>
    <col min="121" max="130" width="16" style="59" hidden="1" customWidth="1"/>
    <col min="131" max="200" width="9.109375" style="372"/>
    <col min="201" max="16384" width="9.109375" style="8"/>
  </cols>
  <sheetData>
    <row r="1" spans="1:200" ht="33" customHeight="1" thickBot="1" x14ac:dyDescent="0.3">
      <c r="B1" s="5"/>
      <c r="E1" s="7" t="s">
        <v>294</v>
      </c>
      <c r="F1" s="7"/>
      <c r="G1" s="7"/>
      <c r="H1" s="7"/>
      <c r="I1" s="7"/>
      <c r="J1" s="7"/>
      <c r="K1" s="7"/>
      <c r="L1" s="7"/>
      <c r="M1" s="400" t="s">
        <v>560</v>
      </c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  <c r="CB1" s="400"/>
      <c r="CC1" s="400"/>
      <c r="CD1" s="400"/>
      <c r="CE1" s="400"/>
      <c r="CF1" s="400"/>
      <c r="CG1" s="400"/>
      <c r="CH1" s="400"/>
      <c r="CI1" s="400"/>
      <c r="CJ1" s="400"/>
      <c r="CK1" s="400"/>
      <c r="CL1" s="400"/>
      <c r="CM1" s="400"/>
      <c r="CN1" s="400"/>
      <c r="CO1" s="400"/>
      <c r="CP1" s="400"/>
      <c r="CQ1" s="400"/>
      <c r="CR1" s="400"/>
      <c r="CS1" s="400"/>
      <c r="CT1" s="400"/>
      <c r="CU1" s="400"/>
      <c r="CV1" s="400"/>
      <c r="CW1" s="400"/>
      <c r="CX1" s="400"/>
      <c r="CY1" s="400"/>
      <c r="CZ1" s="400"/>
      <c r="DA1" s="400"/>
      <c r="DB1" s="400"/>
      <c r="DC1" s="400"/>
      <c r="DD1" s="400"/>
      <c r="DE1" s="400"/>
      <c r="DF1" s="400"/>
      <c r="DG1" s="400"/>
      <c r="DH1" s="400"/>
      <c r="DI1" s="400"/>
      <c r="DK1" s="9"/>
      <c r="DL1" s="9"/>
      <c r="DN1" s="9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1:200" ht="12.75" hidden="1" customHeight="1" thickBot="1" x14ac:dyDescent="0.3">
      <c r="B2" s="5"/>
      <c r="E2" s="7"/>
      <c r="F2" s="7"/>
      <c r="G2" s="7"/>
      <c r="H2" s="7"/>
      <c r="I2" s="11"/>
      <c r="J2" s="11"/>
      <c r="K2" s="11"/>
      <c r="L2" s="11"/>
      <c r="M2" s="12"/>
      <c r="N2" s="34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3"/>
      <c r="BG2" s="13"/>
      <c r="BH2" s="13"/>
      <c r="BI2" s="13"/>
      <c r="BJ2" s="13"/>
      <c r="BK2" s="15"/>
      <c r="BL2" s="15"/>
      <c r="BM2" s="15"/>
      <c r="BN2" s="15"/>
      <c r="BO2" s="15"/>
      <c r="BP2" s="7"/>
      <c r="BQ2" s="7"/>
      <c r="BR2" s="7"/>
      <c r="BS2" s="7"/>
      <c r="BT2" s="7"/>
      <c r="BU2" s="7"/>
      <c r="BV2" s="7"/>
      <c r="BW2" s="7"/>
      <c r="BX2" s="7"/>
      <c r="BY2" s="7"/>
      <c r="BZ2" s="11"/>
      <c r="CA2" s="7"/>
      <c r="CB2" s="7"/>
      <c r="CC2" s="7"/>
      <c r="CD2" s="7"/>
      <c r="CE2" s="7"/>
      <c r="CF2" s="7"/>
      <c r="CG2" s="7"/>
      <c r="CH2" s="7"/>
      <c r="CI2" s="9"/>
      <c r="CJ2" s="9"/>
      <c r="DK2" s="9"/>
      <c r="DL2" s="9"/>
      <c r="DN2" s="9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1:200" ht="42" customHeight="1" thickBot="1" x14ac:dyDescent="0.35">
      <c r="B3" s="401" t="s">
        <v>250</v>
      </c>
      <c r="C3" s="402"/>
      <c r="D3" s="402"/>
      <c r="E3" s="403"/>
      <c r="F3" s="404" t="s">
        <v>252</v>
      </c>
      <c r="G3" s="405"/>
      <c r="H3" s="406"/>
      <c r="I3" s="17"/>
      <c r="J3" s="17"/>
      <c r="K3" s="17"/>
      <c r="L3" s="17"/>
      <c r="M3" s="407" t="s">
        <v>0</v>
      </c>
      <c r="N3" s="409" t="s">
        <v>1</v>
      </c>
      <c r="O3" s="18" t="s">
        <v>446</v>
      </c>
      <c r="P3" s="18" t="s">
        <v>446</v>
      </c>
      <c r="Q3" s="419" t="s">
        <v>505</v>
      </c>
      <c r="R3" s="420"/>
      <c r="S3" s="421"/>
      <c r="T3" s="433" t="s">
        <v>310</v>
      </c>
      <c r="U3" s="433" t="s">
        <v>311</v>
      </c>
      <c r="V3" s="397" t="s">
        <v>551</v>
      </c>
      <c r="W3" s="398"/>
      <c r="X3" s="398"/>
      <c r="Y3" s="398"/>
      <c r="Z3" s="399"/>
      <c r="AA3" s="397" t="s">
        <v>400</v>
      </c>
      <c r="AB3" s="398"/>
      <c r="AC3" s="398"/>
      <c r="AD3" s="398"/>
      <c r="AE3" s="399"/>
      <c r="AF3" s="397" t="s">
        <v>344</v>
      </c>
      <c r="AG3" s="398"/>
      <c r="AH3" s="398"/>
      <c r="AI3" s="398"/>
      <c r="AJ3" s="399"/>
      <c r="AK3" s="397" t="s">
        <v>330</v>
      </c>
      <c r="AL3" s="398"/>
      <c r="AM3" s="398"/>
      <c r="AN3" s="398"/>
      <c r="AO3" s="399"/>
      <c r="AP3" s="410" t="s">
        <v>318</v>
      </c>
      <c r="AQ3" s="414" t="s">
        <v>555</v>
      </c>
      <c r="AR3" s="414"/>
      <c r="AS3" s="414"/>
      <c r="AT3" s="414"/>
      <c r="AU3" s="414"/>
      <c r="AV3" s="415" t="s">
        <v>556</v>
      </c>
      <c r="AW3" s="415"/>
      <c r="AX3" s="415"/>
      <c r="AY3" s="415"/>
      <c r="AZ3" s="415"/>
      <c r="BA3" s="415" t="s">
        <v>291</v>
      </c>
      <c r="BB3" s="415"/>
      <c r="BC3" s="415"/>
      <c r="BD3" s="415"/>
      <c r="BE3" s="415"/>
      <c r="BF3" s="416" t="s">
        <v>319</v>
      </c>
      <c r="BG3" s="417"/>
      <c r="BH3" s="417"/>
      <c r="BI3" s="417"/>
      <c r="BJ3" s="418"/>
      <c r="BK3" s="415" t="s">
        <v>256</v>
      </c>
      <c r="BL3" s="415"/>
      <c r="BM3" s="415"/>
      <c r="BN3" s="424"/>
      <c r="BO3" s="415"/>
      <c r="BP3" s="415" t="s">
        <v>161</v>
      </c>
      <c r="BQ3" s="415"/>
      <c r="BR3" s="415"/>
      <c r="BS3" s="415"/>
      <c r="BT3" s="415"/>
      <c r="BU3" s="415" t="s">
        <v>557</v>
      </c>
      <c r="BV3" s="415"/>
      <c r="BW3" s="415"/>
      <c r="BX3" s="415"/>
      <c r="BY3" s="415"/>
      <c r="BZ3" s="425" t="s">
        <v>159</v>
      </c>
      <c r="CA3" s="397" t="s">
        <v>259</v>
      </c>
      <c r="CB3" s="398"/>
      <c r="CC3" s="398"/>
      <c r="CD3" s="398"/>
      <c r="CE3" s="399"/>
      <c r="CF3" s="414" t="s">
        <v>558</v>
      </c>
      <c r="CG3" s="414"/>
      <c r="CH3" s="414"/>
      <c r="CI3" s="414"/>
      <c r="CJ3" s="414"/>
      <c r="CL3" s="412" t="s">
        <v>320</v>
      </c>
      <c r="CM3" s="412" t="s">
        <v>302</v>
      </c>
      <c r="CN3" s="445" t="s">
        <v>321</v>
      </c>
      <c r="CO3" s="446"/>
      <c r="CP3" s="446"/>
      <c r="CQ3" s="447"/>
      <c r="CR3" s="448"/>
      <c r="CS3" s="449" t="s">
        <v>322</v>
      </c>
      <c r="CT3" s="450"/>
      <c r="CU3" s="450"/>
      <c r="CV3" s="451"/>
      <c r="CW3" s="452"/>
      <c r="CX3" s="453" t="s">
        <v>324</v>
      </c>
      <c r="CY3" s="454"/>
      <c r="CZ3" s="454"/>
      <c r="DA3" s="455"/>
      <c r="DB3" s="456"/>
      <c r="DC3" s="457" t="s">
        <v>323</v>
      </c>
      <c r="DD3" s="458"/>
      <c r="DE3" s="459"/>
      <c r="DF3" s="460" t="s">
        <v>296</v>
      </c>
      <c r="DG3" s="19"/>
      <c r="DH3" s="462" t="s">
        <v>306</v>
      </c>
      <c r="DI3" s="462" t="s">
        <v>307</v>
      </c>
      <c r="DK3" s="464" t="s">
        <v>297</v>
      </c>
      <c r="DL3" s="464" t="s">
        <v>298</v>
      </c>
      <c r="DN3" s="464" t="s">
        <v>299</v>
      </c>
      <c r="DQ3" s="415" t="s">
        <v>300</v>
      </c>
      <c r="DR3" s="415"/>
      <c r="DS3" s="415"/>
      <c r="DT3" s="415"/>
      <c r="DU3" s="415"/>
      <c r="DV3" s="415" t="s">
        <v>301</v>
      </c>
      <c r="DW3" s="415"/>
      <c r="DX3" s="415"/>
      <c r="DY3" s="415"/>
      <c r="DZ3" s="415"/>
    </row>
    <row r="4" spans="1:200" s="316" customFormat="1" ht="138" customHeight="1" x14ac:dyDescent="0.2">
      <c r="B4" s="317" t="s">
        <v>182</v>
      </c>
      <c r="C4" s="317" t="s">
        <v>181</v>
      </c>
      <c r="D4" s="317" t="s">
        <v>180</v>
      </c>
      <c r="E4" s="318" t="s">
        <v>0</v>
      </c>
      <c r="F4" s="317" t="s">
        <v>251</v>
      </c>
      <c r="G4" s="317" t="s">
        <v>181</v>
      </c>
      <c r="H4" s="317"/>
      <c r="I4" s="319"/>
      <c r="J4" s="319"/>
      <c r="K4" s="319"/>
      <c r="L4" s="319"/>
      <c r="M4" s="408"/>
      <c r="N4" s="409"/>
      <c r="O4" s="320" t="s">
        <v>467</v>
      </c>
      <c r="P4" s="320" t="s">
        <v>447</v>
      </c>
      <c r="Q4" s="321" t="s">
        <v>162</v>
      </c>
      <c r="R4" s="321" t="s">
        <v>262</v>
      </c>
      <c r="S4" s="321" t="s">
        <v>258</v>
      </c>
      <c r="T4" s="434"/>
      <c r="U4" s="434"/>
      <c r="V4" s="322" t="s">
        <v>23</v>
      </c>
      <c r="W4" s="321" t="s">
        <v>552</v>
      </c>
      <c r="X4" s="321" t="s">
        <v>553</v>
      </c>
      <c r="Y4" s="321" t="s">
        <v>554</v>
      </c>
      <c r="Z4" s="323" t="s">
        <v>163</v>
      </c>
      <c r="AA4" s="324" t="s">
        <v>7</v>
      </c>
      <c r="AB4" s="321" t="s">
        <v>162</v>
      </c>
      <c r="AC4" s="321" t="s">
        <v>262</v>
      </c>
      <c r="AD4" s="321" t="s">
        <v>258</v>
      </c>
      <c r="AE4" s="323" t="s">
        <v>163</v>
      </c>
      <c r="AF4" s="324" t="s">
        <v>7</v>
      </c>
      <c r="AG4" s="321" t="s">
        <v>162</v>
      </c>
      <c r="AH4" s="321" t="s">
        <v>262</v>
      </c>
      <c r="AI4" s="321" t="s">
        <v>258</v>
      </c>
      <c r="AJ4" s="323" t="s">
        <v>163</v>
      </c>
      <c r="AK4" s="324" t="s">
        <v>7</v>
      </c>
      <c r="AL4" s="321" t="s">
        <v>162</v>
      </c>
      <c r="AM4" s="321" t="s">
        <v>262</v>
      </c>
      <c r="AN4" s="321" t="s">
        <v>258</v>
      </c>
      <c r="AO4" s="323" t="s">
        <v>163</v>
      </c>
      <c r="AP4" s="411"/>
      <c r="AQ4" s="322" t="s">
        <v>23</v>
      </c>
      <c r="AR4" s="321" t="s">
        <v>552</v>
      </c>
      <c r="AS4" s="321" t="s">
        <v>553</v>
      </c>
      <c r="AT4" s="321" t="s">
        <v>554</v>
      </c>
      <c r="AU4" s="325" t="s">
        <v>183</v>
      </c>
      <c r="AV4" s="322" t="s">
        <v>23</v>
      </c>
      <c r="AW4" s="321" t="s">
        <v>552</v>
      </c>
      <c r="AX4" s="321" t="s">
        <v>553</v>
      </c>
      <c r="AY4" s="321" t="s">
        <v>554</v>
      </c>
      <c r="AZ4" s="325" t="s">
        <v>160</v>
      </c>
      <c r="BA4" s="322" t="s">
        <v>23</v>
      </c>
      <c r="BB4" s="326" t="s">
        <v>185</v>
      </c>
      <c r="BC4" s="326" t="s">
        <v>262</v>
      </c>
      <c r="BD4" s="326" t="s">
        <v>184</v>
      </c>
      <c r="BE4" s="326" t="s">
        <v>183</v>
      </c>
      <c r="BF4" s="327" t="s">
        <v>23</v>
      </c>
      <c r="BG4" s="328" t="s">
        <v>185</v>
      </c>
      <c r="BH4" s="328" t="s">
        <v>186</v>
      </c>
      <c r="BI4" s="328" t="s">
        <v>184</v>
      </c>
      <c r="BJ4" s="329" t="s">
        <v>183</v>
      </c>
      <c r="BK4" s="322" t="s">
        <v>23</v>
      </c>
      <c r="BL4" s="321" t="s">
        <v>552</v>
      </c>
      <c r="BM4" s="321" t="s">
        <v>553</v>
      </c>
      <c r="BN4" s="321" t="s">
        <v>554</v>
      </c>
      <c r="BO4" s="326" t="s">
        <v>183</v>
      </c>
      <c r="BP4" s="322" t="s">
        <v>23</v>
      </c>
      <c r="BQ4" s="321" t="s">
        <v>552</v>
      </c>
      <c r="BR4" s="321" t="s">
        <v>553</v>
      </c>
      <c r="BS4" s="321" t="s">
        <v>554</v>
      </c>
      <c r="BT4" s="321" t="s">
        <v>183</v>
      </c>
      <c r="BU4" s="322" t="s">
        <v>23</v>
      </c>
      <c r="BV4" s="321" t="s">
        <v>552</v>
      </c>
      <c r="BW4" s="321" t="s">
        <v>553</v>
      </c>
      <c r="BX4" s="321" t="s">
        <v>554</v>
      </c>
      <c r="BY4" s="321" t="s">
        <v>183</v>
      </c>
      <c r="BZ4" s="426"/>
      <c r="CA4" s="322" t="s">
        <v>23</v>
      </c>
      <c r="CB4" s="321" t="s">
        <v>552</v>
      </c>
      <c r="CC4" s="321" t="s">
        <v>553</v>
      </c>
      <c r="CD4" s="321" t="s">
        <v>554</v>
      </c>
      <c r="CE4" s="321" t="s">
        <v>183</v>
      </c>
      <c r="CF4" s="322" t="s">
        <v>23</v>
      </c>
      <c r="CG4" s="321" t="s">
        <v>552</v>
      </c>
      <c r="CH4" s="321" t="s">
        <v>553</v>
      </c>
      <c r="CI4" s="321" t="s">
        <v>554</v>
      </c>
      <c r="CJ4" s="321" t="s">
        <v>183</v>
      </c>
      <c r="CK4" s="330"/>
      <c r="CL4" s="413"/>
      <c r="CM4" s="413"/>
      <c r="CN4" s="225" t="s">
        <v>23</v>
      </c>
      <c r="CO4" s="331" t="s">
        <v>187</v>
      </c>
      <c r="CP4" s="331" t="s">
        <v>186</v>
      </c>
      <c r="CQ4" s="331" t="s">
        <v>184</v>
      </c>
      <c r="CR4" s="332" t="s">
        <v>183</v>
      </c>
      <c r="CS4" s="333" t="s">
        <v>23</v>
      </c>
      <c r="CT4" s="321" t="s">
        <v>187</v>
      </c>
      <c r="CU4" s="321" t="s">
        <v>186</v>
      </c>
      <c r="CV4" s="321" t="s">
        <v>184</v>
      </c>
      <c r="CW4" s="334" t="s">
        <v>183</v>
      </c>
      <c r="CX4" s="227" t="s">
        <v>23</v>
      </c>
      <c r="CY4" s="321" t="s">
        <v>187</v>
      </c>
      <c r="CZ4" s="321" t="s">
        <v>186</v>
      </c>
      <c r="DA4" s="321" t="s">
        <v>184</v>
      </c>
      <c r="DB4" s="334" t="s">
        <v>183</v>
      </c>
      <c r="DC4" s="321" t="s">
        <v>188</v>
      </c>
      <c r="DD4" s="335" t="s">
        <v>189</v>
      </c>
      <c r="DE4" s="321" t="s">
        <v>190</v>
      </c>
      <c r="DF4" s="461"/>
      <c r="DG4" s="336"/>
      <c r="DH4" s="463"/>
      <c r="DI4" s="463"/>
      <c r="DK4" s="465"/>
      <c r="DL4" s="465"/>
      <c r="DN4" s="465"/>
      <c r="DQ4" s="337" t="s">
        <v>23</v>
      </c>
      <c r="DR4" s="338" t="s">
        <v>185</v>
      </c>
      <c r="DS4" s="338" t="s">
        <v>186</v>
      </c>
      <c r="DT4" s="338" t="s">
        <v>184</v>
      </c>
      <c r="DU4" s="339" t="s">
        <v>183</v>
      </c>
      <c r="DV4" s="337" t="s">
        <v>23</v>
      </c>
      <c r="DW4" s="338" t="s">
        <v>185</v>
      </c>
      <c r="DX4" s="338" t="s">
        <v>186</v>
      </c>
      <c r="DY4" s="338" t="s">
        <v>184</v>
      </c>
      <c r="DZ4" s="326" t="s">
        <v>183</v>
      </c>
      <c r="EA4" s="373"/>
      <c r="EB4" s="373"/>
      <c r="EC4" s="373"/>
      <c r="ED4" s="373"/>
      <c r="EE4" s="373"/>
      <c r="EF4" s="373"/>
      <c r="EG4" s="373"/>
      <c r="EH4" s="373"/>
      <c r="EI4" s="373"/>
      <c r="EJ4" s="373"/>
      <c r="EK4" s="373"/>
      <c r="EL4" s="373"/>
      <c r="EM4" s="373"/>
      <c r="EN4" s="373"/>
      <c r="EO4" s="373"/>
      <c r="EP4" s="373"/>
      <c r="EQ4" s="373"/>
      <c r="ER4" s="373"/>
      <c r="ES4" s="373"/>
      <c r="ET4" s="373"/>
      <c r="EU4" s="373"/>
      <c r="EV4" s="373"/>
      <c r="EW4" s="373"/>
      <c r="EX4" s="373"/>
      <c r="EY4" s="373"/>
      <c r="EZ4" s="373"/>
      <c r="FA4" s="373"/>
      <c r="FB4" s="373"/>
      <c r="FC4" s="373"/>
      <c r="FD4" s="373"/>
      <c r="FE4" s="373"/>
      <c r="FF4" s="373"/>
      <c r="FG4" s="373"/>
      <c r="FH4" s="373"/>
      <c r="FI4" s="373"/>
      <c r="FJ4" s="373"/>
      <c r="FK4" s="373"/>
      <c r="FL4" s="373"/>
      <c r="FM4" s="373"/>
      <c r="FN4" s="373"/>
      <c r="FO4" s="373"/>
      <c r="FP4" s="373"/>
      <c r="FQ4" s="373"/>
      <c r="FR4" s="373"/>
      <c r="FS4" s="373"/>
      <c r="FT4" s="373"/>
      <c r="FU4" s="373"/>
      <c r="FV4" s="373"/>
      <c r="FW4" s="373"/>
      <c r="FX4" s="373"/>
      <c r="FY4" s="373"/>
      <c r="FZ4" s="373"/>
      <c r="GA4" s="373"/>
      <c r="GB4" s="373"/>
      <c r="GC4" s="373"/>
      <c r="GD4" s="373"/>
      <c r="GE4" s="373"/>
      <c r="GF4" s="373"/>
      <c r="GG4" s="373"/>
      <c r="GH4" s="373"/>
      <c r="GI4" s="373"/>
      <c r="GJ4" s="373"/>
      <c r="GK4" s="373"/>
      <c r="GL4" s="373"/>
      <c r="GM4" s="373"/>
      <c r="GN4" s="373"/>
      <c r="GO4" s="373"/>
      <c r="GP4" s="373"/>
      <c r="GQ4" s="373"/>
      <c r="GR4" s="373"/>
    </row>
    <row r="5" spans="1:200" s="36" customFormat="1" ht="17.25" hidden="1" customHeight="1" x14ac:dyDescent="0.25"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>
        <v>1</v>
      </c>
      <c r="N5" s="347">
        <v>2</v>
      </c>
      <c r="O5" s="28"/>
      <c r="P5" s="28"/>
      <c r="Q5" s="28"/>
      <c r="R5" s="28"/>
      <c r="S5" s="28"/>
      <c r="T5" s="28"/>
      <c r="U5" s="28"/>
      <c r="V5" s="28">
        <v>3</v>
      </c>
      <c r="W5" s="28">
        <v>4</v>
      </c>
      <c r="X5" s="28">
        <v>5</v>
      </c>
      <c r="Y5" s="28">
        <v>6</v>
      </c>
      <c r="Z5" s="28">
        <v>7</v>
      </c>
      <c r="AA5" s="28">
        <v>3</v>
      </c>
      <c r="AB5" s="28">
        <v>4</v>
      </c>
      <c r="AC5" s="28">
        <v>5</v>
      </c>
      <c r="AD5" s="28">
        <v>6</v>
      </c>
      <c r="AE5" s="28">
        <v>7</v>
      </c>
      <c r="AF5" s="28">
        <v>3</v>
      </c>
      <c r="AG5" s="28">
        <v>4</v>
      </c>
      <c r="AH5" s="28">
        <v>5</v>
      </c>
      <c r="AI5" s="28">
        <v>6</v>
      </c>
      <c r="AJ5" s="28">
        <v>7</v>
      </c>
      <c r="AK5" s="28">
        <v>3</v>
      </c>
      <c r="AL5" s="28">
        <v>4</v>
      </c>
      <c r="AM5" s="28">
        <v>5</v>
      </c>
      <c r="AN5" s="28">
        <v>6</v>
      </c>
      <c r="AO5" s="28">
        <v>7</v>
      </c>
      <c r="AP5" s="28"/>
      <c r="AQ5" s="29">
        <v>8</v>
      </c>
      <c r="AR5" s="29">
        <v>9</v>
      </c>
      <c r="AS5" s="29">
        <v>10</v>
      </c>
      <c r="AT5" s="29">
        <v>11</v>
      </c>
      <c r="AU5" s="29">
        <v>12</v>
      </c>
      <c r="AV5" s="29">
        <v>13</v>
      </c>
      <c r="AW5" s="29">
        <v>14</v>
      </c>
      <c r="AX5" s="29">
        <v>15</v>
      </c>
      <c r="AY5" s="29">
        <v>16</v>
      </c>
      <c r="AZ5" s="29">
        <v>17</v>
      </c>
      <c r="BA5" s="29">
        <v>18</v>
      </c>
      <c r="BB5" s="29">
        <v>19</v>
      </c>
      <c r="BC5" s="29">
        <v>20</v>
      </c>
      <c r="BD5" s="29">
        <v>21</v>
      </c>
      <c r="BE5" s="29">
        <v>22</v>
      </c>
      <c r="BF5" s="29"/>
      <c r="BG5" s="29"/>
      <c r="BH5" s="29"/>
      <c r="BI5" s="29"/>
      <c r="BJ5" s="29"/>
      <c r="BK5" s="29">
        <v>18</v>
      </c>
      <c r="BL5" s="29">
        <v>19</v>
      </c>
      <c r="BM5" s="29">
        <v>20</v>
      </c>
      <c r="BN5" s="29">
        <v>21</v>
      </c>
      <c r="BO5" s="29">
        <v>22</v>
      </c>
      <c r="BP5" s="30"/>
      <c r="BQ5" s="29"/>
      <c r="BR5" s="29"/>
      <c r="BS5" s="29"/>
      <c r="BT5" s="29"/>
      <c r="BU5" s="31"/>
      <c r="BV5" s="31"/>
      <c r="BW5" s="31"/>
      <c r="BX5" s="31"/>
      <c r="BY5" s="31"/>
      <c r="BZ5" s="29"/>
      <c r="CA5" s="29"/>
      <c r="CB5" s="29"/>
      <c r="CC5" s="29"/>
      <c r="CD5" s="29"/>
      <c r="CE5" s="29"/>
      <c r="CF5" s="32"/>
      <c r="CG5" s="29">
        <v>39</v>
      </c>
      <c r="CH5" s="29">
        <v>40</v>
      </c>
      <c r="CI5" s="29">
        <v>41</v>
      </c>
      <c r="CJ5" s="29">
        <v>42</v>
      </c>
      <c r="CK5" s="33"/>
      <c r="CL5" s="34">
        <v>11</v>
      </c>
      <c r="CM5" s="34">
        <v>11</v>
      </c>
      <c r="CN5" s="31">
        <v>11</v>
      </c>
      <c r="CO5" s="28">
        <v>11</v>
      </c>
      <c r="CP5" s="28">
        <v>11</v>
      </c>
      <c r="CQ5" s="28">
        <v>11</v>
      </c>
      <c r="CR5" s="35">
        <v>11</v>
      </c>
      <c r="CS5" s="30"/>
      <c r="CT5" s="31"/>
      <c r="CU5" s="29"/>
      <c r="CV5" s="29"/>
      <c r="CW5" s="29"/>
      <c r="CX5" s="32"/>
      <c r="CY5" s="28"/>
      <c r="CZ5" s="28"/>
      <c r="DA5" s="28"/>
      <c r="DB5" s="28"/>
      <c r="DC5" s="28"/>
      <c r="DD5" s="30"/>
      <c r="DE5" s="32"/>
      <c r="DF5" s="28"/>
      <c r="DH5" s="29"/>
      <c r="DI5" s="28"/>
      <c r="DK5" s="30"/>
      <c r="DL5" s="32"/>
      <c r="DN5" s="29"/>
      <c r="DQ5" s="29"/>
      <c r="DR5" s="29"/>
      <c r="DS5" s="29"/>
      <c r="DT5" s="29"/>
      <c r="DU5" s="37"/>
      <c r="DV5" s="29"/>
      <c r="DW5" s="29"/>
      <c r="DX5" s="29"/>
      <c r="DY5" s="29"/>
      <c r="DZ5" s="29"/>
      <c r="EA5" s="374"/>
      <c r="EB5" s="374"/>
      <c r="EC5" s="374"/>
      <c r="ED5" s="374"/>
      <c r="EE5" s="374"/>
      <c r="EF5" s="374"/>
      <c r="EG5" s="374"/>
      <c r="EH5" s="374"/>
      <c r="EI5" s="374"/>
      <c r="EJ5" s="374"/>
      <c r="EK5" s="374"/>
      <c r="EL5" s="374"/>
      <c r="EM5" s="374"/>
      <c r="EN5" s="374"/>
      <c r="EO5" s="374"/>
      <c r="EP5" s="374"/>
      <c r="EQ5" s="374"/>
      <c r="ER5" s="374"/>
      <c r="ES5" s="374"/>
      <c r="ET5" s="374"/>
      <c r="EU5" s="374"/>
      <c r="EV5" s="374"/>
      <c r="EW5" s="374"/>
      <c r="EX5" s="374"/>
      <c r="EY5" s="374"/>
      <c r="EZ5" s="374"/>
      <c r="FA5" s="374"/>
      <c r="FB5" s="374"/>
      <c r="FC5" s="374"/>
      <c r="FD5" s="374"/>
      <c r="FE5" s="374"/>
      <c r="FF5" s="374"/>
      <c r="FG5" s="374"/>
      <c r="FH5" s="374"/>
      <c r="FI5" s="374"/>
      <c r="FJ5" s="374"/>
      <c r="FK5" s="374"/>
      <c r="FL5" s="374"/>
      <c r="FM5" s="374"/>
      <c r="FN5" s="374"/>
      <c r="FO5" s="374"/>
      <c r="FP5" s="374"/>
      <c r="FQ5" s="374"/>
      <c r="FR5" s="374"/>
      <c r="FS5" s="374"/>
      <c r="FT5" s="374"/>
      <c r="FU5" s="374"/>
      <c r="FV5" s="374"/>
      <c r="FW5" s="374"/>
      <c r="FX5" s="374"/>
      <c r="FY5" s="374"/>
      <c r="FZ5" s="374"/>
      <c r="GA5" s="374"/>
      <c r="GB5" s="374"/>
      <c r="GC5" s="374"/>
      <c r="GD5" s="374"/>
      <c r="GE5" s="374"/>
      <c r="GF5" s="374"/>
      <c r="GG5" s="374"/>
      <c r="GH5" s="374"/>
      <c r="GI5" s="374"/>
      <c r="GJ5" s="374"/>
      <c r="GK5" s="374"/>
      <c r="GL5" s="374"/>
      <c r="GM5" s="374"/>
      <c r="GN5" s="374"/>
      <c r="GO5" s="374"/>
      <c r="GP5" s="374"/>
      <c r="GQ5" s="374"/>
      <c r="GR5" s="374"/>
    </row>
    <row r="6" spans="1:200" s="48" customFormat="1" ht="22.5" customHeight="1" x14ac:dyDescent="0.3">
      <c r="B6" s="38"/>
      <c r="C6" s="39"/>
      <c r="D6" s="39"/>
      <c r="E6" s="23"/>
      <c r="F6" s="23"/>
      <c r="G6" s="23"/>
      <c r="H6" s="23"/>
      <c r="I6" s="23"/>
      <c r="J6" s="40"/>
      <c r="K6" s="40"/>
      <c r="L6" s="41"/>
      <c r="M6" s="23"/>
      <c r="N6" s="42" t="s">
        <v>8</v>
      </c>
      <c r="O6" s="42"/>
      <c r="P6" s="42"/>
      <c r="Q6" s="43">
        <f t="shared" ref="Q6:S7" si="0">BL6-BQ6</f>
        <v>0</v>
      </c>
      <c r="R6" s="43">
        <f t="shared" si="0"/>
        <v>403.10022000000004</v>
      </c>
      <c r="S6" s="43">
        <f t="shared" si="0"/>
        <v>125.58200000000033</v>
      </c>
      <c r="T6" s="43">
        <f>T7</f>
        <v>1</v>
      </c>
      <c r="U6" s="43">
        <f>U7</f>
        <v>5</v>
      </c>
      <c r="V6" s="43">
        <f t="shared" ref="V6:Z6" si="1">V7</f>
        <v>18842.718000000001</v>
      </c>
      <c r="W6" s="43">
        <f t="shared" si="1"/>
        <v>13101.817999999999</v>
      </c>
      <c r="X6" s="43">
        <f t="shared" si="1"/>
        <v>1076.4000000000001</v>
      </c>
      <c r="Y6" s="43">
        <f t="shared" si="1"/>
        <v>4664.5</v>
      </c>
      <c r="Z6" s="43">
        <f t="shared" si="1"/>
        <v>0</v>
      </c>
      <c r="AA6" s="43">
        <f t="shared" ref="AA6:AE6" si="2">AA7</f>
        <v>18842.718000000001</v>
      </c>
      <c r="AB6" s="43">
        <f t="shared" si="2"/>
        <v>13101.817999999999</v>
      </c>
      <c r="AC6" s="43">
        <f t="shared" si="2"/>
        <v>1076.4000000000001</v>
      </c>
      <c r="AD6" s="43">
        <f t="shared" si="2"/>
        <v>4664.5</v>
      </c>
      <c r="AE6" s="43">
        <f t="shared" si="2"/>
        <v>0</v>
      </c>
      <c r="AF6" s="43">
        <f t="shared" ref="AF6:AJ6" si="3">AF7</f>
        <v>16602.718000000001</v>
      </c>
      <c r="AG6" s="43">
        <f t="shared" si="3"/>
        <v>13101.817999999999</v>
      </c>
      <c r="AH6" s="43">
        <f t="shared" si="3"/>
        <v>1076.4000000000001</v>
      </c>
      <c r="AI6" s="43">
        <f t="shared" si="3"/>
        <v>2424.5</v>
      </c>
      <c r="AJ6" s="43">
        <f t="shared" si="3"/>
        <v>0</v>
      </c>
      <c r="AK6" s="43">
        <f t="shared" ref="AK6:AO6" si="4">AK7</f>
        <v>15994.317999999999</v>
      </c>
      <c r="AL6" s="43">
        <f t="shared" si="4"/>
        <v>13101.817999999999</v>
      </c>
      <c r="AM6" s="43">
        <f t="shared" si="4"/>
        <v>468</v>
      </c>
      <c r="AN6" s="43">
        <f t="shared" si="4"/>
        <v>2424.5</v>
      </c>
      <c r="AO6" s="43">
        <f t="shared" si="4"/>
        <v>0</v>
      </c>
      <c r="AP6" s="44"/>
      <c r="AQ6" s="43">
        <f t="shared" ref="AQ6:CJ6" si="5">AQ7</f>
        <v>18842.718000000001</v>
      </c>
      <c r="AR6" s="43">
        <f t="shared" si="5"/>
        <v>13101.817999999999</v>
      </c>
      <c r="AS6" s="43">
        <f t="shared" si="5"/>
        <v>1076.4000000000001</v>
      </c>
      <c r="AT6" s="43">
        <f t="shared" si="5"/>
        <v>4664.5</v>
      </c>
      <c r="AU6" s="43">
        <f t="shared" si="5"/>
        <v>0</v>
      </c>
      <c r="AV6" s="43">
        <f>AW6+AX6+AY6</f>
        <v>0</v>
      </c>
      <c r="AW6" s="43">
        <f>W6-AR6</f>
        <v>0</v>
      </c>
      <c r="AX6" s="43">
        <f>X6-AS6</f>
        <v>0</v>
      </c>
      <c r="AY6" s="43">
        <f>Y6-AT6</f>
        <v>0</v>
      </c>
      <c r="AZ6" s="43" t="e">
        <f t="shared" si="5"/>
        <v>#REF!</v>
      </c>
      <c r="BA6" s="43">
        <f t="shared" si="5"/>
        <v>18842.718000000001</v>
      </c>
      <c r="BB6" s="43">
        <f t="shared" si="5"/>
        <v>13101.817999999999</v>
      </c>
      <c r="BC6" s="43">
        <f t="shared" si="5"/>
        <v>1076.4000000000001</v>
      </c>
      <c r="BD6" s="43">
        <f t="shared" si="5"/>
        <v>4664.5</v>
      </c>
      <c r="BE6" s="43">
        <f t="shared" si="5"/>
        <v>0</v>
      </c>
      <c r="BF6" s="43">
        <f t="shared" si="5"/>
        <v>0</v>
      </c>
      <c r="BG6" s="43">
        <f t="shared" si="5"/>
        <v>0</v>
      </c>
      <c r="BH6" s="43">
        <f t="shared" si="5"/>
        <v>0</v>
      </c>
      <c r="BI6" s="43">
        <f t="shared" si="5"/>
        <v>0</v>
      </c>
      <c r="BJ6" s="43">
        <f t="shared" si="5"/>
        <v>0</v>
      </c>
      <c r="BK6" s="43">
        <f t="shared" si="5"/>
        <v>18842.718000000001</v>
      </c>
      <c r="BL6" s="43">
        <f t="shared" si="5"/>
        <v>13101.817999999999</v>
      </c>
      <c r="BM6" s="43">
        <f t="shared" si="5"/>
        <v>1076.4000000000001</v>
      </c>
      <c r="BN6" s="43">
        <f t="shared" si="5"/>
        <v>4664.5</v>
      </c>
      <c r="BO6" s="43">
        <f t="shared" si="5"/>
        <v>0</v>
      </c>
      <c r="BP6" s="43">
        <f t="shared" si="5"/>
        <v>18314.035779999998</v>
      </c>
      <c r="BQ6" s="43">
        <f t="shared" si="5"/>
        <v>13101.817999999999</v>
      </c>
      <c r="BR6" s="43">
        <f t="shared" si="5"/>
        <v>673.29978000000006</v>
      </c>
      <c r="BS6" s="43">
        <f t="shared" si="5"/>
        <v>4538.9179999999997</v>
      </c>
      <c r="BT6" s="43">
        <f t="shared" si="5"/>
        <v>0</v>
      </c>
      <c r="BU6" s="45">
        <f>BV6+BW6+BX6</f>
        <v>40201.095629999996</v>
      </c>
      <c r="BV6" s="43">
        <f t="shared" ref="BV6:BX6" si="6">BV7</f>
        <v>38463.317069999997</v>
      </c>
      <c r="BW6" s="43">
        <f t="shared" si="6"/>
        <v>224.43325999999999</v>
      </c>
      <c r="BX6" s="43">
        <f t="shared" si="6"/>
        <v>1513.3453</v>
      </c>
      <c r="BY6" s="43">
        <f t="shared" si="5"/>
        <v>0</v>
      </c>
      <c r="BZ6" s="43">
        <f t="shared" si="5"/>
        <v>58515.131409999995</v>
      </c>
      <c r="CA6" s="43">
        <f>CB6+CC6+CD6</f>
        <v>58515.131409999995</v>
      </c>
      <c r="CB6" s="43">
        <f>BQ6+BV6</f>
        <v>51565.135069999997</v>
      </c>
      <c r="CC6" s="43">
        <f>BR6+BW6</f>
        <v>897.73304000000007</v>
      </c>
      <c r="CD6" s="43">
        <f>BS6+BX6</f>
        <v>6052.2632999999996</v>
      </c>
      <c r="CE6" s="43">
        <f t="shared" si="5"/>
        <v>0</v>
      </c>
      <c r="CF6" s="43">
        <f>CG6+CH6+CI6</f>
        <v>528.68222000000037</v>
      </c>
      <c r="CG6" s="43">
        <f>BL6-BQ6</f>
        <v>0</v>
      </c>
      <c r="CH6" s="43">
        <f>BM6-BR6</f>
        <v>403.10022000000004</v>
      </c>
      <c r="CI6" s="43">
        <f>BN6-BS6</f>
        <v>125.58200000000033</v>
      </c>
      <c r="CJ6" s="43">
        <f t="shared" si="5"/>
        <v>0</v>
      </c>
      <c r="CK6" s="46">
        <f>CL6+CN6-BF6</f>
        <v>18842.718000000001</v>
      </c>
      <c r="CL6" s="47">
        <f t="shared" ref="CL6:DI6" si="7">CL7</f>
        <v>18842.718000000001</v>
      </c>
      <c r="CM6" s="47">
        <f t="shared" si="7"/>
        <v>18842.718000000001</v>
      </c>
      <c r="CN6" s="43">
        <f t="shared" si="7"/>
        <v>0</v>
      </c>
      <c r="CO6" s="43">
        <f t="shared" si="7"/>
        <v>0</v>
      </c>
      <c r="CP6" s="43">
        <f t="shared" si="7"/>
        <v>0</v>
      </c>
      <c r="CQ6" s="43">
        <f t="shared" si="7"/>
        <v>0</v>
      </c>
      <c r="CR6" s="43">
        <f t="shared" si="7"/>
        <v>0</v>
      </c>
      <c r="CS6" s="43">
        <f t="shared" si="7"/>
        <v>0</v>
      </c>
      <c r="CT6" s="43">
        <f t="shared" si="7"/>
        <v>0</v>
      </c>
      <c r="CU6" s="43">
        <f t="shared" si="7"/>
        <v>0</v>
      </c>
      <c r="CV6" s="43">
        <f t="shared" si="7"/>
        <v>0</v>
      </c>
      <c r="CW6" s="43">
        <f t="shared" si="7"/>
        <v>0</v>
      </c>
      <c r="CX6" s="43">
        <f t="shared" si="7"/>
        <v>0</v>
      </c>
      <c r="CY6" s="43">
        <f t="shared" si="7"/>
        <v>0</v>
      </c>
      <c r="CZ6" s="43">
        <f t="shared" si="7"/>
        <v>0</v>
      </c>
      <c r="DA6" s="43">
        <f t="shared" si="7"/>
        <v>0</v>
      </c>
      <c r="DB6" s="43">
        <f t="shared" si="7"/>
        <v>0</v>
      </c>
      <c r="DC6" s="43">
        <f t="shared" si="7"/>
        <v>0</v>
      </c>
      <c r="DD6" s="43">
        <f t="shared" si="7"/>
        <v>0</v>
      </c>
      <c r="DE6" s="43">
        <f t="shared" si="7"/>
        <v>0</v>
      </c>
      <c r="DF6" s="43">
        <f t="shared" si="7"/>
        <v>528.68222000000037</v>
      </c>
      <c r="DH6" s="43">
        <f t="shared" si="7"/>
        <v>18842.718000000001</v>
      </c>
      <c r="DI6" s="43">
        <f t="shared" si="7"/>
        <v>18314.035779999998</v>
      </c>
      <c r="DK6" s="43">
        <f t="shared" ref="DK6:DZ6" si="8">DK7</f>
        <v>18314.035779999998</v>
      </c>
      <c r="DL6" s="43">
        <f t="shared" si="8"/>
        <v>528.68222000000037</v>
      </c>
      <c r="DN6" s="43">
        <f t="shared" si="8"/>
        <v>528.68222000000242</v>
      </c>
      <c r="DO6" s="49">
        <f>DF6-DN6</f>
        <v>-2.0463630789890885E-12</v>
      </c>
      <c r="DP6" s="49"/>
      <c r="DQ6" s="43">
        <f t="shared" si="8"/>
        <v>13775.117779999999</v>
      </c>
      <c r="DR6" s="43">
        <f t="shared" si="8"/>
        <v>13101.817999999999</v>
      </c>
      <c r="DS6" s="43">
        <f t="shared" si="8"/>
        <v>673.29978000000006</v>
      </c>
      <c r="DT6" s="43">
        <f t="shared" si="8"/>
        <v>0</v>
      </c>
      <c r="DU6" s="43">
        <f t="shared" si="8"/>
        <v>0</v>
      </c>
      <c r="DV6" s="43">
        <f t="shared" si="8"/>
        <v>38687.750329999995</v>
      </c>
      <c r="DW6" s="43">
        <f t="shared" si="8"/>
        <v>38463.317069999997</v>
      </c>
      <c r="DX6" s="43">
        <f t="shared" si="8"/>
        <v>224.43325999999999</v>
      </c>
      <c r="DY6" s="43">
        <f t="shared" si="8"/>
        <v>0</v>
      </c>
      <c r="DZ6" s="43">
        <f t="shared" si="8"/>
        <v>0</v>
      </c>
      <c r="EA6" s="372"/>
      <c r="EB6" s="372"/>
      <c r="EC6" s="372"/>
      <c r="ED6" s="372"/>
      <c r="EE6" s="372"/>
      <c r="EF6" s="372"/>
      <c r="EG6" s="372"/>
      <c r="EH6" s="372"/>
      <c r="EI6" s="372"/>
      <c r="EJ6" s="372"/>
      <c r="EK6" s="372"/>
      <c r="EL6" s="372"/>
      <c r="EM6" s="372"/>
      <c r="EN6" s="372"/>
      <c r="EO6" s="372"/>
      <c r="EP6" s="372"/>
      <c r="EQ6" s="372"/>
      <c r="ER6" s="372"/>
      <c r="ES6" s="372"/>
      <c r="ET6" s="372"/>
      <c r="EU6" s="372"/>
      <c r="EV6" s="372"/>
      <c r="EW6" s="372"/>
      <c r="EX6" s="372"/>
      <c r="EY6" s="372"/>
      <c r="EZ6" s="372"/>
      <c r="FA6" s="372"/>
      <c r="FB6" s="372"/>
      <c r="FC6" s="372"/>
      <c r="FD6" s="372"/>
      <c r="FE6" s="372"/>
      <c r="FF6" s="372"/>
      <c r="FG6" s="372"/>
      <c r="FH6" s="372"/>
      <c r="FI6" s="372"/>
      <c r="FJ6" s="372"/>
      <c r="FK6" s="372"/>
      <c r="FL6" s="372"/>
      <c r="FM6" s="372"/>
      <c r="FN6" s="372"/>
      <c r="FO6" s="372"/>
      <c r="FP6" s="372"/>
      <c r="FQ6" s="372"/>
      <c r="FR6" s="372"/>
      <c r="FS6" s="372"/>
      <c r="FT6" s="372"/>
      <c r="FU6" s="372"/>
      <c r="FV6" s="372"/>
      <c r="FW6" s="372"/>
      <c r="FX6" s="372"/>
      <c r="FY6" s="372"/>
      <c r="FZ6" s="372"/>
      <c r="GA6" s="372"/>
      <c r="GB6" s="372"/>
      <c r="GC6" s="372"/>
      <c r="GD6" s="372"/>
      <c r="GE6" s="372"/>
      <c r="GF6" s="372"/>
      <c r="GG6" s="372"/>
      <c r="GH6" s="372"/>
      <c r="GI6" s="372"/>
      <c r="GJ6" s="372"/>
      <c r="GK6" s="372"/>
      <c r="GL6" s="372"/>
      <c r="GM6" s="372"/>
      <c r="GN6" s="372"/>
      <c r="GO6" s="372"/>
      <c r="GP6" s="372"/>
      <c r="GQ6" s="372"/>
      <c r="GR6" s="372"/>
    </row>
    <row r="7" spans="1:200" s="59" customFormat="1" ht="15.75" customHeight="1" x14ac:dyDescent="0.3">
      <c r="A7" s="3"/>
      <c r="B7" s="272">
        <v>1</v>
      </c>
      <c r="C7" s="273"/>
      <c r="D7" s="273"/>
      <c r="E7" s="1">
        <v>1</v>
      </c>
      <c r="F7" s="1">
        <v>1</v>
      </c>
      <c r="G7" s="1"/>
      <c r="H7" s="1">
        <v>1</v>
      </c>
      <c r="I7" s="1"/>
      <c r="J7" s="274"/>
      <c r="K7" s="274"/>
      <c r="L7" s="275"/>
      <c r="M7" s="1">
        <v>1</v>
      </c>
      <c r="N7" s="315" t="s">
        <v>2</v>
      </c>
      <c r="O7" s="50" t="s">
        <v>448</v>
      </c>
      <c r="P7" s="50" t="s">
        <v>448</v>
      </c>
      <c r="Q7" s="51">
        <f t="shared" si="0"/>
        <v>0</v>
      </c>
      <c r="R7" s="52">
        <f t="shared" si="0"/>
        <v>403.10022000000004</v>
      </c>
      <c r="S7" s="52">
        <f t="shared" si="0"/>
        <v>125.58200000000033</v>
      </c>
      <c r="T7" s="21">
        <v>1</v>
      </c>
      <c r="U7" s="53">
        <v>5</v>
      </c>
      <c r="V7" s="25">
        <f>W7+X7+Y7+Z7</f>
        <v>18842.718000000001</v>
      </c>
      <c r="W7" s="25">
        <v>13101.817999999999</v>
      </c>
      <c r="X7" s="54">
        <v>1076.4000000000001</v>
      </c>
      <c r="Y7" s="25">
        <v>4664.5</v>
      </c>
      <c r="Z7" s="55"/>
      <c r="AA7" s="25">
        <f>AB7+AC7+AD7+AE7</f>
        <v>18842.718000000001</v>
      </c>
      <c r="AB7" s="25">
        <v>13101.817999999999</v>
      </c>
      <c r="AC7" s="54">
        <v>1076.4000000000001</v>
      </c>
      <c r="AD7" s="25">
        <v>4664.5</v>
      </c>
      <c r="AE7" s="55"/>
      <c r="AF7" s="25">
        <f>AG7+AH7+AI7+AJ7</f>
        <v>16602.718000000001</v>
      </c>
      <c r="AG7" s="25">
        <v>13101.817999999999</v>
      </c>
      <c r="AH7" s="54">
        <v>1076.4000000000001</v>
      </c>
      <c r="AI7" s="25">
        <v>2424.5</v>
      </c>
      <c r="AJ7" s="55"/>
      <c r="AK7" s="25">
        <f>AL7+AM7+AN7+AO7</f>
        <v>15994.317999999999</v>
      </c>
      <c r="AL7" s="25">
        <v>13101.817999999999</v>
      </c>
      <c r="AM7" s="54">
        <v>468</v>
      </c>
      <c r="AN7" s="25">
        <v>2424.5</v>
      </c>
      <c r="AO7" s="55"/>
      <c r="AP7" s="25" t="s">
        <v>521</v>
      </c>
      <c r="AQ7" s="25">
        <f>AR7+AS7+AT7+AU7</f>
        <v>18842.718000000001</v>
      </c>
      <c r="AR7" s="25">
        <v>13101.817999999999</v>
      </c>
      <c r="AS7" s="54">
        <f>468+608.4</f>
        <v>1076.4000000000001</v>
      </c>
      <c r="AT7" s="25">
        <f>2424.5+2240</f>
        <v>4664.5</v>
      </c>
      <c r="AU7" s="55"/>
      <c r="AV7" s="25">
        <f t="shared" ref="AV7:AV70" si="9">AW7+AX7+AY7</f>
        <v>0</v>
      </c>
      <c r="AW7" s="25">
        <f t="shared" ref="AW7:AW70" si="10">W7-AR7</f>
        <v>0</v>
      </c>
      <c r="AX7" s="25">
        <f t="shared" ref="AX7:AX70" si="11">X7-AS7</f>
        <v>0</v>
      </c>
      <c r="AY7" s="25">
        <f t="shared" ref="AY7:AY70" si="12">Y7-AT7</f>
        <v>0</v>
      </c>
      <c r="AZ7" s="25" t="e">
        <f>#REF!-AU7</f>
        <v>#REF!</v>
      </c>
      <c r="BA7" s="25">
        <f>BB7+BC7+BD7+BE7</f>
        <v>18842.718000000001</v>
      </c>
      <c r="BB7" s="25">
        <v>13101.817999999999</v>
      </c>
      <c r="BC7" s="54">
        <f>468+608.4</f>
        <v>1076.4000000000001</v>
      </c>
      <c r="BD7" s="25">
        <f>2424.5+2240</f>
        <v>4664.5</v>
      </c>
      <c r="BE7" s="55"/>
      <c r="BF7" s="25">
        <f>BG7+BH7+BI7+BJ7</f>
        <v>0</v>
      </c>
      <c r="BG7" s="25"/>
      <c r="BH7" s="54"/>
      <c r="BI7" s="25"/>
      <c r="BJ7" s="55"/>
      <c r="BK7" s="25">
        <f>BL7+BM7+BN7+BO7</f>
        <v>18842.718000000001</v>
      </c>
      <c r="BL7" s="25">
        <v>13101.817999999999</v>
      </c>
      <c r="BM7" s="54">
        <f>468+608.4</f>
        <v>1076.4000000000001</v>
      </c>
      <c r="BN7" s="25">
        <f>2424.5+2240</f>
        <v>4664.5</v>
      </c>
      <c r="BO7" s="55"/>
      <c r="BP7" s="25">
        <f>BQ7+BR7+BS7+BT7</f>
        <v>18314.035779999998</v>
      </c>
      <c r="BQ7" s="25">
        <f>13101.818</f>
        <v>13101.817999999999</v>
      </c>
      <c r="BR7" s="54">
        <v>673.29978000000006</v>
      </c>
      <c r="BS7" s="25">
        <f>2298.918+2240</f>
        <v>4538.9179999999997</v>
      </c>
      <c r="BT7" s="55"/>
      <c r="BU7" s="56">
        <f>BV7+BW7+BX7</f>
        <v>40201.095629999996</v>
      </c>
      <c r="BV7" s="25">
        <f>1483.47821+6242.40749+4544.23435+1810.66023+6183.47449+10000+1691.8701+3383.7402+3123.452</f>
        <v>38463.317069999997</v>
      </c>
      <c r="BW7" s="25">
        <v>224.43325999999999</v>
      </c>
      <c r="BX7" s="25">
        <f>747.03907+766.30623</f>
        <v>1513.3453</v>
      </c>
      <c r="BY7" s="25"/>
      <c r="BZ7" s="21">
        <f>CA7</f>
        <v>58515.131409999995</v>
      </c>
      <c r="CA7" s="25">
        <f t="shared" ref="CA7:CA70" si="13">CB7+CC7+CD7</f>
        <v>58515.131409999995</v>
      </c>
      <c r="CB7" s="25">
        <f t="shared" ref="CB7:CB70" si="14">BQ7+BV7</f>
        <v>51565.135069999997</v>
      </c>
      <c r="CC7" s="25">
        <f t="shared" ref="CC7:CC70" si="15">BR7+BW7</f>
        <v>897.73304000000007</v>
      </c>
      <c r="CD7" s="25">
        <f t="shared" ref="CD7:CD70" si="16">BS7+BX7</f>
        <v>6052.2632999999996</v>
      </c>
      <c r="CE7" s="25">
        <f>BT7+BY7</f>
        <v>0</v>
      </c>
      <c r="CF7" s="25">
        <f t="shared" ref="CF7:CF70" si="17">CG7+CH7+CI7</f>
        <v>528.68222000000037</v>
      </c>
      <c r="CG7" s="25">
        <f t="shared" ref="CG7:CG70" si="18">BL7-BQ7</f>
        <v>0</v>
      </c>
      <c r="CH7" s="25">
        <f t="shared" ref="CH7:CH70" si="19">BM7-BR7</f>
        <v>403.10022000000004</v>
      </c>
      <c r="CI7" s="25">
        <f t="shared" ref="CI7:CI70" si="20">BN7-BS7</f>
        <v>125.58200000000033</v>
      </c>
      <c r="CJ7" s="25">
        <f t="shared" ref="CJ7" si="21">BO7-BT7</f>
        <v>0</v>
      </c>
      <c r="CK7" s="57"/>
      <c r="CL7" s="58">
        <f>BA7</f>
        <v>18842.718000000001</v>
      </c>
      <c r="CM7" s="58">
        <f>CL7</f>
        <v>18842.718000000001</v>
      </c>
      <c r="CN7" s="25">
        <f>CO7+CP7+CQ7+CR7</f>
        <v>0</v>
      </c>
      <c r="CO7" s="25"/>
      <c r="CP7" s="54"/>
      <c r="CQ7" s="25"/>
      <c r="CR7" s="55"/>
      <c r="CS7" s="25">
        <f>CT7+CU7+CV7+CW7</f>
        <v>0</v>
      </c>
      <c r="CT7" s="25"/>
      <c r="CU7" s="54"/>
      <c r="CV7" s="25"/>
      <c r="CW7" s="55"/>
      <c r="CX7" s="25">
        <f>CY7+CZ7+DA7+DB7</f>
        <v>0</v>
      </c>
      <c r="CY7" s="25">
        <f>CO7-CT7</f>
        <v>0</v>
      </c>
      <c r="CZ7" s="25">
        <f t="shared" ref="CZ7:DB7" si="22">CP7-CU7</f>
        <v>0</v>
      </c>
      <c r="DA7" s="25">
        <f t="shared" si="22"/>
        <v>0</v>
      </c>
      <c r="DB7" s="25">
        <f t="shared" si="22"/>
        <v>0</v>
      </c>
      <c r="DC7" s="25"/>
      <c r="DD7" s="25"/>
      <c r="DE7" s="25"/>
      <c r="DF7" s="25">
        <f>CF7+CX7+DE7</f>
        <v>528.68222000000037</v>
      </c>
      <c r="DH7" s="25">
        <f>BK7+CN7+DC7</f>
        <v>18842.718000000001</v>
      </c>
      <c r="DI7" s="25">
        <f>BP7+CS7+DD7</f>
        <v>18314.035779999998</v>
      </c>
      <c r="DK7" s="25">
        <f>DI7</f>
        <v>18314.035779999998</v>
      </c>
      <c r="DL7" s="25">
        <f>DF7</f>
        <v>528.68222000000037</v>
      </c>
      <c r="DN7" s="25">
        <f>CM7-DK7</f>
        <v>528.68222000000242</v>
      </c>
      <c r="DQ7" s="25">
        <f>DR7+DS7+DT7+DU7</f>
        <v>13775.117779999999</v>
      </c>
      <c r="DR7" s="25">
        <v>13101.817999999999</v>
      </c>
      <c r="DS7" s="54">
        <v>673.29978000000006</v>
      </c>
      <c r="DT7" s="25"/>
      <c r="DU7" s="55"/>
      <c r="DV7" s="25">
        <f>DW7+DX7+DY7+DZ7</f>
        <v>38687.750329999995</v>
      </c>
      <c r="DW7" s="25">
        <f>1483.47821+6242.40749+4544.23435+1810.66023+6183.47449+10000+1691.8701+3383.7402+3123.452</f>
        <v>38463.317069999997</v>
      </c>
      <c r="DX7" s="25">
        <v>224.43325999999999</v>
      </c>
      <c r="DY7" s="25"/>
      <c r="DZ7" s="25"/>
      <c r="EA7" s="372"/>
      <c r="EB7" s="372"/>
      <c r="EC7" s="372"/>
      <c r="ED7" s="372"/>
      <c r="EE7" s="372"/>
      <c r="EF7" s="372"/>
      <c r="EG7" s="372"/>
      <c r="EH7" s="372"/>
      <c r="EI7" s="372"/>
      <c r="EJ7" s="372"/>
      <c r="EK7" s="372"/>
      <c r="EL7" s="372"/>
      <c r="EM7" s="372"/>
      <c r="EN7" s="372"/>
      <c r="EO7" s="372"/>
      <c r="EP7" s="372"/>
      <c r="EQ7" s="372"/>
      <c r="ER7" s="372"/>
      <c r="ES7" s="372"/>
      <c r="ET7" s="372"/>
      <c r="EU7" s="372"/>
      <c r="EV7" s="372"/>
      <c r="EW7" s="372"/>
      <c r="EX7" s="372"/>
      <c r="EY7" s="372"/>
      <c r="EZ7" s="372"/>
      <c r="FA7" s="372"/>
      <c r="FB7" s="372"/>
      <c r="FC7" s="372"/>
      <c r="FD7" s="372"/>
      <c r="FE7" s="372"/>
      <c r="FF7" s="372"/>
      <c r="FG7" s="372"/>
      <c r="FH7" s="372"/>
      <c r="FI7" s="372"/>
      <c r="FJ7" s="372"/>
      <c r="FK7" s="372"/>
      <c r="FL7" s="372"/>
      <c r="FM7" s="372"/>
      <c r="FN7" s="372"/>
      <c r="FO7" s="372"/>
      <c r="FP7" s="372"/>
      <c r="FQ7" s="372"/>
      <c r="FR7" s="372"/>
      <c r="FS7" s="372"/>
      <c r="FT7" s="372"/>
      <c r="FU7" s="372"/>
      <c r="FV7" s="372"/>
      <c r="FW7" s="372"/>
      <c r="FX7" s="372"/>
      <c r="FY7" s="372"/>
      <c r="FZ7" s="372"/>
      <c r="GA7" s="372"/>
      <c r="GB7" s="372"/>
      <c r="GC7" s="372"/>
      <c r="GD7" s="372"/>
      <c r="GE7" s="372"/>
      <c r="GF7" s="372"/>
      <c r="GG7" s="372"/>
      <c r="GH7" s="372"/>
      <c r="GI7" s="372"/>
      <c r="GJ7" s="372"/>
      <c r="GK7" s="372"/>
      <c r="GL7" s="372"/>
      <c r="GM7" s="372"/>
      <c r="GN7" s="372"/>
      <c r="GO7" s="372"/>
      <c r="GP7" s="372"/>
      <c r="GQ7" s="372"/>
      <c r="GR7" s="372"/>
    </row>
    <row r="8" spans="1:200" s="48" customFormat="1" ht="23.4" customHeight="1" x14ac:dyDescent="0.3">
      <c r="A8" s="276"/>
      <c r="B8" s="277"/>
      <c r="C8" s="278"/>
      <c r="D8" s="278"/>
      <c r="E8" s="279"/>
      <c r="F8" s="279"/>
      <c r="G8" s="279"/>
      <c r="H8" s="279"/>
      <c r="I8" s="276"/>
      <c r="J8" s="276"/>
      <c r="K8" s="276"/>
      <c r="L8" s="276"/>
      <c r="M8" s="279"/>
      <c r="N8" s="42" t="s">
        <v>9</v>
      </c>
      <c r="O8" s="42"/>
      <c r="P8" s="42"/>
      <c r="Q8" s="43">
        <f t="shared" ref="Q8:Q71" si="23">BL8-BQ8</f>
        <v>0</v>
      </c>
      <c r="R8" s="43">
        <f t="shared" ref="R8:R71" si="24">BM8-BR8</f>
        <v>2179.0318599999991</v>
      </c>
      <c r="S8" s="43">
        <f t="shared" ref="S8:S71" si="25">BN8-BS8</f>
        <v>314.11000000000013</v>
      </c>
      <c r="T8" s="43">
        <f>T9+T10+T11+T12+T13+T14+T15+T16+T17+T18+T19</f>
        <v>8</v>
      </c>
      <c r="U8" s="43">
        <f>U9+U10+U11+U12+U13+U14+U15+U16+U17+U18+U19</f>
        <v>9</v>
      </c>
      <c r="V8" s="43">
        <f t="shared" ref="V8:Z8" si="26">SUM(V9:V19)-V10</f>
        <v>17695.45</v>
      </c>
      <c r="W8" s="43">
        <f t="shared" si="26"/>
        <v>0</v>
      </c>
      <c r="X8" s="43">
        <f t="shared" si="26"/>
        <v>15058.099999999999</v>
      </c>
      <c r="Y8" s="43">
        <f t="shared" si="26"/>
        <v>2637.35</v>
      </c>
      <c r="Z8" s="43">
        <f t="shared" si="26"/>
        <v>0</v>
      </c>
      <c r="AA8" s="43">
        <f t="shared" ref="AA8:AE8" si="27">SUM(AA9:AA19)-AA10</f>
        <v>17695.5</v>
      </c>
      <c r="AB8" s="43">
        <f t="shared" si="27"/>
        <v>0</v>
      </c>
      <c r="AC8" s="43">
        <f t="shared" si="27"/>
        <v>15058.099999999999</v>
      </c>
      <c r="AD8" s="43">
        <f t="shared" si="27"/>
        <v>2637.4</v>
      </c>
      <c r="AE8" s="43">
        <f t="shared" si="27"/>
        <v>0</v>
      </c>
      <c r="AF8" s="43">
        <f t="shared" ref="AF8:AJ8" si="28">SUM(AF9:AF19)-AF10</f>
        <v>17695.5</v>
      </c>
      <c r="AG8" s="43">
        <f t="shared" si="28"/>
        <v>0</v>
      </c>
      <c r="AH8" s="43">
        <f t="shared" si="28"/>
        <v>15058.099999999999</v>
      </c>
      <c r="AI8" s="43">
        <f t="shared" si="28"/>
        <v>2637.4</v>
      </c>
      <c r="AJ8" s="43">
        <f t="shared" si="28"/>
        <v>0</v>
      </c>
      <c r="AK8" s="45">
        <f t="shared" ref="AK8:AO8" si="29">SUM(AK9:AK19)-AK10</f>
        <v>9184.4</v>
      </c>
      <c r="AL8" s="43">
        <f t="shared" si="29"/>
        <v>0</v>
      </c>
      <c r="AM8" s="43">
        <f t="shared" si="29"/>
        <v>6547</v>
      </c>
      <c r="AN8" s="43">
        <f t="shared" si="29"/>
        <v>2637.4</v>
      </c>
      <c r="AO8" s="43">
        <f t="shared" si="29"/>
        <v>0</v>
      </c>
      <c r="AP8" s="44"/>
      <c r="AQ8" s="43">
        <f>SUM(AQ9:AQ19)-AQ10</f>
        <v>17695.45</v>
      </c>
      <c r="AR8" s="43">
        <f>SUM(AR9:AR19)-AR10</f>
        <v>0</v>
      </c>
      <c r="AS8" s="43">
        <f>SUM(AS9:AS19)-AS10</f>
        <v>15058.099999999999</v>
      </c>
      <c r="AT8" s="43">
        <f>SUM(AT9:AT19)-AT10</f>
        <v>2637.35</v>
      </c>
      <c r="AU8" s="43">
        <f>SUM(AU9:AU19)-AU10</f>
        <v>0</v>
      </c>
      <c r="AV8" s="43">
        <f t="shared" si="9"/>
        <v>0</v>
      </c>
      <c r="AW8" s="43">
        <f t="shared" si="10"/>
        <v>0</v>
      </c>
      <c r="AX8" s="43">
        <f t="shared" si="11"/>
        <v>0</v>
      </c>
      <c r="AY8" s="43">
        <f t="shared" si="12"/>
        <v>0</v>
      </c>
      <c r="AZ8" s="43" t="e">
        <f t="shared" ref="AZ8:BE8" si="30">SUM(AZ9:AZ19)-AZ10</f>
        <v>#REF!</v>
      </c>
      <c r="BA8" s="43">
        <f t="shared" si="30"/>
        <v>17695.45</v>
      </c>
      <c r="BB8" s="43">
        <f t="shared" si="30"/>
        <v>0</v>
      </c>
      <c r="BC8" s="43">
        <f t="shared" si="30"/>
        <v>15058.099999999999</v>
      </c>
      <c r="BD8" s="43">
        <f t="shared" si="30"/>
        <v>2637.35</v>
      </c>
      <c r="BE8" s="43">
        <f t="shared" si="30"/>
        <v>0</v>
      </c>
      <c r="BF8" s="43">
        <f t="shared" ref="BF8:CJ8" si="31">SUM(BF9:BF19)-BF10</f>
        <v>0</v>
      </c>
      <c r="BG8" s="43">
        <f t="shared" si="31"/>
        <v>0</v>
      </c>
      <c r="BH8" s="43">
        <f t="shared" si="31"/>
        <v>0</v>
      </c>
      <c r="BI8" s="43">
        <f t="shared" si="31"/>
        <v>0</v>
      </c>
      <c r="BJ8" s="43">
        <f t="shared" si="31"/>
        <v>0</v>
      </c>
      <c r="BK8" s="43">
        <f t="shared" si="31"/>
        <v>17695.45</v>
      </c>
      <c r="BL8" s="43">
        <f t="shared" si="31"/>
        <v>0</v>
      </c>
      <c r="BM8" s="43">
        <f t="shared" si="31"/>
        <v>15058.099999999999</v>
      </c>
      <c r="BN8" s="43">
        <f t="shared" si="31"/>
        <v>2637.35</v>
      </c>
      <c r="BO8" s="43">
        <f t="shared" si="31"/>
        <v>0</v>
      </c>
      <c r="BP8" s="43">
        <f t="shared" si="31"/>
        <v>15202.308139999999</v>
      </c>
      <c r="BQ8" s="43">
        <f t="shared" si="31"/>
        <v>0</v>
      </c>
      <c r="BR8" s="43">
        <f t="shared" si="31"/>
        <v>12879.068139999999</v>
      </c>
      <c r="BS8" s="43">
        <f t="shared" si="31"/>
        <v>2323.2399999999998</v>
      </c>
      <c r="BT8" s="43">
        <f t="shared" si="31"/>
        <v>0</v>
      </c>
      <c r="BU8" s="45">
        <f t="shared" si="31"/>
        <v>5943.5073899999998</v>
      </c>
      <c r="BV8" s="43">
        <f t="shared" si="31"/>
        <v>0</v>
      </c>
      <c r="BW8" s="43">
        <f t="shared" si="31"/>
        <v>5168.8100700000005</v>
      </c>
      <c r="BX8" s="43">
        <f t="shared" si="31"/>
        <v>774.69731999999999</v>
      </c>
      <c r="BY8" s="43">
        <f t="shared" si="31"/>
        <v>0</v>
      </c>
      <c r="BZ8" s="43">
        <f t="shared" si="31"/>
        <v>21145.81553</v>
      </c>
      <c r="CA8" s="43">
        <f t="shared" si="13"/>
        <v>21145.81553</v>
      </c>
      <c r="CB8" s="43">
        <f t="shared" si="14"/>
        <v>0</v>
      </c>
      <c r="CC8" s="43">
        <f t="shared" si="15"/>
        <v>18047.878209999999</v>
      </c>
      <c r="CD8" s="43">
        <f t="shared" si="16"/>
        <v>3097.93732</v>
      </c>
      <c r="CE8" s="43">
        <f t="shared" si="31"/>
        <v>0</v>
      </c>
      <c r="CF8" s="43">
        <f t="shared" si="17"/>
        <v>2493.1418599999993</v>
      </c>
      <c r="CG8" s="43">
        <f t="shared" si="18"/>
        <v>0</v>
      </c>
      <c r="CH8" s="43">
        <f t="shared" si="19"/>
        <v>2179.0318599999991</v>
      </c>
      <c r="CI8" s="43">
        <f t="shared" si="20"/>
        <v>314.11000000000013</v>
      </c>
      <c r="CJ8" s="43">
        <f t="shared" si="31"/>
        <v>0</v>
      </c>
      <c r="CK8" s="46">
        <f>CL8+CN8-BF8</f>
        <v>17695.449999999997</v>
      </c>
      <c r="CL8" s="47">
        <f t="shared" ref="CL8:DF8" si="32">SUM(CL9:CL19)-CL10</f>
        <v>17695.449999999997</v>
      </c>
      <c r="CM8" s="47">
        <f t="shared" si="32"/>
        <v>17695.449999999997</v>
      </c>
      <c r="CN8" s="43">
        <f t="shared" si="32"/>
        <v>0</v>
      </c>
      <c r="CO8" s="43">
        <f t="shared" si="32"/>
        <v>0</v>
      </c>
      <c r="CP8" s="43">
        <f t="shared" si="32"/>
        <v>0</v>
      </c>
      <c r="CQ8" s="43">
        <f t="shared" si="32"/>
        <v>0</v>
      </c>
      <c r="CR8" s="43">
        <f t="shared" si="32"/>
        <v>0</v>
      </c>
      <c r="CS8" s="43">
        <f t="shared" si="32"/>
        <v>0</v>
      </c>
      <c r="CT8" s="43">
        <f t="shared" si="32"/>
        <v>0</v>
      </c>
      <c r="CU8" s="43">
        <f t="shared" si="32"/>
        <v>0</v>
      </c>
      <c r="CV8" s="43">
        <f t="shared" si="32"/>
        <v>0</v>
      </c>
      <c r="CW8" s="43">
        <f t="shared" si="32"/>
        <v>0</v>
      </c>
      <c r="CX8" s="45">
        <f t="shared" si="32"/>
        <v>0</v>
      </c>
      <c r="CY8" s="45">
        <f t="shared" si="32"/>
        <v>0</v>
      </c>
      <c r="CZ8" s="45">
        <f t="shared" si="32"/>
        <v>0</v>
      </c>
      <c r="DA8" s="45">
        <f t="shared" si="32"/>
        <v>0</v>
      </c>
      <c r="DB8" s="45">
        <f t="shared" si="32"/>
        <v>0</v>
      </c>
      <c r="DC8" s="43">
        <f t="shared" si="32"/>
        <v>0</v>
      </c>
      <c r="DD8" s="43">
        <f t="shared" si="32"/>
        <v>0</v>
      </c>
      <c r="DE8" s="43">
        <f t="shared" si="32"/>
        <v>0</v>
      </c>
      <c r="DF8" s="43">
        <f t="shared" si="32"/>
        <v>2493.1418599999997</v>
      </c>
      <c r="DH8" s="43">
        <f>SUM(DH9:DH19)-DH10</f>
        <v>17695.45</v>
      </c>
      <c r="DI8" s="43">
        <f>SUM(DI9:DI19)-DI10</f>
        <v>15202.308139999999</v>
      </c>
      <c r="DK8" s="43">
        <f>SUM(DK9:DK19)-DK10</f>
        <v>15202.308140000001</v>
      </c>
      <c r="DL8" s="43">
        <f>SUM(DL9:DL19)-DL10</f>
        <v>2493.1418599999997</v>
      </c>
      <c r="DN8" s="43">
        <f>SUM(DN9:DN19)-DN10</f>
        <v>2493.1418599999979</v>
      </c>
      <c r="DO8" s="49">
        <f>DF8-DN8</f>
        <v>0</v>
      </c>
      <c r="DP8" s="49"/>
      <c r="DQ8" s="43">
        <f>SUM(DQ9:DQ19)-DQ10</f>
        <v>15202.308139999999</v>
      </c>
      <c r="DR8" s="43">
        <f t="shared" ref="DR8:DU8" si="33">SUM(DR9:DR19)-DR10</f>
        <v>0</v>
      </c>
      <c r="DS8" s="43">
        <f t="shared" si="33"/>
        <v>12879.068139999999</v>
      </c>
      <c r="DT8" s="43">
        <f t="shared" si="33"/>
        <v>2323.2399999999998</v>
      </c>
      <c r="DU8" s="43">
        <f t="shared" si="33"/>
        <v>0</v>
      </c>
      <c r="DV8" s="43">
        <f>SUM(DV9:DV19)-DV10</f>
        <v>4142.8243899999998</v>
      </c>
      <c r="DW8" s="43">
        <f t="shared" ref="DW8:DZ8" si="34">SUM(DW9:DW19)-DW10</f>
        <v>0</v>
      </c>
      <c r="DX8" s="43">
        <f t="shared" si="34"/>
        <v>3368.12707</v>
      </c>
      <c r="DY8" s="43">
        <f t="shared" si="34"/>
        <v>774.69731999999999</v>
      </c>
      <c r="DZ8" s="43">
        <f t="shared" si="34"/>
        <v>0</v>
      </c>
      <c r="EA8" s="372"/>
      <c r="EB8" s="372"/>
      <c r="EC8" s="372"/>
      <c r="ED8" s="372"/>
      <c r="EE8" s="372"/>
      <c r="EF8" s="372"/>
      <c r="EG8" s="372"/>
      <c r="EH8" s="372"/>
      <c r="EI8" s="372"/>
      <c r="EJ8" s="372"/>
      <c r="EK8" s="372"/>
      <c r="EL8" s="372"/>
      <c r="EM8" s="372"/>
      <c r="EN8" s="372"/>
      <c r="EO8" s="372"/>
      <c r="EP8" s="372"/>
      <c r="EQ8" s="372"/>
      <c r="ER8" s="372"/>
      <c r="ES8" s="372"/>
      <c r="ET8" s="372"/>
      <c r="EU8" s="372"/>
      <c r="EV8" s="372"/>
      <c r="EW8" s="372"/>
      <c r="EX8" s="372"/>
      <c r="EY8" s="372"/>
      <c r="EZ8" s="372"/>
      <c r="FA8" s="372"/>
      <c r="FB8" s="372"/>
      <c r="FC8" s="372"/>
      <c r="FD8" s="372"/>
      <c r="FE8" s="372"/>
      <c r="FF8" s="372"/>
      <c r="FG8" s="372"/>
      <c r="FH8" s="372"/>
      <c r="FI8" s="372"/>
      <c r="FJ8" s="372"/>
      <c r="FK8" s="372"/>
      <c r="FL8" s="372"/>
      <c r="FM8" s="372"/>
      <c r="FN8" s="372"/>
      <c r="FO8" s="372"/>
      <c r="FP8" s="372"/>
      <c r="FQ8" s="372"/>
      <c r="FR8" s="372"/>
      <c r="FS8" s="372"/>
      <c r="FT8" s="372"/>
      <c r="FU8" s="372"/>
      <c r="FV8" s="372"/>
      <c r="FW8" s="372"/>
      <c r="FX8" s="372"/>
      <c r="FY8" s="372"/>
      <c r="FZ8" s="372"/>
      <c r="GA8" s="372"/>
      <c r="GB8" s="372"/>
      <c r="GC8" s="372"/>
      <c r="GD8" s="372"/>
      <c r="GE8" s="372"/>
      <c r="GF8" s="372"/>
      <c r="GG8" s="372"/>
      <c r="GH8" s="372"/>
      <c r="GI8" s="372"/>
      <c r="GJ8" s="372"/>
      <c r="GK8" s="372"/>
      <c r="GL8" s="372"/>
      <c r="GM8" s="372"/>
      <c r="GN8" s="372"/>
      <c r="GO8" s="372"/>
      <c r="GP8" s="372"/>
      <c r="GQ8" s="372"/>
      <c r="GR8" s="372"/>
    </row>
    <row r="9" spans="1:200" s="61" customFormat="1" ht="15" customHeight="1" x14ac:dyDescent="0.3">
      <c r="A9" s="280"/>
      <c r="B9" s="281">
        <v>1</v>
      </c>
      <c r="C9" s="282"/>
      <c r="D9" s="282"/>
      <c r="E9" s="4">
        <v>2</v>
      </c>
      <c r="F9" s="281">
        <v>1</v>
      </c>
      <c r="G9" s="282"/>
      <c r="H9" s="282">
        <v>1</v>
      </c>
      <c r="I9" s="280"/>
      <c r="J9" s="280"/>
      <c r="K9" s="280"/>
      <c r="L9" s="280"/>
      <c r="M9" s="4">
        <v>2</v>
      </c>
      <c r="N9" s="62" t="s">
        <v>191</v>
      </c>
      <c r="O9" s="63"/>
      <c r="P9" s="63"/>
      <c r="Q9" s="64">
        <f t="shared" si="23"/>
        <v>0</v>
      </c>
      <c r="R9" s="64">
        <f t="shared" si="24"/>
        <v>0</v>
      </c>
      <c r="S9" s="64">
        <f t="shared" si="25"/>
        <v>0</v>
      </c>
      <c r="T9" s="63"/>
      <c r="U9" s="63"/>
      <c r="V9" s="64">
        <f t="shared" ref="V9:V19" si="35">W9+X9+Y9+Z9</f>
        <v>0</v>
      </c>
      <c r="W9" s="64"/>
      <c r="X9" s="65">
        <v>0</v>
      </c>
      <c r="Y9" s="64"/>
      <c r="Z9" s="60"/>
      <c r="AA9" s="64">
        <f t="shared" ref="AA9:AA19" si="36">AB9+AC9+AD9+AE9</f>
        <v>0</v>
      </c>
      <c r="AB9" s="64"/>
      <c r="AC9" s="65">
        <v>0</v>
      </c>
      <c r="AD9" s="64"/>
      <c r="AE9" s="60"/>
      <c r="AF9" s="64">
        <f t="shared" ref="AF9:AF19" si="37">AG9+AH9+AI9+AJ9</f>
        <v>0</v>
      </c>
      <c r="AG9" s="64"/>
      <c r="AH9" s="65">
        <v>0</v>
      </c>
      <c r="AI9" s="64"/>
      <c r="AJ9" s="60"/>
      <c r="AK9" s="64">
        <f t="shared" ref="AK9:AK19" si="38">AL9+AM9+AN9+AO9</f>
        <v>2916</v>
      </c>
      <c r="AL9" s="64"/>
      <c r="AM9" s="65">
        <v>2916</v>
      </c>
      <c r="AN9" s="64"/>
      <c r="AO9" s="64"/>
      <c r="AP9" s="64"/>
      <c r="AQ9" s="64">
        <f t="shared" ref="AQ9:AQ19" si="39">AR9+AS9+AT9+AU9</f>
        <v>0</v>
      </c>
      <c r="AR9" s="64"/>
      <c r="AS9" s="64"/>
      <c r="AT9" s="64"/>
      <c r="AU9" s="64"/>
      <c r="AV9" s="64">
        <f t="shared" si="9"/>
        <v>0</v>
      </c>
      <c r="AW9" s="64">
        <f t="shared" si="10"/>
        <v>0</v>
      </c>
      <c r="AX9" s="64">
        <f t="shared" si="11"/>
        <v>0</v>
      </c>
      <c r="AY9" s="64">
        <f t="shared" si="12"/>
        <v>0</v>
      </c>
      <c r="AZ9" s="64" t="e">
        <f>#REF!-AU9</f>
        <v>#REF!</v>
      </c>
      <c r="BA9" s="64">
        <f t="shared" ref="BA9:BA19" si="40">BB9+BC9+BD9+BE9</f>
        <v>0</v>
      </c>
      <c r="BB9" s="64"/>
      <c r="BC9" s="64"/>
      <c r="BD9" s="64"/>
      <c r="BE9" s="64"/>
      <c r="BF9" s="64">
        <f t="shared" ref="BF9:BF19" si="41">BG9+BH9+BI9+BJ9</f>
        <v>0</v>
      </c>
      <c r="BG9" s="64"/>
      <c r="BH9" s="64"/>
      <c r="BI9" s="64"/>
      <c r="BJ9" s="64"/>
      <c r="BK9" s="64">
        <f t="shared" ref="BK9:BK19" si="42">BL9+BM9+BN9+BO9</f>
        <v>0</v>
      </c>
      <c r="BL9" s="64"/>
      <c r="BM9" s="64"/>
      <c r="BN9" s="64"/>
      <c r="BO9" s="64"/>
      <c r="BP9" s="64">
        <f t="shared" ref="BP9:BP19" si="43">BQ9+BR9+BS9+BT9</f>
        <v>0</v>
      </c>
      <c r="BQ9" s="64"/>
      <c r="BR9" s="64"/>
      <c r="BS9" s="64"/>
      <c r="BT9" s="64"/>
      <c r="BU9" s="64">
        <f t="shared" ref="BU9:BU19" si="44">BV9+BW9+BX9+BY9</f>
        <v>0</v>
      </c>
      <c r="BV9" s="25"/>
      <c r="BW9" s="25"/>
      <c r="BX9" s="25"/>
      <c r="BY9" s="64"/>
      <c r="BZ9" s="60">
        <f t="shared" ref="BZ9:BZ19" si="45">CA9</f>
        <v>0</v>
      </c>
      <c r="CA9" s="64">
        <f t="shared" si="13"/>
        <v>0</v>
      </c>
      <c r="CB9" s="64">
        <f t="shared" si="14"/>
        <v>0</v>
      </c>
      <c r="CC9" s="64">
        <f t="shared" si="15"/>
        <v>0</v>
      </c>
      <c r="CD9" s="64">
        <f t="shared" si="16"/>
        <v>0</v>
      </c>
      <c r="CE9" s="64">
        <f t="shared" ref="CE9:CE19" si="46">BT9+BY9</f>
        <v>0</v>
      </c>
      <c r="CF9" s="64">
        <f t="shared" si="17"/>
        <v>0</v>
      </c>
      <c r="CG9" s="64">
        <f t="shared" si="18"/>
        <v>0</v>
      </c>
      <c r="CH9" s="64">
        <f t="shared" si="19"/>
        <v>0</v>
      </c>
      <c r="CI9" s="64">
        <f t="shared" si="20"/>
        <v>0</v>
      </c>
      <c r="CJ9" s="64">
        <f t="shared" ref="CJ9:CJ19" si="47">BO9-BT9</f>
        <v>0</v>
      </c>
      <c r="CK9" s="66"/>
      <c r="CL9" s="67">
        <f>BC9</f>
        <v>0</v>
      </c>
      <c r="CM9" s="67">
        <f>CL9-BF9</f>
        <v>0</v>
      </c>
      <c r="CN9" s="64">
        <f t="shared" ref="CN9:CN19" si="48">CO9+CP9+CQ9+CR9</f>
        <v>0</v>
      </c>
      <c r="CO9" s="64"/>
      <c r="CP9" s="64"/>
      <c r="CQ9" s="64"/>
      <c r="CR9" s="64"/>
      <c r="CS9" s="64">
        <f t="shared" ref="CS9:CS19" si="49">CT9+CU9+CV9+CW9</f>
        <v>0</v>
      </c>
      <c r="CT9" s="64"/>
      <c r="CU9" s="64"/>
      <c r="CV9" s="64"/>
      <c r="CW9" s="64"/>
      <c r="CX9" s="64">
        <f t="shared" ref="CX9:CX19" si="50">CY9+CZ9+DA9+DB9</f>
        <v>0</v>
      </c>
      <c r="CY9" s="64">
        <f>CO9-CT9</f>
        <v>0</v>
      </c>
      <c r="CZ9" s="64">
        <f t="shared" ref="CZ9:DB19" si="51">CP9-CU9</f>
        <v>0</v>
      </c>
      <c r="DA9" s="64">
        <f t="shared" si="51"/>
        <v>0</v>
      </c>
      <c r="DB9" s="64">
        <f t="shared" si="51"/>
        <v>0</v>
      </c>
      <c r="DC9" s="64"/>
      <c r="DD9" s="64"/>
      <c r="DE9" s="64"/>
      <c r="DF9" s="64">
        <f t="shared" ref="DF9:DF19" si="52">CF9+CX9+DE9</f>
        <v>0</v>
      </c>
      <c r="DH9" s="64">
        <f t="shared" ref="DH9:DH19" si="53">BK9+CN9+DC9</f>
        <v>0</v>
      </c>
      <c r="DI9" s="64">
        <f t="shared" ref="DI9:DI19" si="54">BP9+CS9+DD9</f>
        <v>0</v>
      </c>
      <c r="DK9" s="64">
        <f>DI9</f>
        <v>0</v>
      </c>
      <c r="DL9" s="64">
        <f>DF9</f>
        <v>0</v>
      </c>
      <c r="DN9" s="64">
        <f>CM9-DK9</f>
        <v>0</v>
      </c>
      <c r="DQ9" s="64">
        <f t="shared" ref="DQ9:DQ19" si="55">DR9+DS9+DT9+DU9</f>
        <v>0</v>
      </c>
      <c r="DR9" s="64"/>
      <c r="DS9" s="64"/>
      <c r="DT9" s="64"/>
      <c r="DU9" s="64"/>
      <c r="DV9" s="64">
        <f t="shared" ref="DV9:DV19" si="56">DW9+DX9+DY9+DZ9</f>
        <v>0</v>
      </c>
      <c r="DW9" s="64"/>
      <c r="DX9" s="64"/>
      <c r="DY9" s="64"/>
      <c r="DZ9" s="64"/>
      <c r="EA9" s="375"/>
      <c r="EB9" s="375"/>
      <c r="EC9" s="375"/>
      <c r="ED9" s="375"/>
      <c r="EE9" s="375"/>
      <c r="EF9" s="375"/>
      <c r="EG9" s="375"/>
      <c r="EH9" s="375"/>
      <c r="EI9" s="375"/>
      <c r="EJ9" s="375"/>
      <c r="EK9" s="375"/>
      <c r="EL9" s="375"/>
      <c r="EM9" s="375"/>
      <c r="EN9" s="375"/>
      <c r="EO9" s="375"/>
      <c r="EP9" s="375"/>
      <c r="EQ9" s="375"/>
      <c r="ER9" s="375"/>
      <c r="ES9" s="375"/>
      <c r="ET9" s="375"/>
      <c r="EU9" s="375"/>
      <c r="EV9" s="375"/>
      <c r="EW9" s="375"/>
      <c r="EX9" s="375"/>
      <c r="EY9" s="375"/>
      <c r="EZ9" s="375"/>
      <c r="FA9" s="375"/>
      <c r="FB9" s="375"/>
      <c r="FC9" s="375"/>
      <c r="FD9" s="375"/>
      <c r="FE9" s="375"/>
      <c r="FF9" s="375"/>
      <c r="FG9" s="375"/>
      <c r="FH9" s="375"/>
      <c r="FI9" s="375"/>
      <c r="FJ9" s="375"/>
      <c r="FK9" s="375"/>
      <c r="FL9" s="375"/>
      <c r="FM9" s="375"/>
      <c r="FN9" s="375"/>
      <c r="FO9" s="375"/>
      <c r="FP9" s="375"/>
      <c r="FQ9" s="375"/>
      <c r="FR9" s="375"/>
      <c r="FS9" s="375"/>
      <c r="FT9" s="375"/>
      <c r="FU9" s="375"/>
      <c r="FV9" s="375"/>
      <c r="FW9" s="375"/>
      <c r="FX9" s="375"/>
      <c r="FY9" s="375"/>
      <c r="FZ9" s="375"/>
      <c r="GA9" s="375"/>
      <c r="GB9" s="375"/>
      <c r="GC9" s="375"/>
      <c r="GD9" s="375"/>
      <c r="GE9" s="375"/>
      <c r="GF9" s="375"/>
      <c r="GG9" s="375"/>
      <c r="GH9" s="375"/>
      <c r="GI9" s="375"/>
      <c r="GJ9" s="375"/>
      <c r="GK9" s="375"/>
      <c r="GL9" s="375"/>
      <c r="GM9" s="375"/>
      <c r="GN9" s="375"/>
      <c r="GO9" s="375"/>
      <c r="GP9" s="375"/>
      <c r="GQ9" s="375"/>
      <c r="GR9" s="375"/>
    </row>
    <row r="10" spans="1:200" s="61" customFormat="1" ht="15.75" hidden="1" customHeight="1" x14ac:dyDescent="0.3">
      <c r="A10" s="280"/>
      <c r="B10" s="281"/>
      <c r="C10" s="282"/>
      <c r="D10" s="282"/>
      <c r="E10" s="4"/>
      <c r="F10" s="281"/>
      <c r="G10" s="282"/>
      <c r="H10" s="282"/>
      <c r="I10" s="280"/>
      <c r="J10" s="280"/>
      <c r="K10" s="280"/>
      <c r="L10" s="280"/>
      <c r="M10" s="4"/>
      <c r="N10" s="371" t="s">
        <v>249</v>
      </c>
      <c r="O10" s="69"/>
      <c r="P10" s="69"/>
      <c r="Q10" s="70">
        <f t="shared" si="23"/>
        <v>0</v>
      </c>
      <c r="R10" s="70">
        <f t="shared" si="24"/>
        <v>0</v>
      </c>
      <c r="S10" s="70">
        <f t="shared" si="25"/>
        <v>0</v>
      </c>
      <c r="T10" s="69"/>
      <c r="U10" s="69"/>
      <c r="V10" s="64">
        <f t="shared" si="35"/>
        <v>0</v>
      </c>
      <c r="W10" s="64"/>
      <c r="X10" s="71"/>
      <c r="Y10" s="64"/>
      <c r="Z10" s="60"/>
      <c r="AA10" s="64">
        <f t="shared" si="36"/>
        <v>0</v>
      </c>
      <c r="AB10" s="64"/>
      <c r="AC10" s="71"/>
      <c r="AD10" s="64"/>
      <c r="AE10" s="60"/>
      <c r="AF10" s="64">
        <f t="shared" si="37"/>
        <v>0</v>
      </c>
      <c r="AG10" s="64"/>
      <c r="AH10" s="71"/>
      <c r="AI10" s="64"/>
      <c r="AJ10" s="60"/>
      <c r="AK10" s="64">
        <f t="shared" si="38"/>
        <v>0</v>
      </c>
      <c r="AL10" s="64"/>
      <c r="AM10" s="71"/>
      <c r="AN10" s="64"/>
      <c r="AO10" s="64"/>
      <c r="AP10" s="64"/>
      <c r="AQ10" s="64">
        <f t="shared" si="39"/>
        <v>0</v>
      </c>
      <c r="AR10" s="64"/>
      <c r="AS10" s="64"/>
      <c r="AT10" s="64"/>
      <c r="AU10" s="64"/>
      <c r="AV10" s="64">
        <f t="shared" si="9"/>
        <v>0</v>
      </c>
      <c r="AW10" s="64">
        <f t="shared" si="10"/>
        <v>0</v>
      </c>
      <c r="AX10" s="64">
        <f t="shared" si="11"/>
        <v>0</v>
      </c>
      <c r="AY10" s="64">
        <f t="shared" si="12"/>
        <v>0</v>
      </c>
      <c r="AZ10" s="64" t="e">
        <f>#REF!-AU10</f>
        <v>#REF!</v>
      </c>
      <c r="BA10" s="64">
        <f t="shared" si="40"/>
        <v>0</v>
      </c>
      <c r="BB10" s="64"/>
      <c r="BC10" s="64"/>
      <c r="BD10" s="64"/>
      <c r="BE10" s="64"/>
      <c r="BF10" s="64">
        <f t="shared" si="41"/>
        <v>0</v>
      </c>
      <c r="BG10" s="64"/>
      <c r="BH10" s="64"/>
      <c r="BI10" s="64"/>
      <c r="BJ10" s="64"/>
      <c r="BK10" s="64">
        <f t="shared" si="42"/>
        <v>0</v>
      </c>
      <c r="BL10" s="64"/>
      <c r="BM10" s="64"/>
      <c r="BN10" s="64"/>
      <c r="BO10" s="64"/>
      <c r="BP10" s="64">
        <f t="shared" si="43"/>
        <v>0</v>
      </c>
      <c r="BQ10" s="64"/>
      <c r="BR10" s="64"/>
      <c r="BS10" s="64"/>
      <c r="BT10" s="64"/>
      <c r="BU10" s="64">
        <f t="shared" si="44"/>
        <v>0</v>
      </c>
      <c r="BV10" s="25"/>
      <c r="BW10" s="25"/>
      <c r="BX10" s="25"/>
      <c r="BY10" s="64"/>
      <c r="BZ10" s="60">
        <f t="shared" si="45"/>
        <v>0</v>
      </c>
      <c r="CA10" s="64">
        <f t="shared" si="13"/>
        <v>0</v>
      </c>
      <c r="CB10" s="64">
        <f t="shared" si="14"/>
        <v>0</v>
      </c>
      <c r="CC10" s="64">
        <f t="shared" si="15"/>
        <v>0</v>
      </c>
      <c r="CD10" s="64">
        <f t="shared" si="16"/>
        <v>0</v>
      </c>
      <c r="CE10" s="64">
        <f t="shared" si="46"/>
        <v>0</v>
      </c>
      <c r="CF10" s="64">
        <f t="shared" si="17"/>
        <v>0</v>
      </c>
      <c r="CG10" s="64">
        <f t="shared" si="18"/>
        <v>0</v>
      </c>
      <c r="CH10" s="64">
        <f t="shared" si="19"/>
        <v>0</v>
      </c>
      <c r="CI10" s="64">
        <f t="shared" si="20"/>
        <v>0</v>
      </c>
      <c r="CJ10" s="64">
        <f t="shared" si="47"/>
        <v>0</v>
      </c>
      <c r="CK10" s="66"/>
      <c r="CL10" s="67"/>
      <c r="CM10" s="67"/>
      <c r="CN10" s="64">
        <f t="shared" si="48"/>
        <v>0</v>
      </c>
      <c r="CO10" s="64"/>
      <c r="CP10" s="64"/>
      <c r="CQ10" s="64"/>
      <c r="CR10" s="64"/>
      <c r="CS10" s="64">
        <f t="shared" si="49"/>
        <v>0</v>
      </c>
      <c r="CT10" s="64"/>
      <c r="CU10" s="64"/>
      <c r="CV10" s="64"/>
      <c r="CW10" s="64"/>
      <c r="CX10" s="64">
        <f t="shared" si="50"/>
        <v>0</v>
      </c>
      <c r="CY10" s="64">
        <f t="shared" ref="CY10:CY19" si="57">CO10-CT10</f>
        <v>0</v>
      </c>
      <c r="CZ10" s="64">
        <f t="shared" si="51"/>
        <v>0</v>
      </c>
      <c r="DA10" s="64">
        <f t="shared" si="51"/>
        <v>0</v>
      </c>
      <c r="DB10" s="64">
        <f t="shared" si="51"/>
        <v>0</v>
      </c>
      <c r="DC10" s="64"/>
      <c r="DD10" s="64"/>
      <c r="DE10" s="64"/>
      <c r="DF10" s="64">
        <f t="shared" si="52"/>
        <v>0</v>
      </c>
      <c r="DH10" s="64">
        <f t="shared" si="53"/>
        <v>0</v>
      </c>
      <c r="DI10" s="64">
        <f t="shared" si="54"/>
        <v>0</v>
      </c>
      <c r="DK10" s="64">
        <f>DI10</f>
        <v>0</v>
      </c>
      <c r="DL10" s="64">
        <f>DF10</f>
        <v>0</v>
      </c>
      <c r="DN10" s="64"/>
      <c r="DQ10" s="64">
        <f t="shared" si="55"/>
        <v>0</v>
      </c>
      <c r="DR10" s="64"/>
      <c r="DS10" s="64"/>
      <c r="DT10" s="64"/>
      <c r="DU10" s="64"/>
      <c r="DV10" s="64">
        <f t="shared" si="56"/>
        <v>0</v>
      </c>
      <c r="DW10" s="64"/>
      <c r="DX10" s="64"/>
      <c r="DY10" s="64"/>
      <c r="DZ10" s="64"/>
      <c r="EA10" s="375"/>
      <c r="EB10" s="375"/>
      <c r="EC10" s="375"/>
      <c r="ED10" s="375"/>
      <c r="EE10" s="375"/>
      <c r="EF10" s="375"/>
      <c r="EG10" s="375"/>
      <c r="EH10" s="375"/>
      <c r="EI10" s="375"/>
      <c r="EJ10" s="375"/>
      <c r="EK10" s="375"/>
      <c r="EL10" s="375"/>
      <c r="EM10" s="375"/>
      <c r="EN10" s="375"/>
      <c r="EO10" s="375"/>
      <c r="EP10" s="375"/>
      <c r="EQ10" s="375"/>
      <c r="ER10" s="375"/>
      <c r="ES10" s="375"/>
      <c r="ET10" s="375"/>
      <c r="EU10" s="375"/>
      <c r="EV10" s="375"/>
      <c r="EW10" s="375"/>
      <c r="EX10" s="375"/>
      <c r="EY10" s="375"/>
      <c r="EZ10" s="375"/>
      <c r="FA10" s="375"/>
      <c r="FB10" s="375"/>
      <c r="FC10" s="375"/>
      <c r="FD10" s="375"/>
      <c r="FE10" s="375"/>
      <c r="FF10" s="375"/>
      <c r="FG10" s="375"/>
      <c r="FH10" s="375"/>
      <c r="FI10" s="375"/>
      <c r="FJ10" s="375"/>
      <c r="FK10" s="375"/>
      <c r="FL10" s="375"/>
      <c r="FM10" s="375"/>
      <c r="FN10" s="375"/>
      <c r="FO10" s="375"/>
      <c r="FP10" s="375"/>
      <c r="FQ10" s="375"/>
      <c r="FR10" s="375"/>
      <c r="FS10" s="375"/>
      <c r="FT10" s="375"/>
      <c r="FU10" s="375"/>
      <c r="FV10" s="375"/>
      <c r="FW10" s="375"/>
      <c r="FX10" s="375"/>
      <c r="FY10" s="375"/>
      <c r="FZ10" s="375"/>
      <c r="GA10" s="375"/>
      <c r="GB10" s="375"/>
      <c r="GC10" s="375"/>
      <c r="GD10" s="375"/>
      <c r="GE10" s="375"/>
      <c r="GF10" s="375"/>
      <c r="GG10" s="375"/>
      <c r="GH10" s="375"/>
      <c r="GI10" s="375"/>
      <c r="GJ10" s="375"/>
      <c r="GK10" s="375"/>
      <c r="GL10" s="375"/>
      <c r="GM10" s="375"/>
      <c r="GN10" s="375"/>
      <c r="GO10" s="375"/>
      <c r="GP10" s="375"/>
      <c r="GQ10" s="375"/>
      <c r="GR10" s="375"/>
    </row>
    <row r="11" spans="1:200" s="61" customFormat="1" ht="15.75" customHeight="1" x14ac:dyDescent="0.3">
      <c r="A11" s="280"/>
      <c r="B11" s="281"/>
      <c r="C11" s="282">
        <v>1</v>
      </c>
      <c r="D11" s="282"/>
      <c r="E11" s="4">
        <v>3</v>
      </c>
      <c r="F11" s="281"/>
      <c r="G11" s="282">
        <v>1</v>
      </c>
      <c r="H11" s="282">
        <v>1</v>
      </c>
      <c r="I11" s="4"/>
      <c r="J11" s="283"/>
      <c r="K11" s="284"/>
      <c r="L11" s="280"/>
      <c r="M11" s="4">
        <v>3</v>
      </c>
      <c r="N11" s="62" t="s">
        <v>32</v>
      </c>
      <c r="O11" s="62" t="s">
        <v>448</v>
      </c>
      <c r="P11" s="62" t="s">
        <v>448</v>
      </c>
      <c r="Q11" s="60">
        <f t="shared" si="23"/>
        <v>0</v>
      </c>
      <c r="R11" s="60">
        <f t="shared" si="24"/>
        <v>0</v>
      </c>
      <c r="S11" s="60">
        <f t="shared" si="25"/>
        <v>0</v>
      </c>
      <c r="T11" s="60"/>
      <c r="U11" s="60"/>
      <c r="V11" s="64">
        <f t="shared" si="35"/>
        <v>0</v>
      </c>
      <c r="W11" s="64"/>
      <c r="X11" s="64">
        <v>0</v>
      </c>
      <c r="Y11" s="64"/>
      <c r="Z11" s="73"/>
      <c r="AA11" s="64">
        <f t="shared" si="36"/>
        <v>0</v>
      </c>
      <c r="AB11" s="64"/>
      <c r="AC11" s="64">
        <v>0</v>
      </c>
      <c r="AD11" s="64"/>
      <c r="AE11" s="73"/>
      <c r="AF11" s="64">
        <f t="shared" si="37"/>
        <v>0</v>
      </c>
      <c r="AG11" s="64"/>
      <c r="AH11" s="64">
        <v>0</v>
      </c>
      <c r="AI11" s="64"/>
      <c r="AJ11" s="73"/>
      <c r="AK11" s="64">
        <f t="shared" si="38"/>
        <v>0</v>
      </c>
      <c r="AL11" s="64"/>
      <c r="AM11" s="64">
        <v>0</v>
      </c>
      <c r="AN11" s="64"/>
      <c r="AO11" s="73"/>
      <c r="AP11" s="64"/>
      <c r="AQ11" s="64">
        <f t="shared" si="39"/>
        <v>0</v>
      </c>
      <c r="AR11" s="64"/>
      <c r="AS11" s="64"/>
      <c r="AT11" s="64"/>
      <c r="AU11" s="73"/>
      <c r="AV11" s="64">
        <f t="shared" si="9"/>
        <v>0</v>
      </c>
      <c r="AW11" s="64">
        <f t="shared" si="10"/>
        <v>0</v>
      </c>
      <c r="AX11" s="64">
        <f t="shared" si="11"/>
        <v>0</v>
      </c>
      <c r="AY11" s="64">
        <f t="shared" si="12"/>
        <v>0</v>
      </c>
      <c r="AZ11" s="64" t="e">
        <f>#REF!-AU11</f>
        <v>#REF!</v>
      </c>
      <c r="BA11" s="64">
        <f t="shared" si="40"/>
        <v>0</v>
      </c>
      <c r="BB11" s="64"/>
      <c r="BC11" s="64"/>
      <c r="BD11" s="64"/>
      <c r="BE11" s="73"/>
      <c r="BF11" s="64">
        <f t="shared" si="41"/>
        <v>0</v>
      </c>
      <c r="BG11" s="64"/>
      <c r="BH11" s="65"/>
      <c r="BI11" s="64"/>
      <c r="BJ11" s="73"/>
      <c r="BK11" s="64">
        <f t="shared" si="42"/>
        <v>0</v>
      </c>
      <c r="BL11" s="64"/>
      <c r="BM11" s="64"/>
      <c r="BN11" s="64"/>
      <c r="BO11" s="74"/>
      <c r="BP11" s="64">
        <f t="shared" si="43"/>
        <v>0</v>
      </c>
      <c r="BQ11" s="64"/>
      <c r="BR11" s="74"/>
      <c r="BS11" s="64"/>
      <c r="BT11" s="73"/>
      <c r="BU11" s="64">
        <f t="shared" si="44"/>
        <v>0</v>
      </c>
      <c r="BV11" s="75"/>
      <c r="BW11" s="75"/>
      <c r="BX11" s="75"/>
      <c r="BY11" s="64"/>
      <c r="BZ11" s="60">
        <f t="shared" si="45"/>
        <v>0</v>
      </c>
      <c r="CA11" s="64">
        <f t="shared" si="13"/>
        <v>0</v>
      </c>
      <c r="CB11" s="64">
        <f t="shared" si="14"/>
        <v>0</v>
      </c>
      <c r="CC11" s="64">
        <f t="shared" si="15"/>
        <v>0</v>
      </c>
      <c r="CD11" s="64">
        <f t="shared" si="16"/>
        <v>0</v>
      </c>
      <c r="CE11" s="64">
        <f t="shared" si="46"/>
        <v>0</v>
      </c>
      <c r="CF11" s="64">
        <f t="shared" si="17"/>
        <v>0</v>
      </c>
      <c r="CG11" s="64">
        <f t="shared" si="18"/>
        <v>0</v>
      </c>
      <c r="CH11" s="64">
        <f t="shared" si="19"/>
        <v>0</v>
      </c>
      <c r="CI11" s="64">
        <f t="shared" si="20"/>
        <v>0</v>
      </c>
      <c r="CJ11" s="64">
        <f t="shared" si="47"/>
        <v>0</v>
      </c>
      <c r="CK11" s="66"/>
      <c r="CL11" s="76">
        <f>BA11+BA14+BA17+AS299</f>
        <v>12134.05</v>
      </c>
      <c r="CM11" s="76">
        <f>CL11+CN17-BF17</f>
        <v>12134.05</v>
      </c>
      <c r="CN11" s="64">
        <f t="shared" si="48"/>
        <v>0</v>
      </c>
      <c r="CO11" s="64"/>
      <c r="CP11" s="65"/>
      <c r="CQ11" s="64"/>
      <c r="CR11" s="73"/>
      <c r="CS11" s="64">
        <f t="shared" si="49"/>
        <v>0</v>
      </c>
      <c r="CT11" s="64"/>
      <c r="CU11" s="65"/>
      <c r="CV11" s="64"/>
      <c r="CW11" s="73"/>
      <c r="CX11" s="64">
        <f t="shared" si="50"/>
        <v>0</v>
      </c>
      <c r="CY11" s="64">
        <f t="shared" si="57"/>
        <v>0</v>
      </c>
      <c r="CZ11" s="64">
        <f t="shared" si="51"/>
        <v>0</v>
      </c>
      <c r="DA11" s="64">
        <f t="shared" si="51"/>
        <v>0</v>
      </c>
      <c r="DB11" s="64">
        <f t="shared" si="51"/>
        <v>0</v>
      </c>
      <c r="DC11" s="64"/>
      <c r="DD11" s="64">
        <v>0</v>
      </c>
      <c r="DE11" s="64">
        <f>DC11-DD11</f>
        <v>0</v>
      </c>
      <c r="DF11" s="64">
        <f t="shared" si="52"/>
        <v>0</v>
      </c>
      <c r="DH11" s="64">
        <f t="shared" si="53"/>
        <v>0</v>
      </c>
      <c r="DI11" s="64">
        <f t="shared" si="54"/>
        <v>0</v>
      </c>
      <c r="DK11" s="77">
        <f>DI11+DI14+DI17</f>
        <v>10765.297140000001</v>
      </c>
      <c r="DL11" s="77">
        <f>DF11+DF14+DF17</f>
        <v>1368.7528599999998</v>
      </c>
      <c r="DN11" s="77">
        <f>CM11-DK11</f>
        <v>1368.7528599999987</v>
      </c>
      <c r="DO11" s="61">
        <f>DN11-DL11</f>
        <v>0</v>
      </c>
      <c r="DQ11" s="64">
        <f t="shared" si="55"/>
        <v>0</v>
      </c>
      <c r="DR11" s="64"/>
      <c r="DS11" s="74"/>
      <c r="DT11" s="64"/>
      <c r="DU11" s="73"/>
      <c r="DV11" s="64">
        <f t="shared" si="56"/>
        <v>0</v>
      </c>
      <c r="DW11" s="64"/>
      <c r="DX11" s="64"/>
      <c r="DY11" s="64"/>
      <c r="DZ11" s="64"/>
      <c r="EA11" s="375"/>
      <c r="EB11" s="375"/>
      <c r="EC11" s="375"/>
      <c r="ED11" s="375"/>
      <c r="EE11" s="375"/>
      <c r="EF11" s="375"/>
      <c r="EG11" s="375"/>
      <c r="EH11" s="375"/>
      <c r="EI11" s="375"/>
      <c r="EJ11" s="375"/>
      <c r="EK11" s="375"/>
      <c r="EL11" s="375"/>
      <c r="EM11" s="375"/>
      <c r="EN11" s="375"/>
      <c r="EO11" s="375"/>
      <c r="EP11" s="375"/>
      <c r="EQ11" s="375"/>
      <c r="ER11" s="375"/>
      <c r="ES11" s="375"/>
      <c r="ET11" s="375"/>
      <c r="EU11" s="375"/>
      <c r="EV11" s="375"/>
      <c r="EW11" s="375"/>
      <c r="EX11" s="375"/>
      <c r="EY11" s="375"/>
      <c r="EZ11" s="375"/>
      <c r="FA11" s="375"/>
      <c r="FB11" s="375"/>
      <c r="FC11" s="375"/>
      <c r="FD11" s="375"/>
      <c r="FE11" s="375"/>
      <c r="FF11" s="375"/>
      <c r="FG11" s="375"/>
      <c r="FH11" s="375"/>
      <c r="FI11" s="375"/>
      <c r="FJ11" s="375"/>
      <c r="FK11" s="375"/>
      <c r="FL11" s="375"/>
      <c r="FM11" s="375"/>
      <c r="FN11" s="375"/>
      <c r="FO11" s="375"/>
      <c r="FP11" s="375"/>
      <c r="FQ11" s="375"/>
      <c r="FR11" s="375"/>
      <c r="FS11" s="375"/>
      <c r="FT11" s="375"/>
      <c r="FU11" s="375"/>
      <c r="FV11" s="375"/>
      <c r="FW11" s="375"/>
      <c r="FX11" s="375"/>
      <c r="FY11" s="375"/>
      <c r="FZ11" s="375"/>
      <c r="GA11" s="375"/>
      <c r="GB11" s="375"/>
      <c r="GC11" s="375"/>
      <c r="GD11" s="375"/>
      <c r="GE11" s="375"/>
      <c r="GF11" s="375"/>
      <c r="GG11" s="375"/>
      <c r="GH11" s="375"/>
      <c r="GI11" s="375"/>
      <c r="GJ11" s="375"/>
      <c r="GK11" s="375"/>
      <c r="GL11" s="375"/>
      <c r="GM11" s="375"/>
      <c r="GN11" s="375"/>
      <c r="GO11" s="375"/>
      <c r="GP11" s="375"/>
      <c r="GQ11" s="375"/>
      <c r="GR11" s="375"/>
    </row>
    <row r="12" spans="1:200" s="61" customFormat="1" ht="15.75" customHeight="1" x14ac:dyDescent="0.3">
      <c r="A12" s="280"/>
      <c r="B12" s="281"/>
      <c r="C12" s="282"/>
      <c r="D12" s="282">
        <v>1</v>
      </c>
      <c r="E12" s="4">
        <v>4</v>
      </c>
      <c r="F12" s="281"/>
      <c r="G12" s="282"/>
      <c r="H12" s="282">
        <v>1</v>
      </c>
      <c r="I12" s="4"/>
      <c r="J12" s="283"/>
      <c r="K12" s="284"/>
      <c r="L12" s="280"/>
      <c r="M12" s="4">
        <v>4</v>
      </c>
      <c r="N12" s="62" t="s">
        <v>192</v>
      </c>
      <c r="O12" s="62" t="s">
        <v>448</v>
      </c>
      <c r="P12" s="62" t="s">
        <v>448</v>
      </c>
      <c r="Q12" s="60">
        <f t="shared" si="23"/>
        <v>0</v>
      </c>
      <c r="R12" s="60">
        <f t="shared" si="24"/>
        <v>1117.8</v>
      </c>
      <c r="S12" s="60">
        <f t="shared" si="25"/>
        <v>0</v>
      </c>
      <c r="T12" s="60">
        <v>1</v>
      </c>
      <c r="U12" s="60"/>
      <c r="V12" s="64">
        <f t="shared" si="35"/>
        <v>1117.8</v>
      </c>
      <c r="W12" s="64"/>
      <c r="X12" s="65">
        <v>1117.8</v>
      </c>
      <c r="Y12" s="64"/>
      <c r="Z12" s="73"/>
      <c r="AA12" s="64">
        <f t="shared" si="36"/>
        <v>1117.8</v>
      </c>
      <c r="AB12" s="64"/>
      <c r="AC12" s="65">
        <v>1117.8</v>
      </c>
      <c r="AD12" s="64"/>
      <c r="AE12" s="73"/>
      <c r="AF12" s="64">
        <f t="shared" si="37"/>
        <v>1117.8</v>
      </c>
      <c r="AG12" s="64"/>
      <c r="AH12" s="65">
        <v>1117.8</v>
      </c>
      <c r="AI12" s="64"/>
      <c r="AJ12" s="73"/>
      <c r="AK12" s="64">
        <f t="shared" si="38"/>
        <v>486</v>
      </c>
      <c r="AL12" s="64"/>
      <c r="AM12" s="65">
        <v>486</v>
      </c>
      <c r="AN12" s="64"/>
      <c r="AO12" s="73"/>
      <c r="AP12" s="64" t="s">
        <v>353</v>
      </c>
      <c r="AQ12" s="64">
        <f t="shared" si="39"/>
        <v>1117.8</v>
      </c>
      <c r="AR12" s="64"/>
      <c r="AS12" s="65">
        <v>1117.8</v>
      </c>
      <c r="AT12" s="64"/>
      <c r="AU12" s="73"/>
      <c r="AV12" s="64">
        <f t="shared" si="9"/>
        <v>0</v>
      </c>
      <c r="AW12" s="64">
        <f t="shared" si="10"/>
        <v>0</v>
      </c>
      <c r="AX12" s="64">
        <f t="shared" si="11"/>
        <v>0</v>
      </c>
      <c r="AY12" s="64">
        <f t="shared" si="12"/>
        <v>0</v>
      </c>
      <c r="AZ12" s="64" t="e">
        <f>#REF!-AU12</f>
        <v>#REF!</v>
      </c>
      <c r="BA12" s="64">
        <f t="shared" si="40"/>
        <v>1117.8</v>
      </c>
      <c r="BB12" s="64"/>
      <c r="BC12" s="65">
        <v>1117.8</v>
      </c>
      <c r="BD12" s="64"/>
      <c r="BE12" s="73"/>
      <c r="BF12" s="64">
        <f t="shared" si="41"/>
        <v>0</v>
      </c>
      <c r="BG12" s="64"/>
      <c r="BH12" s="65"/>
      <c r="BI12" s="64"/>
      <c r="BJ12" s="73"/>
      <c r="BK12" s="64">
        <f t="shared" si="42"/>
        <v>1117.8</v>
      </c>
      <c r="BL12" s="64"/>
      <c r="BM12" s="65">
        <v>1117.8</v>
      </c>
      <c r="BN12" s="64"/>
      <c r="BO12" s="74"/>
      <c r="BP12" s="64">
        <f t="shared" si="43"/>
        <v>0</v>
      </c>
      <c r="BQ12" s="64"/>
      <c r="BR12" s="74"/>
      <c r="BS12" s="64"/>
      <c r="BT12" s="73"/>
      <c r="BU12" s="64">
        <f t="shared" si="44"/>
        <v>0</v>
      </c>
      <c r="BV12" s="25"/>
      <c r="BW12" s="25"/>
      <c r="BX12" s="25"/>
      <c r="BY12" s="64"/>
      <c r="BZ12" s="60">
        <f t="shared" si="45"/>
        <v>0</v>
      </c>
      <c r="CA12" s="64">
        <f t="shared" si="13"/>
        <v>0</v>
      </c>
      <c r="CB12" s="64">
        <f t="shared" si="14"/>
        <v>0</v>
      </c>
      <c r="CC12" s="64">
        <f t="shared" si="15"/>
        <v>0</v>
      </c>
      <c r="CD12" s="64">
        <f t="shared" si="16"/>
        <v>0</v>
      </c>
      <c r="CE12" s="64">
        <f t="shared" si="46"/>
        <v>0</v>
      </c>
      <c r="CF12" s="64">
        <f t="shared" si="17"/>
        <v>1117.8</v>
      </c>
      <c r="CG12" s="64">
        <f t="shared" si="18"/>
        <v>0</v>
      </c>
      <c r="CH12" s="64">
        <f t="shared" si="19"/>
        <v>1117.8</v>
      </c>
      <c r="CI12" s="64">
        <f t="shared" si="20"/>
        <v>0</v>
      </c>
      <c r="CJ12" s="64">
        <f t="shared" si="47"/>
        <v>0</v>
      </c>
      <c r="CK12" s="66"/>
      <c r="CL12" s="67">
        <f>BA12+BA13+BA15+BA16+BA18+BA19</f>
        <v>5561.4</v>
      </c>
      <c r="CM12" s="67">
        <f>CL12-BF15</f>
        <v>5561.4</v>
      </c>
      <c r="CN12" s="64">
        <f t="shared" si="48"/>
        <v>0</v>
      </c>
      <c r="CO12" s="64"/>
      <c r="CP12" s="65"/>
      <c r="CQ12" s="64"/>
      <c r="CR12" s="73"/>
      <c r="CS12" s="64">
        <f t="shared" si="49"/>
        <v>0</v>
      </c>
      <c r="CT12" s="64"/>
      <c r="CU12" s="65"/>
      <c r="CV12" s="64"/>
      <c r="CW12" s="73"/>
      <c r="CX12" s="64">
        <f t="shared" si="50"/>
        <v>0</v>
      </c>
      <c r="CY12" s="64">
        <f t="shared" si="57"/>
        <v>0</v>
      </c>
      <c r="CZ12" s="64">
        <f t="shared" si="51"/>
        <v>0</v>
      </c>
      <c r="DA12" s="64">
        <f t="shared" si="51"/>
        <v>0</v>
      </c>
      <c r="DB12" s="64">
        <f t="shared" si="51"/>
        <v>0</v>
      </c>
      <c r="DC12" s="64"/>
      <c r="DD12" s="64"/>
      <c r="DE12" s="64"/>
      <c r="DF12" s="64">
        <f t="shared" si="52"/>
        <v>1117.8</v>
      </c>
      <c r="DH12" s="64">
        <f t="shared" si="53"/>
        <v>1117.8</v>
      </c>
      <c r="DI12" s="64">
        <f t="shared" si="54"/>
        <v>0</v>
      </c>
      <c r="DK12" s="64">
        <f>DI12+DI13+DI15+DI16+DI18+DI19</f>
        <v>4437.0110000000004</v>
      </c>
      <c r="DL12" s="64">
        <f>DF12+DF13+DF15+DF16+DF18+DF19</f>
        <v>1124.3889999999999</v>
      </c>
      <c r="DN12" s="64">
        <f>CM12-DK12</f>
        <v>1124.3889999999992</v>
      </c>
      <c r="DQ12" s="64">
        <f t="shared" si="55"/>
        <v>0</v>
      </c>
      <c r="DR12" s="64"/>
      <c r="DS12" s="74"/>
      <c r="DT12" s="64"/>
      <c r="DU12" s="73"/>
      <c r="DV12" s="64">
        <f t="shared" si="56"/>
        <v>0</v>
      </c>
      <c r="DW12" s="64"/>
      <c r="DX12" s="64"/>
      <c r="DY12" s="64"/>
      <c r="DZ12" s="64"/>
      <c r="EA12" s="375"/>
      <c r="EB12" s="375"/>
      <c r="EC12" s="375"/>
      <c r="ED12" s="375"/>
      <c r="EE12" s="375"/>
      <c r="EF12" s="375"/>
      <c r="EG12" s="375"/>
      <c r="EH12" s="375"/>
      <c r="EI12" s="375"/>
      <c r="EJ12" s="375"/>
      <c r="EK12" s="375"/>
      <c r="EL12" s="375"/>
      <c r="EM12" s="375"/>
      <c r="EN12" s="375"/>
      <c r="EO12" s="375"/>
      <c r="EP12" s="375"/>
      <c r="EQ12" s="375"/>
      <c r="ER12" s="375"/>
      <c r="ES12" s="375"/>
      <c r="ET12" s="375"/>
      <c r="EU12" s="375"/>
      <c r="EV12" s="375"/>
      <c r="EW12" s="375"/>
      <c r="EX12" s="375"/>
      <c r="EY12" s="375"/>
      <c r="EZ12" s="375"/>
      <c r="FA12" s="375"/>
      <c r="FB12" s="375"/>
      <c r="FC12" s="375"/>
      <c r="FD12" s="375"/>
      <c r="FE12" s="375"/>
      <c r="FF12" s="375"/>
      <c r="FG12" s="375"/>
      <c r="FH12" s="375"/>
      <c r="FI12" s="375"/>
      <c r="FJ12" s="375"/>
      <c r="FK12" s="375"/>
      <c r="FL12" s="375"/>
      <c r="FM12" s="375"/>
      <c r="FN12" s="375"/>
      <c r="FO12" s="375"/>
      <c r="FP12" s="375"/>
      <c r="FQ12" s="375"/>
      <c r="FR12" s="375"/>
      <c r="FS12" s="375"/>
      <c r="FT12" s="375"/>
      <c r="FU12" s="375"/>
      <c r="FV12" s="375"/>
      <c r="FW12" s="375"/>
      <c r="FX12" s="375"/>
      <c r="FY12" s="375"/>
      <c r="FZ12" s="375"/>
      <c r="GA12" s="375"/>
      <c r="GB12" s="375"/>
      <c r="GC12" s="375"/>
      <c r="GD12" s="375"/>
      <c r="GE12" s="375"/>
      <c r="GF12" s="375"/>
      <c r="GG12" s="375"/>
      <c r="GH12" s="375"/>
      <c r="GI12" s="375"/>
      <c r="GJ12" s="375"/>
      <c r="GK12" s="375"/>
      <c r="GL12" s="375"/>
      <c r="GM12" s="375"/>
      <c r="GN12" s="375"/>
      <c r="GO12" s="375"/>
      <c r="GP12" s="375"/>
      <c r="GQ12" s="375"/>
      <c r="GR12" s="375"/>
    </row>
    <row r="13" spans="1:200" s="61" customFormat="1" ht="15.75" customHeight="1" x14ac:dyDescent="0.3">
      <c r="A13" s="280"/>
      <c r="B13" s="281"/>
      <c r="C13" s="282"/>
      <c r="D13" s="282">
        <v>1</v>
      </c>
      <c r="E13" s="4">
        <v>5</v>
      </c>
      <c r="F13" s="281"/>
      <c r="G13" s="282"/>
      <c r="H13" s="282">
        <v>1</v>
      </c>
      <c r="I13" s="4"/>
      <c r="J13" s="283"/>
      <c r="K13" s="284"/>
      <c r="L13" s="280"/>
      <c r="M13" s="4">
        <v>5</v>
      </c>
      <c r="N13" s="62" t="s">
        <v>70</v>
      </c>
      <c r="O13" s="62" t="s">
        <v>448</v>
      </c>
      <c r="P13" s="62" t="s">
        <v>448</v>
      </c>
      <c r="Q13" s="60">
        <f t="shared" si="23"/>
        <v>0</v>
      </c>
      <c r="R13" s="60">
        <f t="shared" si="24"/>
        <v>0</v>
      </c>
      <c r="S13" s="60">
        <f t="shared" si="25"/>
        <v>0</v>
      </c>
      <c r="T13" s="60">
        <v>1</v>
      </c>
      <c r="U13" s="60"/>
      <c r="V13" s="64">
        <f t="shared" si="35"/>
        <v>473.8</v>
      </c>
      <c r="W13" s="64"/>
      <c r="X13" s="65">
        <v>473.8</v>
      </c>
      <c r="Y13" s="64"/>
      <c r="Z13" s="73"/>
      <c r="AA13" s="64">
        <f t="shared" si="36"/>
        <v>473.8</v>
      </c>
      <c r="AB13" s="64"/>
      <c r="AC13" s="65">
        <v>473.8</v>
      </c>
      <c r="AD13" s="64"/>
      <c r="AE13" s="73"/>
      <c r="AF13" s="64">
        <f t="shared" si="37"/>
        <v>473.8</v>
      </c>
      <c r="AG13" s="64"/>
      <c r="AH13" s="65">
        <v>473.8</v>
      </c>
      <c r="AI13" s="64"/>
      <c r="AJ13" s="73"/>
      <c r="AK13" s="64">
        <f t="shared" si="38"/>
        <v>206</v>
      </c>
      <c r="AL13" s="64"/>
      <c r="AM13" s="65">
        <v>206</v>
      </c>
      <c r="AN13" s="64"/>
      <c r="AO13" s="73"/>
      <c r="AP13" s="64" t="s">
        <v>341</v>
      </c>
      <c r="AQ13" s="64">
        <f t="shared" si="39"/>
        <v>473.8</v>
      </c>
      <c r="AR13" s="64"/>
      <c r="AS13" s="65">
        <v>473.8</v>
      </c>
      <c r="AT13" s="64"/>
      <c r="AU13" s="73"/>
      <c r="AV13" s="64">
        <f t="shared" si="9"/>
        <v>0</v>
      </c>
      <c r="AW13" s="64">
        <f t="shared" si="10"/>
        <v>0</v>
      </c>
      <c r="AX13" s="64">
        <f t="shared" si="11"/>
        <v>0</v>
      </c>
      <c r="AY13" s="64">
        <f t="shared" si="12"/>
        <v>0</v>
      </c>
      <c r="AZ13" s="64" t="e">
        <f>#REF!-AU13</f>
        <v>#REF!</v>
      </c>
      <c r="BA13" s="64">
        <f t="shared" si="40"/>
        <v>473.8</v>
      </c>
      <c r="BB13" s="64"/>
      <c r="BC13" s="65">
        <v>473.8</v>
      </c>
      <c r="BD13" s="64"/>
      <c r="BE13" s="73"/>
      <c r="BF13" s="64">
        <f t="shared" si="41"/>
        <v>0</v>
      </c>
      <c r="BG13" s="64"/>
      <c r="BH13" s="65"/>
      <c r="BI13" s="64"/>
      <c r="BJ13" s="73"/>
      <c r="BK13" s="64">
        <f t="shared" si="42"/>
        <v>473.8</v>
      </c>
      <c r="BL13" s="64"/>
      <c r="BM13" s="65">
        <v>473.8</v>
      </c>
      <c r="BN13" s="64"/>
      <c r="BO13" s="74"/>
      <c r="BP13" s="64">
        <f t="shared" si="43"/>
        <v>473.8</v>
      </c>
      <c r="BQ13" s="64"/>
      <c r="BR13" s="74">
        <v>473.8</v>
      </c>
      <c r="BS13" s="64"/>
      <c r="BT13" s="73"/>
      <c r="BU13" s="64">
        <f t="shared" si="44"/>
        <v>262.05500000000001</v>
      </c>
      <c r="BV13" s="25"/>
      <c r="BW13" s="25">
        <v>262.05500000000001</v>
      </c>
      <c r="BX13" s="25"/>
      <c r="BY13" s="64"/>
      <c r="BZ13" s="60">
        <f t="shared" si="45"/>
        <v>735.85500000000002</v>
      </c>
      <c r="CA13" s="64">
        <f t="shared" si="13"/>
        <v>735.85500000000002</v>
      </c>
      <c r="CB13" s="64">
        <f t="shared" si="14"/>
        <v>0</v>
      </c>
      <c r="CC13" s="64">
        <f t="shared" si="15"/>
        <v>735.85500000000002</v>
      </c>
      <c r="CD13" s="64">
        <f t="shared" si="16"/>
        <v>0</v>
      </c>
      <c r="CE13" s="64">
        <f t="shared" si="46"/>
        <v>0</v>
      </c>
      <c r="CF13" s="64">
        <f t="shared" si="17"/>
        <v>0</v>
      </c>
      <c r="CG13" s="64">
        <f t="shared" si="18"/>
        <v>0</v>
      </c>
      <c r="CH13" s="64">
        <f t="shared" si="19"/>
        <v>0</v>
      </c>
      <c r="CI13" s="64">
        <f t="shared" si="20"/>
        <v>0</v>
      </c>
      <c r="CJ13" s="64">
        <f t="shared" si="47"/>
        <v>0</v>
      </c>
      <c r="CK13" s="66"/>
      <c r="CL13" s="67"/>
      <c r="CM13" s="67"/>
      <c r="CN13" s="64">
        <f t="shared" si="48"/>
        <v>0</v>
      </c>
      <c r="CO13" s="64"/>
      <c r="CP13" s="65"/>
      <c r="CQ13" s="64"/>
      <c r="CR13" s="73"/>
      <c r="CS13" s="64">
        <f t="shared" si="49"/>
        <v>0</v>
      </c>
      <c r="CT13" s="64"/>
      <c r="CU13" s="65"/>
      <c r="CV13" s="64"/>
      <c r="CW13" s="73"/>
      <c r="CX13" s="64">
        <f t="shared" si="50"/>
        <v>0</v>
      </c>
      <c r="CY13" s="64">
        <f t="shared" si="57"/>
        <v>0</v>
      </c>
      <c r="CZ13" s="64">
        <f t="shared" si="51"/>
        <v>0</v>
      </c>
      <c r="DA13" s="64">
        <f t="shared" si="51"/>
        <v>0</v>
      </c>
      <c r="DB13" s="64">
        <f t="shared" si="51"/>
        <v>0</v>
      </c>
      <c r="DC13" s="64"/>
      <c r="DD13" s="64"/>
      <c r="DE13" s="64"/>
      <c r="DF13" s="64">
        <f t="shared" si="52"/>
        <v>0</v>
      </c>
      <c r="DH13" s="64">
        <f t="shared" si="53"/>
        <v>473.8</v>
      </c>
      <c r="DI13" s="64">
        <f t="shared" si="54"/>
        <v>473.8</v>
      </c>
      <c r="DK13" s="64"/>
      <c r="DL13" s="64"/>
      <c r="DN13" s="64"/>
      <c r="DQ13" s="64">
        <f t="shared" si="55"/>
        <v>473.8</v>
      </c>
      <c r="DR13" s="64"/>
      <c r="DS13" s="74">
        <v>473.8</v>
      </c>
      <c r="DT13" s="64"/>
      <c r="DU13" s="73"/>
      <c r="DV13" s="64">
        <f t="shared" si="56"/>
        <v>0</v>
      </c>
      <c r="DW13" s="64"/>
      <c r="DX13" s="64"/>
      <c r="DY13" s="64"/>
      <c r="DZ13" s="64"/>
      <c r="EA13" s="375"/>
      <c r="EB13" s="375"/>
      <c r="EC13" s="375"/>
      <c r="ED13" s="375"/>
      <c r="EE13" s="375"/>
      <c r="EF13" s="375"/>
      <c r="EG13" s="375"/>
      <c r="EH13" s="375"/>
      <c r="EI13" s="375"/>
      <c r="EJ13" s="375"/>
      <c r="EK13" s="375"/>
      <c r="EL13" s="375"/>
      <c r="EM13" s="375"/>
      <c r="EN13" s="375"/>
      <c r="EO13" s="375"/>
      <c r="EP13" s="375"/>
      <c r="EQ13" s="375"/>
      <c r="ER13" s="375"/>
      <c r="ES13" s="375"/>
      <c r="ET13" s="375"/>
      <c r="EU13" s="375"/>
      <c r="EV13" s="375"/>
      <c r="EW13" s="375"/>
      <c r="EX13" s="375"/>
      <c r="EY13" s="375"/>
      <c r="EZ13" s="375"/>
      <c r="FA13" s="375"/>
      <c r="FB13" s="375"/>
      <c r="FC13" s="375"/>
      <c r="FD13" s="375"/>
      <c r="FE13" s="375"/>
      <c r="FF13" s="375"/>
      <c r="FG13" s="375"/>
      <c r="FH13" s="375"/>
      <c r="FI13" s="375"/>
      <c r="FJ13" s="375"/>
      <c r="FK13" s="375"/>
      <c r="FL13" s="375"/>
      <c r="FM13" s="375"/>
      <c r="FN13" s="375"/>
      <c r="FO13" s="375"/>
      <c r="FP13" s="375"/>
      <c r="FQ13" s="375"/>
      <c r="FR13" s="375"/>
      <c r="FS13" s="375"/>
      <c r="FT13" s="375"/>
      <c r="FU13" s="375"/>
      <c r="FV13" s="375"/>
      <c r="FW13" s="375"/>
      <c r="FX13" s="375"/>
      <c r="FY13" s="375"/>
      <c r="FZ13" s="375"/>
      <c r="GA13" s="375"/>
      <c r="GB13" s="375"/>
      <c r="GC13" s="375"/>
      <c r="GD13" s="375"/>
      <c r="GE13" s="375"/>
      <c r="GF13" s="375"/>
      <c r="GG13" s="375"/>
      <c r="GH13" s="375"/>
      <c r="GI13" s="375"/>
      <c r="GJ13" s="375"/>
      <c r="GK13" s="375"/>
      <c r="GL13" s="375"/>
      <c r="GM13" s="375"/>
      <c r="GN13" s="375"/>
      <c r="GO13" s="375"/>
      <c r="GP13" s="375"/>
      <c r="GQ13" s="375"/>
      <c r="GR13" s="375"/>
    </row>
    <row r="14" spans="1:200" s="61" customFormat="1" ht="15.75" customHeight="1" x14ac:dyDescent="0.3">
      <c r="A14" s="280"/>
      <c r="B14" s="281"/>
      <c r="C14" s="282">
        <v>1</v>
      </c>
      <c r="D14" s="282"/>
      <c r="E14" s="4">
        <v>6</v>
      </c>
      <c r="F14" s="281"/>
      <c r="G14" s="282">
        <v>1</v>
      </c>
      <c r="H14" s="282">
        <v>1</v>
      </c>
      <c r="I14" s="4"/>
      <c r="J14" s="283"/>
      <c r="K14" s="284"/>
      <c r="L14" s="280"/>
      <c r="M14" s="4">
        <v>6</v>
      </c>
      <c r="N14" s="62" t="s">
        <v>193</v>
      </c>
      <c r="O14" s="62" t="s">
        <v>448</v>
      </c>
      <c r="P14" s="62" t="s">
        <v>450</v>
      </c>
      <c r="Q14" s="60">
        <f t="shared" si="23"/>
        <v>0</v>
      </c>
      <c r="R14" s="60">
        <f t="shared" si="24"/>
        <v>246.37599999999998</v>
      </c>
      <c r="S14" s="60">
        <f t="shared" si="25"/>
        <v>314.11000000000013</v>
      </c>
      <c r="T14" s="60">
        <v>1</v>
      </c>
      <c r="U14" s="60">
        <v>3</v>
      </c>
      <c r="V14" s="64">
        <f t="shared" si="35"/>
        <v>4532.55</v>
      </c>
      <c r="W14" s="64"/>
      <c r="X14" s="65">
        <v>1895.2</v>
      </c>
      <c r="Y14" s="64">
        <v>2637.35</v>
      </c>
      <c r="Z14" s="73"/>
      <c r="AA14" s="64">
        <f t="shared" si="36"/>
        <v>4532.6000000000004</v>
      </c>
      <c r="AB14" s="64"/>
      <c r="AC14" s="65">
        <v>1895.2</v>
      </c>
      <c r="AD14" s="64">
        <v>2637.4</v>
      </c>
      <c r="AE14" s="73"/>
      <c r="AF14" s="64">
        <f t="shared" si="37"/>
        <v>4532.6000000000004</v>
      </c>
      <c r="AG14" s="64"/>
      <c r="AH14" s="65">
        <v>1895.2</v>
      </c>
      <c r="AI14" s="64">
        <v>2637.4</v>
      </c>
      <c r="AJ14" s="73"/>
      <c r="AK14" s="64">
        <f t="shared" si="38"/>
        <v>3461.4</v>
      </c>
      <c r="AL14" s="64"/>
      <c r="AM14" s="65">
        <v>824</v>
      </c>
      <c r="AN14" s="64">
        <v>2637.4</v>
      </c>
      <c r="AO14" s="73"/>
      <c r="AP14" s="64" t="s">
        <v>477</v>
      </c>
      <c r="AQ14" s="64">
        <f t="shared" si="39"/>
        <v>4532.55</v>
      </c>
      <c r="AR14" s="64"/>
      <c r="AS14" s="65">
        <f>824+1071.2</f>
        <v>1895.2</v>
      </c>
      <c r="AT14" s="64">
        <v>2637.35</v>
      </c>
      <c r="AU14" s="73"/>
      <c r="AV14" s="64">
        <f t="shared" si="9"/>
        <v>0</v>
      </c>
      <c r="AW14" s="64">
        <f t="shared" si="10"/>
        <v>0</v>
      </c>
      <c r="AX14" s="64">
        <f t="shared" si="11"/>
        <v>0</v>
      </c>
      <c r="AY14" s="64">
        <f t="shared" si="12"/>
        <v>0</v>
      </c>
      <c r="AZ14" s="64" t="e">
        <f>#REF!-AU14</f>
        <v>#REF!</v>
      </c>
      <c r="BA14" s="64">
        <f t="shared" si="40"/>
        <v>4532.55</v>
      </c>
      <c r="BB14" s="64"/>
      <c r="BC14" s="65">
        <f>824+1071.2</f>
        <v>1895.2</v>
      </c>
      <c r="BD14" s="64">
        <v>2637.35</v>
      </c>
      <c r="BE14" s="73"/>
      <c r="BF14" s="64">
        <f t="shared" si="41"/>
        <v>0</v>
      </c>
      <c r="BG14" s="64"/>
      <c r="BH14" s="65"/>
      <c r="BI14" s="64"/>
      <c r="BJ14" s="73"/>
      <c r="BK14" s="64">
        <f t="shared" si="42"/>
        <v>4532.55</v>
      </c>
      <c r="BL14" s="64"/>
      <c r="BM14" s="65">
        <f>824+1071.2</f>
        <v>1895.2</v>
      </c>
      <c r="BN14" s="64">
        <v>2637.35</v>
      </c>
      <c r="BO14" s="74"/>
      <c r="BP14" s="64">
        <f t="shared" si="43"/>
        <v>3972.0639999999999</v>
      </c>
      <c r="BQ14" s="64"/>
      <c r="BR14" s="74">
        <v>1648.8240000000001</v>
      </c>
      <c r="BS14" s="64">
        <v>2323.2399999999998</v>
      </c>
      <c r="BT14" s="73"/>
      <c r="BU14" s="64">
        <f t="shared" si="44"/>
        <v>1326.9733200000001</v>
      </c>
      <c r="BV14" s="75"/>
      <c r="BW14" s="64">
        <v>552.27599999999995</v>
      </c>
      <c r="BX14" s="64">
        <v>774.69731999999999</v>
      </c>
      <c r="BY14" s="64"/>
      <c r="BZ14" s="60">
        <f t="shared" si="45"/>
        <v>5299.0373199999995</v>
      </c>
      <c r="CA14" s="64">
        <f t="shared" si="13"/>
        <v>5299.0373199999995</v>
      </c>
      <c r="CB14" s="64">
        <f t="shared" si="14"/>
        <v>0</v>
      </c>
      <c r="CC14" s="64">
        <f t="shared" si="15"/>
        <v>2201.1</v>
      </c>
      <c r="CD14" s="64">
        <f t="shared" si="16"/>
        <v>3097.93732</v>
      </c>
      <c r="CE14" s="64">
        <f t="shared" si="46"/>
        <v>0</v>
      </c>
      <c r="CF14" s="64">
        <f t="shared" si="17"/>
        <v>560.4860000000001</v>
      </c>
      <c r="CG14" s="64">
        <f t="shared" si="18"/>
        <v>0</v>
      </c>
      <c r="CH14" s="64">
        <f t="shared" si="19"/>
        <v>246.37599999999998</v>
      </c>
      <c r="CI14" s="64">
        <f t="shared" si="20"/>
        <v>314.11000000000013</v>
      </c>
      <c r="CJ14" s="64">
        <f t="shared" si="47"/>
        <v>0</v>
      </c>
      <c r="CK14" s="66"/>
      <c r="CL14" s="67"/>
      <c r="CM14" s="67"/>
      <c r="CN14" s="64">
        <f t="shared" si="48"/>
        <v>0</v>
      </c>
      <c r="CO14" s="64"/>
      <c r="CP14" s="65"/>
      <c r="CQ14" s="64"/>
      <c r="CR14" s="73"/>
      <c r="CS14" s="64">
        <f t="shared" si="49"/>
        <v>0</v>
      </c>
      <c r="CT14" s="64"/>
      <c r="CU14" s="65"/>
      <c r="CV14" s="64"/>
      <c r="CW14" s="73"/>
      <c r="CX14" s="64">
        <f t="shared" si="50"/>
        <v>0</v>
      </c>
      <c r="CY14" s="64">
        <f t="shared" si="57"/>
        <v>0</v>
      </c>
      <c r="CZ14" s="64">
        <f t="shared" si="51"/>
        <v>0</v>
      </c>
      <c r="DA14" s="64">
        <f t="shared" si="51"/>
        <v>0</v>
      </c>
      <c r="DB14" s="64">
        <f t="shared" si="51"/>
        <v>0</v>
      </c>
      <c r="DC14" s="64"/>
      <c r="DD14" s="64"/>
      <c r="DE14" s="64"/>
      <c r="DF14" s="64">
        <f t="shared" si="52"/>
        <v>560.4860000000001</v>
      </c>
      <c r="DH14" s="64">
        <f t="shared" si="53"/>
        <v>4532.55</v>
      </c>
      <c r="DI14" s="64">
        <f t="shared" si="54"/>
        <v>3972.0639999999999</v>
      </c>
      <c r="DK14" s="64"/>
      <c r="DL14" s="64"/>
      <c r="DN14" s="64"/>
      <c r="DQ14" s="64">
        <f t="shared" si="55"/>
        <v>3972.0639999999999</v>
      </c>
      <c r="DR14" s="64"/>
      <c r="DS14" s="74">
        <v>1648.8240000000001</v>
      </c>
      <c r="DT14" s="64">
        <v>2323.2399999999998</v>
      </c>
      <c r="DU14" s="73"/>
      <c r="DV14" s="64">
        <f t="shared" si="56"/>
        <v>774.69731999999999</v>
      </c>
      <c r="DW14" s="64"/>
      <c r="DX14" s="64"/>
      <c r="DY14" s="64">
        <v>774.69731999999999</v>
      </c>
      <c r="DZ14" s="64"/>
      <c r="EA14" s="375"/>
      <c r="EB14" s="375"/>
      <c r="EC14" s="375"/>
      <c r="ED14" s="375"/>
      <c r="EE14" s="375"/>
      <c r="EF14" s="375"/>
      <c r="EG14" s="375"/>
      <c r="EH14" s="375"/>
      <c r="EI14" s="375"/>
      <c r="EJ14" s="375"/>
      <c r="EK14" s="375"/>
      <c r="EL14" s="375"/>
      <c r="EM14" s="375"/>
      <c r="EN14" s="375"/>
      <c r="EO14" s="375"/>
      <c r="EP14" s="375"/>
      <c r="EQ14" s="375"/>
      <c r="ER14" s="375"/>
      <c r="ES14" s="375"/>
      <c r="ET14" s="375"/>
      <c r="EU14" s="375"/>
      <c r="EV14" s="375"/>
      <c r="EW14" s="375"/>
      <c r="EX14" s="375"/>
      <c r="EY14" s="375"/>
      <c r="EZ14" s="375"/>
      <c r="FA14" s="375"/>
      <c r="FB14" s="375"/>
      <c r="FC14" s="375"/>
      <c r="FD14" s="375"/>
      <c r="FE14" s="375"/>
      <c r="FF14" s="375"/>
      <c r="FG14" s="375"/>
      <c r="FH14" s="375"/>
      <c r="FI14" s="375"/>
      <c r="FJ14" s="375"/>
      <c r="FK14" s="375"/>
      <c r="FL14" s="375"/>
      <c r="FM14" s="375"/>
      <c r="FN14" s="375"/>
      <c r="FO14" s="375"/>
      <c r="FP14" s="375"/>
      <c r="FQ14" s="375"/>
      <c r="FR14" s="375"/>
      <c r="FS14" s="375"/>
      <c r="FT14" s="375"/>
      <c r="FU14" s="375"/>
      <c r="FV14" s="375"/>
      <c r="FW14" s="375"/>
      <c r="FX14" s="375"/>
      <c r="FY14" s="375"/>
      <c r="FZ14" s="375"/>
      <c r="GA14" s="375"/>
      <c r="GB14" s="375"/>
      <c r="GC14" s="375"/>
      <c r="GD14" s="375"/>
      <c r="GE14" s="375"/>
      <c r="GF14" s="375"/>
      <c r="GG14" s="375"/>
      <c r="GH14" s="375"/>
      <c r="GI14" s="375"/>
      <c r="GJ14" s="375"/>
      <c r="GK14" s="375"/>
      <c r="GL14" s="375"/>
      <c r="GM14" s="375"/>
      <c r="GN14" s="375"/>
      <c r="GO14" s="375"/>
      <c r="GP14" s="375"/>
      <c r="GQ14" s="375"/>
      <c r="GR14" s="375"/>
    </row>
    <row r="15" spans="1:200" s="61" customFormat="1" ht="15.75" customHeight="1" x14ac:dyDescent="0.3">
      <c r="A15" s="280"/>
      <c r="B15" s="281"/>
      <c r="C15" s="282"/>
      <c r="D15" s="282">
        <v>1</v>
      </c>
      <c r="E15" s="4">
        <v>7</v>
      </c>
      <c r="F15" s="281"/>
      <c r="G15" s="282"/>
      <c r="H15" s="282">
        <v>1</v>
      </c>
      <c r="I15" s="280"/>
      <c r="J15" s="280"/>
      <c r="K15" s="280"/>
      <c r="L15" s="280"/>
      <c r="M15" s="4">
        <v>7</v>
      </c>
      <c r="N15" s="62" t="s">
        <v>194</v>
      </c>
      <c r="O15" s="62" t="s">
        <v>448</v>
      </c>
      <c r="P15" s="62" t="s">
        <v>450</v>
      </c>
      <c r="Q15" s="60">
        <f t="shared" si="23"/>
        <v>0</v>
      </c>
      <c r="R15" s="60">
        <f t="shared" si="24"/>
        <v>0</v>
      </c>
      <c r="S15" s="60">
        <f t="shared" si="25"/>
        <v>0</v>
      </c>
      <c r="T15" s="60">
        <v>1</v>
      </c>
      <c r="U15" s="60">
        <v>1</v>
      </c>
      <c r="V15" s="64">
        <f t="shared" si="35"/>
        <v>1729.6</v>
      </c>
      <c r="W15" s="64"/>
      <c r="X15" s="65">
        <v>1729.6</v>
      </c>
      <c r="Y15" s="64"/>
      <c r="Z15" s="78"/>
      <c r="AA15" s="64">
        <f t="shared" si="36"/>
        <v>1729.6</v>
      </c>
      <c r="AB15" s="64"/>
      <c r="AC15" s="65">
        <v>1729.6</v>
      </c>
      <c r="AD15" s="64"/>
      <c r="AE15" s="78"/>
      <c r="AF15" s="64">
        <f t="shared" si="37"/>
        <v>1729.6</v>
      </c>
      <c r="AG15" s="64"/>
      <c r="AH15" s="65">
        <v>1729.6</v>
      </c>
      <c r="AI15" s="64"/>
      <c r="AJ15" s="78"/>
      <c r="AK15" s="64">
        <f t="shared" si="38"/>
        <v>752</v>
      </c>
      <c r="AL15" s="64"/>
      <c r="AM15" s="65">
        <v>752</v>
      </c>
      <c r="AN15" s="64"/>
      <c r="AP15" s="60" t="s">
        <v>494</v>
      </c>
      <c r="AQ15" s="64">
        <f t="shared" si="39"/>
        <v>1729.6</v>
      </c>
      <c r="AR15" s="64"/>
      <c r="AS15" s="65">
        <v>1729.6</v>
      </c>
      <c r="AT15" s="64"/>
      <c r="AU15" s="64"/>
      <c r="AV15" s="64">
        <f t="shared" si="9"/>
        <v>0</v>
      </c>
      <c r="AW15" s="64">
        <f t="shared" si="10"/>
        <v>0</v>
      </c>
      <c r="AX15" s="64">
        <f t="shared" si="11"/>
        <v>0</v>
      </c>
      <c r="AY15" s="64">
        <f t="shared" si="12"/>
        <v>0</v>
      </c>
      <c r="AZ15" s="64" t="e">
        <f>#REF!-AU15</f>
        <v>#REF!</v>
      </c>
      <c r="BA15" s="64">
        <f t="shared" si="40"/>
        <v>1729.6</v>
      </c>
      <c r="BB15" s="64"/>
      <c r="BC15" s="65">
        <v>1729.6</v>
      </c>
      <c r="BD15" s="64"/>
      <c r="BE15" s="64"/>
      <c r="BF15" s="64">
        <f t="shared" si="41"/>
        <v>0</v>
      </c>
      <c r="BG15" s="64"/>
      <c r="BH15" s="65"/>
      <c r="BI15" s="64"/>
      <c r="BJ15" s="64"/>
      <c r="BK15" s="64">
        <f t="shared" si="42"/>
        <v>1729.6</v>
      </c>
      <c r="BL15" s="64"/>
      <c r="BM15" s="65">
        <v>1729.6</v>
      </c>
      <c r="BN15" s="64"/>
      <c r="BO15" s="64"/>
      <c r="BP15" s="64">
        <f t="shared" si="43"/>
        <v>1729.6</v>
      </c>
      <c r="BQ15" s="64"/>
      <c r="BR15" s="74">
        <v>1729.6</v>
      </c>
      <c r="BS15" s="64"/>
      <c r="BT15" s="64"/>
      <c r="BU15" s="64">
        <f t="shared" si="44"/>
        <v>986.35199999999998</v>
      </c>
      <c r="BV15" s="25"/>
      <c r="BW15" s="64">
        <v>986.35199999999998</v>
      </c>
      <c r="BX15" s="64"/>
      <c r="BY15" s="64"/>
      <c r="BZ15" s="60">
        <f t="shared" si="45"/>
        <v>2715.9519999999998</v>
      </c>
      <c r="CA15" s="64">
        <f t="shared" si="13"/>
        <v>2715.9519999999998</v>
      </c>
      <c r="CB15" s="64">
        <f t="shared" si="14"/>
        <v>0</v>
      </c>
      <c r="CC15" s="64">
        <f t="shared" si="15"/>
        <v>2715.9519999999998</v>
      </c>
      <c r="CD15" s="64">
        <f t="shared" si="16"/>
        <v>0</v>
      </c>
      <c r="CE15" s="64">
        <f t="shared" si="46"/>
        <v>0</v>
      </c>
      <c r="CF15" s="64">
        <f t="shared" si="17"/>
        <v>0</v>
      </c>
      <c r="CG15" s="64">
        <f t="shared" si="18"/>
        <v>0</v>
      </c>
      <c r="CH15" s="64">
        <f t="shared" si="19"/>
        <v>0</v>
      </c>
      <c r="CI15" s="64">
        <f t="shared" si="20"/>
        <v>0</v>
      </c>
      <c r="CJ15" s="64">
        <f t="shared" si="47"/>
        <v>0</v>
      </c>
      <c r="CK15" s="66"/>
      <c r="CL15" s="67"/>
      <c r="CM15" s="67"/>
      <c r="CN15" s="64">
        <f t="shared" si="48"/>
        <v>0</v>
      </c>
      <c r="CO15" s="64"/>
      <c r="CP15" s="65"/>
      <c r="CQ15" s="64"/>
      <c r="CR15" s="64"/>
      <c r="CS15" s="64">
        <f t="shared" si="49"/>
        <v>0</v>
      </c>
      <c r="CT15" s="64"/>
      <c r="CU15" s="65"/>
      <c r="CV15" s="64"/>
      <c r="CW15" s="64"/>
      <c r="CX15" s="64">
        <f t="shared" si="50"/>
        <v>0</v>
      </c>
      <c r="CY15" s="64">
        <f t="shared" si="57"/>
        <v>0</v>
      </c>
      <c r="CZ15" s="64">
        <f t="shared" si="51"/>
        <v>0</v>
      </c>
      <c r="DA15" s="64">
        <f t="shared" si="51"/>
        <v>0</v>
      </c>
      <c r="DB15" s="64">
        <f t="shared" si="51"/>
        <v>0</v>
      </c>
      <c r="DC15" s="64"/>
      <c r="DD15" s="64"/>
      <c r="DE15" s="64"/>
      <c r="DF15" s="64">
        <f t="shared" si="52"/>
        <v>0</v>
      </c>
      <c r="DH15" s="64">
        <f t="shared" si="53"/>
        <v>1729.6</v>
      </c>
      <c r="DI15" s="64">
        <f t="shared" si="54"/>
        <v>1729.6</v>
      </c>
      <c r="DK15" s="64"/>
      <c r="DL15" s="64"/>
      <c r="DN15" s="64"/>
      <c r="DQ15" s="64">
        <f t="shared" si="55"/>
        <v>1729.6</v>
      </c>
      <c r="DR15" s="64"/>
      <c r="DS15" s="74">
        <v>1729.6</v>
      </c>
      <c r="DT15" s="64"/>
      <c r="DU15" s="64"/>
      <c r="DV15" s="64">
        <f t="shared" si="56"/>
        <v>0</v>
      </c>
      <c r="DW15" s="64"/>
      <c r="DX15" s="64"/>
      <c r="DY15" s="64"/>
      <c r="DZ15" s="64"/>
      <c r="EA15" s="375"/>
      <c r="EB15" s="375"/>
      <c r="EC15" s="375"/>
      <c r="ED15" s="375"/>
      <c r="EE15" s="375"/>
      <c r="EF15" s="375"/>
      <c r="EG15" s="375"/>
      <c r="EH15" s="375"/>
      <c r="EI15" s="375"/>
      <c r="EJ15" s="375"/>
      <c r="EK15" s="375"/>
      <c r="EL15" s="375"/>
      <c r="EM15" s="375"/>
      <c r="EN15" s="375"/>
      <c r="EO15" s="375"/>
      <c r="EP15" s="375"/>
      <c r="EQ15" s="375"/>
      <c r="ER15" s="375"/>
      <c r="ES15" s="375"/>
      <c r="ET15" s="375"/>
      <c r="EU15" s="375"/>
      <c r="EV15" s="375"/>
      <c r="EW15" s="375"/>
      <c r="EX15" s="375"/>
      <c r="EY15" s="375"/>
      <c r="EZ15" s="375"/>
      <c r="FA15" s="375"/>
      <c r="FB15" s="375"/>
      <c r="FC15" s="375"/>
      <c r="FD15" s="375"/>
      <c r="FE15" s="375"/>
      <c r="FF15" s="375"/>
      <c r="FG15" s="375"/>
      <c r="FH15" s="375"/>
      <c r="FI15" s="375"/>
      <c r="FJ15" s="375"/>
      <c r="FK15" s="375"/>
      <c r="FL15" s="375"/>
      <c r="FM15" s="375"/>
      <c r="FN15" s="375"/>
      <c r="FO15" s="375"/>
      <c r="FP15" s="375"/>
      <c r="FQ15" s="375"/>
      <c r="FR15" s="375"/>
      <c r="FS15" s="375"/>
      <c r="FT15" s="375"/>
      <c r="FU15" s="375"/>
      <c r="FV15" s="375"/>
      <c r="FW15" s="375"/>
      <c r="FX15" s="375"/>
      <c r="FY15" s="375"/>
      <c r="FZ15" s="375"/>
      <c r="GA15" s="375"/>
      <c r="GB15" s="375"/>
      <c r="GC15" s="375"/>
      <c r="GD15" s="375"/>
      <c r="GE15" s="375"/>
      <c r="GF15" s="375"/>
      <c r="GG15" s="375"/>
      <c r="GH15" s="375"/>
      <c r="GI15" s="375"/>
      <c r="GJ15" s="375"/>
      <c r="GK15" s="375"/>
      <c r="GL15" s="375"/>
      <c r="GM15" s="375"/>
      <c r="GN15" s="375"/>
      <c r="GO15" s="375"/>
      <c r="GP15" s="375"/>
      <c r="GQ15" s="375"/>
      <c r="GR15" s="375"/>
    </row>
    <row r="16" spans="1:200" s="61" customFormat="1" ht="15.75" customHeight="1" x14ac:dyDescent="0.3">
      <c r="A16" s="280"/>
      <c r="B16" s="281"/>
      <c r="C16" s="282"/>
      <c r="D16" s="282">
        <v>1</v>
      </c>
      <c r="E16" s="4">
        <v>8</v>
      </c>
      <c r="F16" s="281"/>
      <c r="G16" s="282"/>
      <c r="H16" s="282">
        <v>1</v>
      </c>
      <c r="I16" s="4"/>
      <c r="J16" s="283"/>
      <c r="K16" s="284"/>
      <c r="L16" s="280"/>
      <c r="M16" s="4">
        <v>8</v>
      </c>
      <c r="N16" s="62" t="s">
        <v>195</v>
      </c>
      <c r="O16" s="62" t="s">
        <v>448</v>
      </c>
      <c r="P16" s="62" t="s">
        <v>448</v>
      </c>
      <c r="Q16" s="60">
        <f t="shared" si="23"/>
        <v>0</v>
      </c>
      <c r="R16" s="60">
        <f t="shared" si="24"/>
        <v>0</v>
      </c>
      <c r="S16" s="60">
        <f t="shared" si="25"/>
        <v>0</v>
      </c>
      <c r="T16" s="60">
        <v>1</v>
      </c>
      <c r="U16" s="60">
        <v>1</v>
      </c>
      <c r="V16" s="64">
        <f t="shared" si="35"/>
        <v>466.9</v>
      </c>
      <c r="W16" s="64"/>
      <c r="X16" s="65">
        <v>466.9</v>
      </c>
      <c r="Y16" s="64"/>
      <c r="Z16" s="73"/>
      <c r="AA16" s="64">
        <f t="shared" si="36"/>
        <v>466.9</v>
      </c>
      <c r="AB16" s="64"/>
      <c r="AC16" s="65">
        <v>466.9</v>
      </c>
      <c r="AD16" s="64"/>
      <c r="AE16" s="73"/>
      <c r="AF16" s="64">
        <f t="shared" si="37"/>
        <v>466.9</v>
      </c>
      <c r="AG16" s="64"/>
      <c r="AH16" s="65">
        <v>466.9</v>
      </c>
      <c r="AI16" s="64"/>
      <c r="AJ16" s="73"/>
      <c r="AK16" s="64">
        <f t="shared" si="38"/>
        <v>203</v>
      </c>
      <c r="AL16" s="64"/>
      <c r="AM16" s="65">
        <v>203</v>
      </c>
      <c r="AN16" s="64"/>
      <c r="AO16" s="73"/>
      <c r="AP16" s="64" t="s">
        <v>358</v>
      </c>
      <c r="AQ16" s="64">
        <f t="shared" si="39"/>
        <v>466.9</v>
      </c>
      <c r="AR16" s="64"/>
      <c r="AS16" s="65">
        <f>203+263.9</f>
        <v>466.9</v>
      </c>
      <c r="AT16" s="64"/>
      <c r="AU16" s="64"/>
      <c r="AV16" s="64">
        <f t="shared" si="9"/>
        <v>0</v>
      </c>
      <c r="AW16" s="64">
        <f t="shared" si="10"/>
        <v>0</v>
      </c>
      <c r="AX16" s="64">
        <f t="shared" si="11"/>
        <v>0</v>
      </c>
      <c r="AY16" s="64">
        <f t="shared" si="12"/>
        <v>0</v>
      </c>
      <c r="AZ16" s="64" t="e">
        <f>#REF!-AU16</f>
        <v>#REF!</v>
      </c>
      <c r="BA16" s="64">
        <f t="shared" si="40"/>
        <v>466.9</v>
      </c>
      <c r="BB16" s="64"/>
      <c r="BC16" s="65">
        <f>203+263.9</f>
        <v>466.9</v>
      </c>
      <c r="BD16" s="64"/>
      <c r="BE16" s="64"/>
      <c r="BF16" s="64">
        <f t="shared" si="41"/>
        <v>0</v>
      </c>
      <c r="BG16" s="64"/>
      <c r="BH16" s="65"/>
      <c r="BI16" s="64"/>
      <c r="BJ16" s="64"/>
      <c r="BK16" s="64">
        <f t="shared" si="42"/>
        <v>466.9</v>
      </c>
      <c r="BL16" s="64"/>
      <c r="BM16" s="65">
        <f>203+263.9</f>
        <v>466.9</v>
      </c>
      <c r="BN16" s="64"/>
      <c r="BO16" s="64"/>
      <c r="BP16" s="64">
        <f t="shared" si="43"/>
        <v>466.9</v>
      </c>
      <c r="BQ16" s="64"/>
      <c r="BR16" s="74">
        <f>206.2+260.7</f>
        <v>466.9</v>
      </c>
      <c r="BS16" s="64"/>
      <c r="BT16" s="64"/>
      <c r="BU16" s="64">
        <f t="shared" si="44"/>
        <v>163.625</v>
      </c>
      <c r="BV16" s="25"/>
      <c r="BW16" s="74">
        <f>72.325+91.3</f>
        <v>163.625</v>
      </c>
      <c r="BX16" s="64"/>
      <c r="BY16" s="64"/>
      <c r="BZ16" s="60">
        <f t="shared" si="45"/>
        <v>630.52499999999998</v>
      </c>
      <c r="CA16" s="64">
        <f t="shared" si="13"/>
        <v>630.52499999999998</v>
      </c>
      <c r="CB16" s="64">
        <f t="shared" si="14"/>
        <v>0</v>
      </c>
      <c r="CC16" s="64">
        <f t="shared" si="15"/>
        <v>630.52499999999998</v>
      </c>
      <c r="CD16" s="64">
        <f t="shared" si="16"/>
        <v>0</v>
      </c>
      <c r="CE16" s="64">
        <f t="shared" si="46"/>
        <v>0</v>
      </c>
      <c r="CF16" s="64">
        <f t="shared" si="17"/>
        <v>0</v>
      </c>
      <c r="CG16" s="64">
        <f t="shared" si="18"/>
        <v>0</v>
      </c>
      <c r="CH16" s="64">
        <f t="shared" si="19"/>
        <v>0</v>
      </c>
      <c r="CI16" s="64">
        <f t="shared" si="20"/>
        <v>0</v>
      </c>
      <c r="CJ16" s="64">
        <f t="shared" si="47"/>
        <v>0</v>
      </c>
      <c r="CK16" s="66"/>
      <c r="CL16" s="67"/>
      <c r="CM16" s="67"/>
      <c r="CN16" s="64">
        <f t="shared" si="48"/>
        <v>0</v>
      </c>
      <c r="CO16" s="64"/>
      <c r="CP16" s="65"/>
      <c r="CQ16" s="64"/>
      <c r="CR16" s="64"/>
      <c r="CS16" s="64">
        <f t="shared" si="49"/>
        <v>0</v>
      </c>
      <c r="CT16" s="64"/>
      <c r="CU16" s="65"/>
      <c r="CV16" s="64"/>
      <c r="CW16" s="64"/>
      <c r="CX16" s="64">
        <f t="shared" si="50"/>
        <v>0</v>
      </c>
      <c r="CY16" s="64">
        <f t="shared" si="57"/>
        <v>0</v>
      </c>
      <c r="CZ16" s="64">
        <f t="shared" si="51"/>
        <v>0</v>
      </c>
      <c r="DA16" s="64">
        <f t="shared" si="51"/>
        <v>0</v>
      </c>
      <c r="DB16" s="64">
        <f t="shared" si="51"/>
        <v>0</v>
      </c>
      <c r="DC16" s="64"/>
      <c r="DD16" s="64"/>
      <c r="DE16" s="64"/>
      <c r="DF16" s="64">
        <f t="shared" si="52"/>
        <v>0</v>
      </c>
      <c r="DH16" s="64">
        <f t="shared" si="53"/>
        <v>466.9</v>
      </c>
      <c r="DI16" s="64">
        <f t="shared" si="54"/>
        <v>466.9</v>
      </c>
      <c r="DK16" s="64"/>
      <c r="DL16" s="64"/>
      <c r="DN16" s="64"/>
      <c r="DQ16" s="64">
        <f t="shared" si="55"/>
        <v>466.9</v>
      </c>
      <c r="DR16" s="64"/>
      <c r="DS16" s="74">
        <f>206.2+260.7</f>
        <v>466.9</v>
      </c>
      <c r="DT16" s="64"/>
      <c r="DU16" s="64"/>
      <c r="DV16" s="64">
        <f t="shared" si="56"/>
        <v>163.625</v>
      </c>
      <c r="DW16" s="64"/>
      <c r="DX16" s="64">
        <v>163.625</v>
      </c>
      <c r="DY16" s="64"/>
      <c r="DZ16" s="64"/>
      <c r="EA16" s="375"/>
      <c r="EB16" s="375"/>
      <c r="EC16" s="375"/>
      <c r="ED16" s="375"/>
      <c r="EE16" s="375"/>
      <c r="EF16" s="375"/>
      <c r="EG16" s="375"/>
      <c r="EH16" s="375"/>
      <c r="EI16" s="375"/>
      <c r="EJ16" s="375"/>
      <c r="EK16" s="375"/>
      <c r="EL16" s="375"/>
      <c r="EM16" s="375"/>
      <c r="EN16" s="375"/>
      <c r="EO16" s="375"/>
      <c r="EP16" s="375"/>
      <c r="EQ16" s="375"/>
      <c r="ER16" s="375"/>
      <c r="ES16" s="375"/>
      <c r="ET16" s="375"/>
      <c r="EU16" s="375"/>
      <c r="EV16" s="375"/>
      <c r="EW16" s="375"/>
      <c r="EX16" s="375"/>
      <c r="EY16" s="375"/>
      <c r="EZ16" s="375"/>
      <c r="FA16" s="375"/>
      <c r="FB16" s="375"/>
      <c r="FC16" s="375"/>
      <c r="FD16" s="375"/>
      <c r="FE16" s="375"/>
      <c r="FF16" s="375"/>
      <c r="FG16" s="375"/>
      <c r="FH16" s="375"/>
      <c r="FI16" s="375"/>
      <c r="FJ16" s="375"/>
      <c r="FK16" s="375"/>
      <c r="FL16" s="375"/>
      <c r="FM16" s="375"/>
      <c r="FN16" s="375"/>
      <c r="FO16" s="375"/>
      <c r="FP16" s="375"/>
      <c r="FQ16" s="375"/>
      <c r="FR16" s="375"/>
      <c r="FS16" s="375"/>
      <c r="FT16" s="375"/>
      <c r="FU16" s="375"/>
      <c r="FV16" s="375"/>
      <c r="FW16" s="375"/>
      <c r="FX16" s="375"/>
      <c r="FY16" s="375"/>
      <c r="FZ16" s="375"/>
      <c r="GA16" s="375"/>
      <c r="GB16" s="375"/>
      <c r="GC16" s="375"/>
      <c r="GD16" s="375"/>
      <c r="GE16" s="375"/>
      <c r="GF16" s="375"/>
      <c r="GG16" s="375"/>
      <c r="GH16" s="375"/>
      <c r="GI16" s="375"/>
      <c r="GJ16" s="375"/>
      <c r="GK16" s="375"/>
      <c r="GL16" s="375"/>
      <c r="GM16" s="375"/>
      <c r="GN16" s="375"/>
      <c r="GO16" s="375"/>
      <c r="GP16" s="375"/>
      <c r="GQ16" s="375"/>
      <c r="GR16" s="375"/>
    </row>
    <row r="17" spans="1:200" s="61" customFormat="1" ht="15.75" customHeight="1" x14ac:dyDescent="0.3">
      <c r="A17" s="280"/>
      <c r="B17" s="281"/>
      <c r="C17" s="282">
        <v>1</v>
      </c>
      <c r="D17" s="282"/>
      <c r="E17" s="4">
        <v>9</v>
      </c>
      <c r="F17" s="281"/>
      <c r="G17" s="282">
        <v>1</v>
      </c>
      <c r="H17" s="282">
        <v>1</v>
      </c>
      <c r="I17" s="4"/>
      <c r="J17" s="283"/>
      <c r="K17" s="284"/>
      <c r="L17" s="280"/>
      <c r="M17" s="4">
        <v>9</v>
      </c>
      <c r="N17" s="62" t="s">
        <v>25</v>
      </c>
      <c r="O17" s="62" t="s">
        <v>450</v>
      </c>
      <c r="P17" s="62" t="s">
        <v>448</v>
      </c>
      <c r="Q17" s="60">
        <f t="shared" si="23"/>
        <v>0</v>
      </c>
      <c r="R17" s="60">
        <f t="shared" si="24"/>
        <v>808.26685999999972</v>
      </c>
      <c r="S17" s="60">
        <f t="shared" si="25"/>
        <v>0</v>
      </c>
      <c r="T17" s="60">
        <v>1</v>
      </c>
      <c r="U17" s="60">
        <v>1</v>
      </c>
      <c r="V17" s="64">
        <f t="shared" si="35"/>
        <v>7601.5</v>
      </c>
      <c r="W17" s="64"/>
      <c r="X17" s="65">
        <v>7601.5</v>
      </c>
      <c r="Y17" s="64"/>
      <c r="Z17" s="73"/>
      <c r="AA17" s="64">
        <f t="shared" si="36"/>
        <v>7601.5</v>
      </c>
      <c r="AB17" s="64"/>
      <c r="AC17" s="65">
        <v>7601.5</v>
      </c>
      <c r="AD17" s="64"/>
      <c r="AE17" s="73"/>
      <c r="AF17" s="64">
        <f t="shared" si="37"/>
        <v>7601.5</v>
      </c>
      <c r="AG17" s="64"/>
      <c r="AH17" s="65">
        <v>7601.5</v>
      </c>
      <c r="AI17" s="64"/>
      <c r="AJ17" s="73"/>
      <c r="AK17" s="64">
        <f t="shared" si="38"/>
        <v>389</v>
      </c>
      <c r="AL17" s="64"/>
      <c r="AM17" s="65">
        <v>389</v>
      </c>
      <c r="AN17" s="64"/>
      <c r="AO17" s="73"/>
      <c r="AP17" s="64" t="s">
        <v>460</v>
      </c>
      <c r="AQ17" s="64">
        <f t="shared" si="39"/>
        <v>7601.5</v>
      </c>
      <c r="AR17" s="64"/>
      <c r="AS17" s="65">
        <v>7601.5</v>
      </c>
      <c r="AT17" s="64"/>
      <c r="AU17" s="73"/>
      <c r="AV17" s="64">
        <f t="shared" si="9"/>
        <v>0</v>
      </c>
      <c r="AW17" s="64">
        <f t="shared" si="10"/>
        <v>0</v>
      </c>
      <c r="AX17" s="64">
        <f t="shared" si="11"/>
        <v>0</v>
      </c>
      <c r="AY17" s="64">
        <f t="shared" si="12"/>
        <v>0</v>
      </c>
      <c r="AZ17" s="64" t="e">
        <f>#REF!-AU17</f>
        <v>#REF!</v>
      </c>
      <c r="BA17" s="64">
        <f t="shared" si="40"/>
        <v>7601.5</v>
      </c>
      <c r="BB17" s="64"/>
      <c r="BC17" s="65">
        <v>7601.5</v>
      </c>
      <c r="BD17" s="64"/>
      <c r="BE17" s="73"/>
      <c r="BF17" s="64">
        <f t="shared" si="41"/>
        <v>0</v>
      </c>
      <c r="BG17" s="64"/>
      <c r="BH17" s="65"/>
      <c r="BI17" s="64"/>
      <c r="BJ17" s="73"/>
      <c r="BK17" s="64">
        <f t="shared" si="42"/>
        <v>7601.5</v>
      </c>
      <c r="BL17" s="64"/>
      <c r="BM17" s="65">
        <v>7601.5</v>
      </c>
      <c r="BN17" s="64"/>
      <c r="BO17" s="74"/>
      <c r="BP17" s="64">
        <f t="shared" si="43"/>
        <v>6793.2331400000003</v>
      </c>
      <c r="BQ17" s="64"/>
      <c r="BR17" s="74">
        <f>6226.14914+567.084</f>
        <v>6793.2331400000003</v>
      </c>
      <c r="BS17" s="64"/>
      <c r="BT17" s="73"/>
      <c r="BU17" s="64">
        <f t="shared" si="44"/>
        <v>2264.5590699999998</v>
      </c>
      <c r="BV17" s="75"/>
      <c r="BW17" s="64">
        <f>2075.53107+189.028</f>
        <v>2264.5590699999998</v>
      </c>
      <c r="BX17" s="64"/>
      <c r="BY17" s="64"/>
      <c r="BZ17" s="60">
        <f t="shared" si="45"/>
        <v>9057.7922099999996</v>
      </c>
      <c r="CA17" s="64">
        <f t="shared" si="13"/>
        <v>9057.7922099999996</v>
      </c>
      <c r="CB17" s="64">
        <f t="shared" si="14"/>
        <v>0</v>
      </c>
      <c r="CC17" s="64">
        <f t="shared" si="15"/>
        <v>9057.7922099999996</v>
      </c>
      <c r="CD17" s="64">
        <f t="shared" si="16"/>
        <v>0</v>
      </c>
      <c r="CE17" s="64">
        <f t="shared" si="46"/>
        <v>0</v>
      </c>
      <c r="CF17" s="64">
        <f t="shared" si="17"/>
        <v>808.26685999999972</v>
      </c>
      <c r="CG17" s="64">
        <f t="shared" si="18"/>
        <v>0</v>
      </c>
      <c r="CH17" s="64">
        <f t="shared" si="19"/>
        <v>808.26685999999972</v>
      </c>
      <c r="CI17" s="64">
        <f t="shared" si="20"/>
        <v>0</v>
      </c>
      <c r="CJ17" s="64">
        <f t="shared" si="47"/>
        <v>0</v>
      </c>
      <c r="CK17" s="66"/>
      <c r="CL17" s="67"/>
      <c r="CM17" s="67"/>
      <c r="CN17" s="64">
        <f t="shared" si="48"/>
        <v>0</v>
      </c>
      <c r="CO17" s="64"/>
      <c r="CP17" s="65"/>
      <c r="CQ17" s="64"/>
      <c r="CR17" s="73"/>
      <c r="CS17" s="64">
        <f t="shared" si="49"/>
        <v>0</v>
      </c>
      <c r="CT17" s="64"/>
      <c r="CU17" s="65"/>
      <c r="CV17" s="64"/>
      <c r="CW17" s="73"/>
      <c r="CX17" s="64">
        <f t="shared" si="50"/>
        <v>0</v>
      </c>
      <c r="CY17" s="64">
        <f t="shared" si="57"/>
        <v>0</v>
      </c>
      <c r="CZ17" s="64">
        <f t="shared" si="51"/>
        <v>0</v>
      </c>
      <c r="DA17" s="64">
        <f t="shared" si="51"/>
        <v>0</v>
      </c>
      <c r="DB17" s="64">
        <f t="shared" si="51"/>
        <v>0</v>
      </c>
      <c r="DC17" s="64"/>
      <c r="DD17" s="64"/>
      <c r="DE17" s="64"/>
      <c r="DF17" s="64">
        <f t="shared" si="52"/>
        <v>808.26685999999972</v>
      </c>
      <c r="DH17" s="64">
        <f t="shared" si="53"/>
        <v>7601.5</v>
      </c>
      <c r="DI17" s="64">
        <f t="shared" si="54"/>
        <v>6793.2331400000003</v>
      </c>
      <c r="DK17" s="64"/>
      <c r="DL17" s="64"/>
      <c r="DN17" s="64"/>
      <c r="DQ17" s="64">
        <f t="shared" si="55"/>
        <v>6793.2331400000003</v>
      </c>
      <c r="DR17" s="64"/>
      <c r="DS17" s="74">
        <f>6226.14914+567.084</f>
        <v>6793.2331400000003</v>
      </c>
      <c r="DT17" s="64"/>
      <c r="DU17" s="73"/>
      <c r="DV17" s="64">
        <f t="shared" si="56"/>
        <v>2264.5590699999998</v>
      </c>
      <c r="DW17" s="64"/>
      <c r="DX17" s="64">
        <v>2264.5590699999998</v>
      </c>
      <c r="DY17" s="64"/>
      <c r="DZ17" s="64"/>
      <c r="EA17" s="375"/>
      <c r="EB17" s="375"/>
      <c r="EC17" s="375"/>
      <c r="ED17" s="375"/>
      <c r="EE17" s="375"/>
      <c r="EF17" s="375"/>
      <c r="EG17" s="375"/>
      <c r="EH17" s="375"/>
      <c r="EI17" s="375"/>
      <c r="EJ17" s="375"/>
      <c r="EK17" s="375"/>
      <c r="EL17" s="375"/>
      <c r="EM17" s="375"/>
      <c r="EN17" s="375"/>
      <c r="EO17" s="375"/>
      <c r="EP17" s="375"/>
      <c r="EQ17" s="375"/>
      <c r="ER17" s="375"/>
      <c r="ES17" s="375"/>
      <c r="ET17" s="375"/>
      <c r="EU17" s="375"/>
      <c r="EV17" s="375"/>
      <c r="EW17" s="375"/>
      <c r="EX17" s="375"/>
      <c r="EY17" s="375"/>
      <c r="EZ17" s="375"/>
      <c r="FA17" s="375"/>
      <c r="FB17" s="375"/>
      <c r="FC17" s="375"/>
      <c r="FD17" s="375"/>
      <c r="FE17" s="375"/>
      <c r="FF17" s="375"/>
      <c r="FG17" s="375"/>
      <c r="FH17" s="375"/>
      <c r="FI17" s="375"/>
      <c r="FJ17" s="375"/>
      <c r="FK17" s="375"/>
      <c r="FL17" s="375"/>
      <c r="FM17" s="375"/>
      <c r="FN17" s="375"/>
      <c r="FO17" s="375"/>
      <c r="FP17" s="375"/>
      <c r="FQ17" s="375"/>
      <c r="FR17" s="375"/>
      <c r="FS17" s="375"/>
      <c r="FT17" s="375"/>
      <c r="FU17" s="375"/>
      <c r="FV17" s="375"/>
      <c r="FW17" s="375"/>
      <c r="FX17" s="375"/>
      <c r="FY17" s="375"/>
      <c r="FZ17" s="375"/>
      <c r="GA17" s="375"/>
      <c r="GB17" s="375"/>
      <c r="GC17" s="375"/>
      <c r="GD17" s="375"/>
      <c r="GE17" s="375"/>
      <c r="GF17" s="375"/>
      <c r="GG17" s="375"/>
      <c r="GH17" s="375"/>
      <c r="GI17" s="375"/>
      <c r="GJ17" s="375"/>
      <c r="GK17" s="375"/>
      <c r="GL17" s="375"/>
      <c r="GM17" s="375"/>
      <c r="GN17" s="375"/>
      <c r="GO17" s="375"/>
      <c r="GP17" s="375"/>
      <c r="GQ17" s="375"/>
      <c r="GR17" s="375"/>
    </row>
    <row r="18" spans="1:200" s="61" customFormat="1" ht="15.75" customHeight="1" x14ac:dyDescent="0.3">
      <c r="A18" s="280"/>
      <c r="B18" s="281"/>
      <c r="C18" s="282"/>
      <c r="D18" s="282">
        <v>1</v>
      </c>
      <c r="E18" s="4">
        <v>10</v>
      </c>
      <c r="F18" s="281"/>
      <c r="G18" s="282"/>
      <c r="H18" s="282">
        <v>1</v>
      </c>
      <c r="I18" s="4"/>
      <c r="J18" s="283"/>
      <c r="K18" s="284"/>
      <c r="L18" s="280"/>
      <c r="M18" s="4">
        <v>10</v>
      </c>
      <c r="N18" s="62" t="s">
        <v>196</v>
      </c>
      <c r="O18" s="62" t="s">
        <v>450</v>
      </c>
      <c r="P18" s="62" t="s">
        <v>450</v>
      </c>
      <c r="Q18" s="60">
        <f t="shared" si="23"/>
        <v>0</v>
      </c>
      <c r="R18" s="60">
        <f t="shared" si="24"/>
        <v>0</v>
      </c>
      <c r="S18" s="60">
        <f t="shared" si="25"/>
        <v>0</v>
      </c>
      <c r="T18" s="60">
        <v>1</v>
      </c>
      <c r="U18" s="60">
        <v>1</v>
      </c>
      <c r="V18" s="64">
        <f t="shared" si="35"/>
        <v>455.4</v>
      </c>
      <c r="W18" s="64"/>
      <c r="X18" s="65">
        <v>455.4</v>
      </c>
      <c r="Y18" s="64"/>
      <c r="Z18" s="73"/>
      <c r="AA18" s="64">
        <f t="shared" si="36"/>
        <v>455.4</v>
      </c>
      <c r="AB18" s="64"/>
      <c r="AC18" s="65">
        <v>455.4</v>
      </c>
      <c r="AD18" s="64"/>
      <c r="AE18" s="73"/>
      <c r="AF18" s="64">
        <f t="shared" si="37"/>
        <v>455.4</v>
      </c>
      <c r="AG18" s="64"/>
      <c r="AH18" s="65">
        <v>455.4</v>
      </c>
      <c r="AI18" s="64"/>
      <c r="AJ18" s="73"/>
      <c r="AK18" s="64">
        <f t="shared" si="38"/>
        <v>198</v>
      </c>
      <c r="AL18" s="64"/>
      <c r="AM18" s="65">
        <v>198</v>
      </c>
      <c r="AN18" s="64"/>
      <c r="AO18" s="73"/>
      <c r="AP18" s="64" t="s">
        <v>362</v>
      </c>
      <c r="AQ18" s="64">
        <f t="shared" si="39"/>
        <v>455.4</v>
      </c>
      <c r="AR18" s="64"/>
      <c r="AS18" s="65">
        <f>198+257.4</f>
        <v>455.4</v>
      </c>
      <c r="AT18" s="64"/>
      <c r="AU18" s="64"/>
      <c r="AV18" s="64">
        <f t="shared" si="9"/>
        <v>0</v>
      </c>
      <c r="AW18" s="64">
        <f t="shared" si="10"/>
        <v>0</v>
      </c>
      <c r="AX18" s="64">
        <f t="shared" si="11"/>
        <v>0</v>
      </c>
      <c r="AY18" s="64">
        <f t="shared" si="12"/>
        <v>0</v>
      </c>
      <c r="AZ18" s="64" t="e">
        <f>#REF!-AU18</f>
        <v>#REF!</v>
      </c>
      <c r="BA18" s="64">
        <f t="shared" si="40"/>
        <v>455.4</v>
      </c>
      <c r="BB18" s="64"/>
      <c r="BC18" s="65">
        <f>198+257.4</f>
        <v>455.4</v>
      </c>
      <c r="BD18" s="64"/>
      <c r="BE18" s="64"/>
      <c r="BF18" s="64">
        <f t="shared" si="41"/>
        <v>0</v>
      </c>
      <c r="BG18" s="64"/>
      <c r="BH18" s="65"/>
      <c r="BI18" s="64"/>
      <c r="BJ18" s="64"/>
      <c r="BK18" s="64">
        <f t="shared" si="42"/>
        <v>455.4</v>
      </c>
      <c r="BL18" s="64"/>
      <c r="BM18" s="65">
        <f>198+257.4</f>
        <v>455.4</v>
      </c>
      <c r="BN18" s="64"/>
      <c r="BO18" s="64"/>
      <c r="BP18" s="64">
        <f t="shared" si="43"/>
        <v>455.4</v>
      </c>
      <c r="BQ18" s="64"/>
      <c r="BR18" s="74">
        <f>257.4+198</f>
        <v>455.4</v>
      </c>
      <c r="BS18" s="64"/>
      <c r="BT18" s="64"/>
      <c r="BU18" s="64">
        <f t="shared" si="44"/>
        <v>502.84</v>
      </c>
      <c r="BV18" s="25"/>
      <c r="BW18" s="64">
        <f>74.154+428.686</f>
        <v>502.84</v>
      </c>
      <c r="BX18" s="64"/>
      <c r="BY18" s="64"/>
      <c r="BZ18" s="60">
        <f t="shared" si="45"/>
        <v>958.24</v>
      </c>
      <c r="CA18" s="64">
        <f t="shared" si="13"/>
        <v>958.24</v>
      </c>
      <c r="CB18" s="64">
        <f t="shared" si="14"/>
        <v>0</v>
      </c>
      <c r="CC18" s="64">
        <f t="shared" si="15"/>
        <v>958.24</v>
      </c>
      <c r="CD18" s="64">
        <f t="shared" si="16"/>
        <v>0</v>
      </c>
      <c r="CE18" s="64">
        <f t="shared" si="46"/>
        <v>0</v>
      </c>
      <c r="CF18" s="64">
        <f t="shared" si="17"/>
        <v>0</v>
      </c>
      <c r="CG18" s="64">
        <f t="shared" si="18"/>
        <v>0</v>
      </c>
      <c r="CH18" s="64">
        <f t="shared" si="19"/>
        <v>0</v>
      </c>
      <c r="CI18" s="64">
        <f t="shared" si="20"/>
        <v>0</v>
      </c>
      <c r="CJ18" s="64">
        <f t="shared" si="47"/>
        <v>0</v>
      </c>
      <c r="CK18" s="66"/>
      <c r="CL18" s="67"/>
      <c r="CM18" s="67"/>
      <c r="CN18" s="64">
        <f t="shared" si="48"/>
        <v>0</v>
      </c>
      <c r="CO18" s="64"/>
      <c r="CP18" s="65"/>
      <c r="CQ18" s="64"/>
      <c r="CR18" s="64"/>
      <c r="CS18" s="64">
        <f t="shared" si="49"/>
        <v>0</v>
      </c>
      <c r="CT18" s="64"/>
      <c r="CU18" s="65"/>
      <c r="CV18" s="64"/>
      <c r="CW18" s="64"/>
      <c r="CX18" s="64">
        <f t="shared" si="50"/>
        <v>0</v>
      </c>
      <c r="CY18" s="64">
        <f t="shared" si="57"/>
        <v>0</v>
      </c>
      <c r="CZ18" s="64">
        <f t="shared" si="51"/>
        <v>0</v>
      </c>
      <c r="DA18" s="64">
        <f t="shared" si="51"/>
        <v>0</v>
      </c>
      <c r="DB18" s="64">
        <f t="shared" si="51"/>
        <v>0</v>
      </c>
      <c r="DC18" s="64"/>
      <c r="DD18" s="64"/>
      <c r="DE18" s="64"/>
      <c r="DF18" s="64">
        <f t="shared" si="52"/>
        <v>0</v>
      </c>
      <c r="DH18" s="64">
        <f t="shared" si="53"/>
        <v>455.4</v>
      </c>
      <c r="DI18" s="64">
        <f t="shared" si="54"/>
        <v>455.4</v>
      </c>
      <c r="DK18" s="64"/>
      <c r="DL18" s="64"/>
      <c r="DN18" s="64"/>
      <c r="DQ18" s="64">
        <f t="shared" si="55"/>
        <v>455.4</v>
      </c>
      <c r="DR18" s="64"/>
      <c r="DS18" s="74">
        <f>257.4+198</f>
        <v>455.4</v>
      </c>
      <c r="DT18" s="64"/>
      <c r="DU18" s="64"/>
      <c r="DV18" s="64">
        <f t="shared" si="56"/>
        <v>502.84</v>
      </c>
      <c r="DW18" s="64"/>
      <c r="DX18" s="64">
        <v>502.84</v>
      </c>
      <c r="DY18" s="64"/>
      <c r="DZ18" s="64"/>
      <c r="EA18" s="375"/>
      <c r="EB18" s="375"/>
      <c r="EC18" s="375"/>
      <c r="ED18" s="375"/>
      <c r="EE18" s="375"/>
      <c r="EF18" s="375"/>
      <c r="EG18" s="375"/>
      <c r="EH18" s="375"/>
      <c r="EI18" s="375"/>
      <c r="EJ18" s="375"/>
      <c r="EK18" s="375"/>
      <c r="EL18" s="375"/>
      <c r="EM18" s="375"/>
      <c r="EN18" s="375"/>
      <c r="EO18" s="375"/>
      <c r="EP18" s="375"/>
      <c r="EQ18" s="375"/>
      <c r="ER18" s="375"/>
      <c r="ES18" s="375"/>
      <c r="ET18" s="375"/>
      <c r="EU18" s="375"/>
      <c r="EV18" s="375"/>
      <c r="EW18" s="375"/>
      <c r="EX18" s="375"/>
      <c r="EY18" s="375"/>
      <c r="EZ18" s="375"/>
      <c r="FA18" s="375"/>
      <c r="FB18" s="375"/>
      <c r="FC18" s="375"/>
      <c r="FD18" s="375"/>
      <c r="FE18" s="375"/>
      <c r="FF18" s="375"/>
      <c r="FG18" s="375"/>
      <c r="FH18" s="375"/>
      <c r="FI18" s="375"/>
      <c r="FJ18" s="375"/>
      <c r="FK18" s="375"/>
      <c r="FL18" s="375"/>
      <c r="FM18" s="375"/>
      <c r="FN18" s="375"/>
      <c r="FO18" s="375"/>
      <c r="FP18" s="375"/>
      <c r="FQ18" s="375"/>
      <c r="FR18" s="375"/>
      <c r="FS18" s="375"/>
      <c r="FT18" s="375"/>
      <c r="FU18" s="375"/>
      <c r="FV18" s="375"/>
      <c r="FW18" s="375"/>
      <c r="FX18" s="375"/>
      <c r="FY18" s="375"/>
      <c r="FZ18" s="375"/>
      <c r="GA18" s="375"/>
      <c r="GB18" s="375"/>
      <c r="GC18" s="375"/>
      <c r="GD18" s="375"/>
      <c r="GE18" s="375"/>
      <c r="GF18" s="375"/>
      <c r="GG18" s="375"/>
      <c r="GH18" s="375"/>
      <c r="GI18" s="375"/>
      <c r="GJ18" s="375"/>
      <c r="GK18" s="375"/>
      <c r="GL18" s="375"/>
      <c r="GM18" s="375"/>
      <c r="GN18" s="375"/>
      <c r="GO18" s="375"/>
      <c r="GP18" s="375"/>
      <c r="GQ18" s="375"/>
      <c r="GR18" s="375"/>
    </row>
    <row r="19" spans="1:200" s="61" customFormat="1" ht="15.75" customHeight="1" x14ac:dyDescent="0.3">
      <c r="A19" s="280"/>
      <c r="B19" s="281"/>
      <c r="C19" s="282"/>
      <c r="D19" s="282">
        <v>1</v>
      </c>
      <c r="E19" s="4">
        <v>11</v>
      </c>
      <c r="F19" s="281"/>
      <c r="G19" s="282"/>
      <c r="H19" s="282">
        <v>1</v>
      </c>
      <c r="I19" s="4"/>
      <c r="J19" s="283"/>
      <c r="K19" s="285"/>
      <c r="L19" s="286"/>
      <c r="M19" s="4">
        <v>11</v>
      </c>
      <c r="N19" s="62" t="s">
        <v>197</v>
      </c>
      <c r="O19" s="62" t="s">
        <v>450</v>
      </c>
      <c r="P19" s="62" t="s">
        <v>450</v>
      </c>
      <c r="Q19" s="60">
        <f t="shared" si="23"/>
        <v>0</v>
      </c>
      <c r="R19" s="60">
        <f t="shared" si="24"/>
        <v>6.5889999999999418</v>
      </c>
      <c r="S19" s="60">
        <f t="shared" si="25"/>
        <v>0</v>
      </c>
      <c r="T19" s="60">
        <v>1</v>
      </c>
      <c r="U19" s="60">
        <v>2</v>
      </c>
      <c r="V19" s="64">
        <f t="shared" si="35"/>
        <v>1317.9</v>
      </c>
      <c r="W19" s="64"/>
      <c r="X19" s="65">
        <v>1317.9</v>
      </c>
      <c r="Y19" s="73"/>
      <c r="Z19" s="73"/>
      <c r="AA19" s="64">
        <f t="shared" si="36"/>
        <v>1317.9</v>
      </c>
      <c r="AB19" s="64"/>
      <c r="AC19" s="65">
        <v>1317.9</v>
      </c>
      <c r="AD19" s="73"/>
      <c r="AE19" s="73"/>
      <c r="AF19" s="64">
        <f t="shared" si="37"/>
        <v>1317.9</v>
      </c>
      <c r="AG19" s="64"/>
      <c r="AH19" s="65">
        <v>1317.9</v>
      </c>
      <c r="AI19" s="73"/>
      <c r="AJ19" s="73"/>
      <c r="AK19" s="64">
        <f t="shared" si="38"/>
        <v>573</v>
      </c>
      <c r="AL19" s="64"/>
      <c r="AM19" s="65">
        <v>573</v>
      </c>
      <c r="AN19" s="73"/>
      <c r="AO19" s="73"/>
      <c r="AP19" s="64" t="s">
        <v>492</v>
      </c>
      <c r="AQ19" s="64">
        <f t="shared" si="39"/>
        <v>1317.9</v>
      </c>
      <c r="AR19" s="64"/>
      <c r="AS19" s="65">
        <f>573+744.9</f>
        <v>1317.9</v>
      </c>
      <c r="AT19" s="73"/>
      <c r="AU19" s="64"/>
      <c r="AV19" s="64">
        <f t="shared" si="9"/>
        <v>0</v>
      </c>
      <c r="AW19" s="64">
        <f t="shared" si="10"/>
        <v>0</v>
      </c>
      <c r="AX19" s="64">
        <f t="shared" si="11"/>
        <v>0</v>
      </c>
      <c r="AY19" s="64">
        <f t="shared" si="12"/>
        <v>0</v>
      </c>
      <c r="AZ19" s="64" t="e">
        <f>#REF!-AU19</f>
        <v>#REF!</v>
      </c>
      <c r="BA19" s="64">
        <f t="shared" si="40"/>
        <v>1317.9</v>
      </c>
      <c r="BB19" s="64"/>
      <c r="BC19" s="65">
        <f>573+744.9</f>
        <v>1317.9</v>
      </c>
      <c r="BD19" s="73"/>
      <c r="BE19" s="64"/>
      <c r="BF19" s="64">
        <f t="shared" si="41"/>
        <v>0</v>
      </c>
      <c r="BG19" s="64"/>
      <c r="BH19" s="65"/>
      <c r="BI19" s="73"/>
      <c r="BJ19" s="64"/>
      <c r="BK19" s="64">
        <f t="shared" si="42"/>
        <v>1317.9</v>
      </c>
      <c r="BL19" s="64"/>
      <c r="BM19" s="65">
        <f>573+744.9</f>
        <v>1317.9</v>
      </c>
      <c r="BN19" s="74"/>
      <c r="BO19" s="64"/>
      <c r="BP19" s="64">
        <f t="shared" si="43"/>
        <v>1311.3110000000001</v>
      </c>
      <c r="BQ19" s="64"/>
      <c r="BR19" s="74">
        <f>570.135+741.176</f>
        <v>1311.3110000000001</v>
      </c>
      <c r="BS19" s="74"/>
      <c r="BT19" s="64"/>
      <c r="BU19" s="64">
        <f t="shared" si="44"/>
        <v>437.10299999999995</v>
      </c>
      <c r="BV19" s="25"/>
      <c r="BW19" s="64">
        <f>190.045+247.058</f>
        <v>437.10299999999995</v>
      </c>
      <c r="BX19" s="64"/>
      <c r="BY19" s="64"/>
      <c r="BZ19" s="60">
        <f t="shared" si="45"/>
        <v>1748.4140000000002</v>
      </c>
      <c r="CA19" s="64">
        <f t="shared" si="13"/>
        <v>1748.4140000000002</v>
      </c>
      <c r="CB19" s="64">
        <f t="shared" si="14"/>
        <v>0</v>
      </c>
      <c r="CC19" s="64">
        <f t="shared" si="15"/>
        <v>1748.4140000000002</v>
      </c>
      <c r="CD19" s="64">
        <f t="shared" si="16"/>
        <v>0</v>
      </c>
      <c r="CE19" s="64">
        <f t="shared" si="46"/>
        <v>0</v>
      </c>
      <c r="CF19" s="64">
        <f t="shared" si="17"/>
        <v>6.5889999999999418</v>
      </c>
      <c r="CG19" s="64">
        <f t="shared" si="18"/>
        <v>0</v>
      </c>
      <c r="CH19" s="64">
        <f t="shared" si="19"/>
        <v>6.5889999999999418</v>
      </c>
      <c r="CI19" s="64">
        <f t="shared" si="20"/>
        <v>0</v>
      </c>
      <c r="CJ19" s="64">
        <f t="shared" si="47"/>
        <v>0</v>
      </c>
      <c r="CK19" s="66"/>
      <c r="CL19" s="67"/>
      <c r="CM19" s="67"/>
      <c r="CN19" s="64">
        <f t="shared" si="48"/>
        <v>0</v>
      </c>
      <c r="CO19" s="64"/>
      <c r="CP19" s="65"/>
      <c r="CQ19" s="73"/>
      <c r="CR19" s="64"/>
      <c r="CS19" s="64">
        <f t="shared" si="49"/>
        <v>0</v>
      </c>
      <c r="CT19" s="64"/>
      <c r="CU19" s="65"/>
      <c r="CV19" s="73"/>
      <c r="CW19" s="64"/>
      <c r="CX19" s="64">
        <f t="shared" si="50"/>
        <v>0</v>
      </c>
      <c r="CY19" s="64">
        <f t="shared" si="57"/>
        <v>0</v>
      </c>
      <c r="CZ19" s="64">
        <f t="shared" si="51"/>
        <v>0</v>
      </c>
      <c r="DA19" s="64">
        <f t="shared" si="51"/>
        <v>0</v>
      </c>
      <c r="DB19" s="64">
        <f t="shared" si="51"/>
        <v>0</v>
      </c>
      <c r="DC19" s="64"/>
      <c r="DD19" s="64"/>
      <c r="DE19" s="64"/>
      <c r="DF19" s="64">
        <f t="shared" si="52"/>
        <v>6.5889999999999418</v>
      </c>
      <c r="DH19" s="64">
        <f t="shared" si="53"/>
        <v>1317.9</v>
      </c>
      <c r="DI19" s="64">
        <f t="shared" si="54"/>
        <v>1311.3110000000001</v>
      </c>
      <c r="DK19" s="64"/>
      <c r="DL19" s="64"/>
      <c r="DN19" s="64"/>
      <c r="DQ19" s="64">
        <f t="shared" si="55"/>
        <v>1311.3110000000001</v>
      </c>
      <c r="DR19" s="64"/>
      <c r="DS19" s="74">
        <f>570.135+741.176</f>
        <v>1311.3110000000001</v>
      </c>
      <c r="DT19" s="74"/>
      <c r="DU19" s="64"/>
      <c r="DV19" s="64">
        <f t="shared" si="56"/>
        <v>437.10300000000001</v>
      </c>
      <c r="DW19" s="64"/>
      <c r="DX19" s="64">
        <v>437.10300000000001</v>
      </c>
      <c r="DY19" s="64"/>
      <c r="DZ19" s="64"/>
      <c r="EA19" s="375"/>
      <c r="EB19" s="375"/>
      <c r="EC19" s="375"/>
      <c r="ED19" s="375"/>
      <c r="EE19" s="375"/>
      <c r="EF19" s="375"/>
      <c r="EG19" s="375"/>
      <c r="EH19" s="375"/>
      <c r="EI19" s="375"/>
      <c r="EJ19" s="375"/>
      <c r="EK19" s="375"/>
      <c r="EL19" s="375"/>
      <c r="EM19" s="375"/>
      <c r="EN19" s="375"/>
      <c r="EO19" s="375"/>
      <c r="EP19" s="375"/>
      <c r="EQ19" s="375"/>
      <c r="ER19" s="375"/>
      <c r="ES19" s="375"/>
      <c r="ET19" s="375"/>
      <c r="EU19" s="375"/>
      <c r="EV19" s="375"/>
      <c r="EW19" s="375"/>
      <c r="EX19" s="375"/>
      <c r="EY19" s="375"/>
      <c r="EZ19" s="375"/>
      <c r="FA19" s="375"/>
      <c r="FB19" s="375"/>
      <c r="FC19" s="375"/>
      <c r="FD19" s="375"/>
      <c r="FE19" s="375"/>
      <c r="FF19" s="375"/>
      <c r="FG19" s="375"/>
      <c r="FH19" s="375"/>
      <c r="FI19" s="375"/>
      <c r="FJ19" s="375"/>
      <c r="FK19" s="375"/>
      <c r="FL19" s="375"/>
      <c r="FM19" s="375"/>
      <c r="FN19" s="375"/>
      <c r="FO19" s="375"/>
      <c r="FP19" s="375"/>
      <c r="FQ19" s="375"/>
      <c r="FR19" s="375"/>
      <c r="FS19" s="375"/>
      <c r="FT19" s="375"/>
      <c r="FU19" s="375"/>
      <c r="FV19" s="375"/>
      <c r="FW19" s="375"/>
      <c r="FX19" s="375"/>
      <c r="FY19" s="375"/>
      <c r="FZ19" s="375"/>
      <c r="GA19" s="375"/>
      <c r="GB19" s="375"/>
      <c r="GC19" s="375"/>
      <c r="GD19" s="375"/>
      <c r="GE19" s="375"/>
      <c r="GF19" s="375"/>
      <c r="GG19" s="375"/>
      <c r="GH19" s="375"/>
      <c r="GI19" s="375"/>
      <c r="GJ19" s="375"/>
      <c r="GK19" s="375"/>
      <c r="GL19" s="375"/>
      <c r="GM19" s="375"/>
      <c r="GN19" s="375"/>
      <c r="GO19" s="375"/>
      <c r="GP19" s="375"/>
      <c r="GQ19" s="375"/>
      <c r="GR19" s="375"/>
    </row>
    <row r="20" spans="1:200" s="48" customFormat="1" ht="24.75" customHeight="1" x14ac:dyDescent="0.3">
      <c r="A20" s="276"/>
      <c r="B20" s="277"/>
      <c r="C20" s="278"/>
      <c r="D20" s="278"/>
      <c r="E20" s="279"/>
      <c r="F20" s="277"/>
      <c r="G20" s="278"/>
      <c r="H20" s="278"/>
      <c r="I20" s="468"/>
      <c r="J20" s="469"/>
      <c r="K20" s="469"/>
      <c r="L20" s="287"/>
      <c r="M20" s="279"/>
      <c r="N20" s="42" t="s">
        <v>10</v>
      </c>
      <c r="O20" s="42"/>
      <c r="P20" s="42"/>
      <c r="Q20" s="43">
        <f t="shared" si="23"/>
        <v>0</v>
      </c>
      <c r="R20" s="43">
        <f t="shared" si="24"/>
        <v>949.88799999999992</v>
      </c>
      <c r="S20" s="43">
        <f t="shared" si="25"/>
        <v>0</v>
      </c>
      <c r="T20" s="43">
        <f>T21+T22+T23+T24+T25+T26+T27+T28+T29+T30+T31+T32+T33+T34+T35+T36+T37+T38</f>
        <v>15</v>
      </c>
      <c r="U20" s="43">
        <f>U21+U22+U23+U24+U25+U26+U27+U28+U29+U30+U31+U32+U33+U34+U35+U36+U37+U38</f>
        <v>19</v>
      </c>
      <c r="V20" s="43">
        <f t="shared" ref="V20:Z20" si="58">SUM(V21:V38)-V22</f>
        <v>18151.000000000004</v>
      </c>
      <c r="W20" s="43">
        <f t="shared" si="58"/>
        <v>5050</v>
      </c>
      <c r="X20" s="43">
        <f t="shared" si="58"/>
        <v>8441</v>
      </c>
      <c r="Y20" s="43">
        <f t="shared" si="58"/>
        <v>4660</v>
      </c>
      <c r="Z20" s="43">
        <f t="shared" si="58"/>
        <v>0</v>
      </c>
      <c r="AA20" s="43">
        <f t="shared" ref="AA20:AE20" si="59">SUM(AA21:AA38)-AA22</f>
        <v>18151.000000000004</v>
      </c>
      <c r="AB20" s="43">
        <f t="shared" si="59"/>
        <v>5050</v>
      </c>
      <c r="AC20" s="43">
        <f t="shared" si="59"/>
        <v>8441</v>
      </c>
      <c r="AD20" s="43">
        <f t="shared" si="59"/>
        <v>4660</v>
      </c>
      <c r="AE20" s="43">
        <f t="shared" si="59"/>
        <v>0</v>
      </c>
      <c r="AF20" s="43">
        <f t="shared" ref="AF20:AJ20" si="60">SUM(AF21:AF38)-AF22</f>
        <v>13537.702000000003</v>
      </c>
      <c r="AG20" s="43">
        <f t="shared" si="60"/>
        <v>436.702</v>
      </c>
      <c r="AH20" s="43">
        <f t="shared" si="60"/>
        <v>8441</v>
      </c>
      <c r="AI20" s="43">
        <f t="shared" si="60"/>
        <v>4660</v>
      </c>
      <c r="AJ20" s="43">
        <f t="shared" si="60"/>
        <v>0</v>
      </c>
      <c r="AK20" s="45">
        <f t="shared" ref="AK20:AO20" si="61">SUM(AK21:AK38)-AK22</f>
        <v>8766.7019999999993</v>
      </c>
      <c r="AL20" s="43">
        <f t="shared" si="61"/>
        <v>436.702</v>
      </c>
      <c r="AM20" s="43">
        <f t="shared" si="61"/>
        <v>3670</v>
      </c>
      <c r="AN20" s="43">
        <f t="shared" si="61"/>
        <v>4660</v>
      </c>
      <c r="AO20" s="43">
        <f t="shared" si="61"/>
        <v>0</v>
      </c>
      <c r="AP20" s="44"/>
      <c r="AQ20" s="43">
        <f>SUM(AQ21:AQ38)-AQ22</f>
        <v>18151.000000000004</v>
      </c>
      <c r="AR20" s="43">
        <f>SUM(AR21:AR38)-AR22</f>
        <v>5050</v>
      </c>
      <c r="AS20" s="43">
        <f>SUM(AS21:AS38)-AS22</f>
        <v>8441</v>
      </c>
      <c r="AT20" s="43">
        <f>SUM(AT21:AT38)-AT22</f>
        <v>4660</v>
      </c>
      <c r="AU20" s="43">
        <f>SUM(AU21:AU38)-AU22</f>
        <v>0</v>
      </c>
      <c r="AV20" s="43">
        <f t="shared" si="9"/>
        <v>0</v>
      </c>
      <c r="AW20" s="43">
        <f t="shared" si="10"/>
        <v>0</v>
      </c>
      <c r="AX20" s="43">
        <f t="shared" si="11"/>
        <v>0</v>
      </c>
      <c r="AY20" s="43">
        <f t="shared" si="12"/>
        <v>0</v>
      </c>
      <c r="AZ20" s="43" t="e">
        <f t="shared" ref="AZ20:BE20" si="62">SUM(AZ21:AZ38)-AZ22</f>
        <v>#REF!</v>
      </c>
      <c r="BA20" s="43">
        <f t="shared" si="62"/>
        <v>13101.000000000002</v>
      </c>
      <c r="BB20" s="43">
        <f t="shared" si="62"/>
        <v>0</v>
      </c>
      <c r="BC20" s="43">
        <f t="shared" si="62"/>
        <v>8441</v>
      </c>
      <c r="BD20" s="43">
        <f t="shared" si="62"/>
        <v>4660</v>
      </c>
      <c r="BE20" s="43">
        <f t="shared" si="62"/>
        <v>0</v>
      </c>
      <c r="BF20" s="43">
        <f t="shared" ref="BF20:CJ20" si="63">SUM(BF21:BF38)-BF22</f>
        <v>0</v>
      </c>
      <c r="BG20" s="43">
        <f t="shared" si="63"/>
        <v>0</v>
      </c>
      <c r="BH20" s="43">
        <f t="shared" si="63"/>
        <v>0</v>
      </c>
      <c r="BI20" s="43">
        <f t="shared" si="63"/>
        <v>0</v>
      </c>
      <c r="BJ20" s="43">
        <f t="shared" si="63"/>
        <v>0</v>
      </c>
      <c r="BK20" s="43">
        <f t="shared" si="63"/>
        <v>13101.000000000002</v>
      </c>
      <c r="BL20" s="43">
        <f t="shared" si="63"/>
        <v>0</v>
      </c>
      <c r="BM20" s="43">
        <f t="shared" si="63"/>
        <v>8441</v>
      </c>
      <c r="BN20" s="43">
        <f t="shared" si="63"/>
        <v>4660</v>
      </c>
      <c r="BO20" s="43">
        <f t="shared" si="63"/>
        <v>0</v>
      </c>
      <c r="BP20" s="43">
        <f t="shared" si="63"/>
        <v>12151.112000000001</v>
      </c>
      <c r="BQ20" s="43">
        <f t="shared" si="63"/>
        <v>0</v>
      </c>
      <c r="BR20" s="43">
        <f t="shared" si="63"/>
        <v>7491.1120000000001</v>
      </c>
      <c r="BS20" s="43">
        <f t="shared" si="63"/>
        <v>4660</v>
      </c>
      <c r="BT20" s="43">
        <f t="shared" si="63"/>
        <v>0</v>
      </c>
      <c r="BU20" s="45">
        <f t="shared" si="63"/>
        <v>7473.3021799999997</v>
      </c>
      <c r="BV20" s="43">
        <f t="shared" si="63"/>
        <v>0</v>
      </c>
      <c r="BW20" s="43">
        <f t="shared" si="63"/>
        <v>5919.5760999999993</v>
      </c>
      <c r="BX20" s="43">
        <f t="shared" si="63"/>
        <v>1553.7260799999999</v>
      </c>
      <c r="BY20" s="43">
        <f t="shared" si="63"/>
        <v>0</v>
      </c>
      <c r="BZ20" s="43">
        <f t="shared" si="63"/>
        <v>19624.414179999996</v>
      </c>
      <c r="CA20" s="43">
        <f t="shared" si="13"/>
        <v>19624.41418</v>
      </c>
      <c r="CB20" s="43">
        <f t="shared" si="14"/>
        <v>0</v>
      </c>
      <c r="CC20" s="43">
        <f t="shared" si="15"/>
        <v>13410.688099999999</v>
      </c>
      <c r="CD20" s="43">
        <f t="shared" si="16"/>
        <v>6213.7260800000004</v>
      </c>
      <c r="CE20" s="43">
        <f t="shared" si="63"/>
        <v>0</v>
      </c>
      <c r="CF20" s="43">
        <f t="shared" si="17"/>
        <v>949.88799999999992</v>
      </c>
      <c r="CG20" s="43">
        <f t="shared" si="18"/>
        <v>0</v>
      </c>
      <c r="CH20" s="43">
        <f t="shared" si="19"/>
        <v>949.88799999999992</v>
      </c>
      <c r="CI20" s="43">
        <f t="shared" si="20"/>
        <v>0</v>
      </c>
      <c r="CJ20" s="43">
        <f t="shared" si="63"/>
        <v>0</v>
      </c>
      <c r="CK20" s="46">
        <f>CL20+CN20-BF20</f>
        <v>13101.000000000002</v>
      </c>
      <c r="CL20" s="47">
        <f t="shared" ref="CL20:DF20" si="64">SUM(CL21:CL38)-CL22</f>
        <v>13101.000000000002</v>
      </c>
      <c r="CM20" s="47">
        <f t="shared" si="64"/>
        <v>13101.000000000002</v>
      </c>
      <c r="CN20" s="43">
        <f t="shared" si="64"/>
        <v>0</v>
      </c>
      <c r="CO20" s="43">
        <f t="shared" si="64"/>
        <v>0</v>
      </c>
      <c r="CP20" s="43">
        <f t="shared" si="64"/>
        <v>0</v>
      </c>
      <c r="CQ20" s="43">
        <f t="shared" si="64"/>
        <v>0</v>
      </c>
      <c r="CR20" s="43">
        <f t="shared" si="64"/>
        <v>0</v>
      </c>
      <c r="CS20" s="43">
        <f t="shared" si="64"/>
        <v>0</v>
      </c>
      <c r="CT20" s="43">
        <f t="shared" si="64"/>
        <v>0</v>
      </c>
      <c r="CU20" s="43">
        <f t="shared" si="64"/>
        <v>0</v>
      </c>
      <c r="CV20" s="43">
        <f t="shared" si="64"/>
        <v>0</v>
      </c>
      <c r="CW20" s="43">
        <f t="shared" si="64"/>
        <v>0</v>
      </c>
      <c r="CX20" s="43">
        <f t="shared" si="64"/>
        <v>0</v>
      </c>
      <c r="CY20" s="43">
        <f t="shared" si="64"/>
        <v>0</v>
      </c>
      <c r="CZ20" s="43">
        <f t="shared" si="64"/>
        <v>0</v>
      </c>
      <c r="DA20" s="43">
        <f t="shared" si="64"/>
        <v>0</v>
      </c>
      <c r="DB20" s="43">
        <f t="shared" si="64"/>
        <v>0</v>
      </c>
      <c r="DC20" s="43">
        <f t="shared" si="64"/>
        <v>0</v>
      </c>
      <c r="DD20" s="43">
        <f t="shared" si="64"/>
        <v>0</v>
      </c>
      <c r="DE20" s="43">
        <f t="shared" si="64"/>
        <v>0</v>
      </c>
      <c r="DF20" s="43">
        <f t="shared" si="64"/>
        <v>949.88800000000015</v>
      </c>
      <c r="DH20" s="43">
        <f>SUM(DH21:DH38)-DH22</f>
        <v>13101.000000000002</v>
      </c>
      <c r="DI20" s="43">
        <f>SUM(DI21:DI38)-DI22</f>
        <v>12151.112000000001</v>
      </c>
      <c r="DK20" s="43">
        <f>SUM(DK21:DK38)-DK22</f>
        <v>12151.112000000001</v>
      </c>
      <c r="DL20" s="43">
        <f>SUM(DL21:DL38)-DL22</f>
        <v>949.88800000000015</v>
      </c>
      <c r="DN20" s="43">
        <f>SUM(DN21:DN38)-DN22</f>
        <v>949.88800000000083</v>
      </c>
      <c r="DO20" s="49">
        <f>DF20-DN20</f>
        <v>0</v>
      </c>
      <c r="DP20" s="49"/>
      <c r="DQ20" s="43">
        <f>SUM(DQ21:DQ38)-DQ22</f>
        <v>12151.112000000001</v>
      </c>
      <c r="DR20" s="43">
        <f t="shared" ref="DR20:DU20" si="65">SUM(DR21:DR38)-DR22</f>
        <v>0</v>
      </c>
      <c r="DS20" s="43">
        <f t="shared" si="65"/>
        <v>7491.1120000000001</v>
      </c>
      <c r="DT20" s="43">
        <f t="shared" si="65"/>
        <v>4660</v>
      </c>
      <c r="DU20" s="43">
        <f t="shared" si="65"/>
        <v>0</v>
      </c>
      <c r="DV20" s="43">
        <f>SUM(DV21:DV38)-DV22</f>
        <v>6239.9244100000005</v>
      </c>
      <c r="DW20" s="43">
        <f t="shared" ref="DW20:DZ20" si="66">SUM(DW21:DW38)-DW22</f>
        <v>0</v>
      </c>
      <c r="DX20" s="43">
        <f t="shared" si="66"/>
        <v>4686.1983300000002</v>
      </c>
      <c r="DY20" s="43">
        <f t="shared" si="66"/>
        <v>1553.7260799999999</v>
      </c>
      <c r="DZ20" s="43">
        <f t="shared" si="66"/>
        <v>0</v>
      </c>
      <c r="EA20" s="372"/>
      <c r="EB20" s="372"/>
      <c r="EC20" s="372"/>
      <c r="ED20" s="372"/>
      <c r="EE20" s="372"/>
      <c r="EF20" s="372"/>
      <c r="EG20" s="372"/>
      <c r="EH20" s="372"/>
      <c r="EI20" s="372"/>
      <c r="EJ20" s="372"/>
      <c r="EK20" s="372"/>
      <c r="EL20" s="372"/>
      <c r="EM20" s="372"/>
      <c r="EN20" s="372"/>
      <c r="EO20" s="372"/>
      <c r="EP20" s="372"/>
      <c r="EQ20" s="372"/>
      <c r="ER20" s="372"/>
      <c r="ES20" s="372"/>
      <c r="ET20" s="372"/>
      <c r="EU20" s="372"/>
      <c r="EV20" s="372"/>
      <c r="EW20" s="372"/>
      <c r="EX20" s="372"/>
      <c r="EY20" s="372"/>
      <c r="EZ20" s="372"/>
      <c r="FA20" s="372"/>
      <c r="FB20" s="372"/>
      <c r="FC20" s="372"/>
      <c r="FD20" s="372"/>
      <c r="FE20" s="372"/>
      <c r="FF20" s="372"/>
      <c r="FG20" s="372"/>
      <c r="FH20" s="372"/>
      <c r="FI20" s="372"/>
      <c r="FJ20" s="372"/>
      <c r="FK20" s="372"/>
      <c r="FL20" s="372"/>
      <c r="FM20" s="372"/>
      <c r="FN20" s="372"/>
      <c r="FO20" s="372"/>
      <c r="FP20" s="372"/>
      <c r="FQ20" s="372"/>
      <c r="FR20" s="372"/>
      <c r="FS20" s="372"/>
      <c r="FT20" s="372"/>
      <c r="FU20" s="372"/>
      <c r="FV20" s="372"/>
      <c r="FW20" s="372"/>
      <c r="FX20" s="372"/>
      <c r="FY20" s="372"/>
      <c r="FZ20" s="372"/>
      <c r="GA20" s="372"/>
      <c r="GB20" s="372"/>
      <c r="GC20" s="372"/>
      <c r="GD20" s="372"/>
      <c r="GE20" s="372"/>
      <c r="GF20" s="372"/>
      <c r="GG20" s="372"/>
      <c r="GH20" s="372"/>
      <c r="GI20" s="372"/>
      <c r="GJ20" s="372"/>
      <c r="GK20" s="372"/>
      <c r="GL20" s="372"/>
      <c r="GM20" s="372"/>
      <c r="GN20" s="372"/>
      <c r="GO20" s="372"/>
      <c r="GP20" s="372"/>
      <c r="GQ20" s="372"/>
      <c r="GR20" s="372"/>
    </row>
    <row r="21" spans="1:200" s="61" customFormat="1" ht="15.6" customHeight="1" x14ac:dyDescent="0.3">
      <c r="A21" s="280"/>
      <c r="B21" s="281">
        <v>1</v>
      </c>
      <c r="C21" s="282"/>
      <c r="D21" s="282"/>
      <c r="E21" s="4">
        <v>12</v>
      </c>
      <c r="F21" s="281"/>
      <c r="G21" s="282"/>
      <c r="H21" s="282"/>
      <c r="I21" s="466"/>
      <c r="J21" s="467"/>
      <c r="K21" s="467"/>
      <c r="L21" s="467"/>
      <c r="M21" s="4">
        <v>12</v>
      </c>
      <c r="N21" s="79" t="s">
        <v>10</v>
      </c>
      <c r="O21" s="79" t="s">
        <v>448</v>
      </c>
      <c r="P21" s="62" t="s">
        <v>448</v>
      </c>
      <c r="Q21" s="60">
        <f t="shared" si="23"/>
        <v>0</v>
      </c>
      <c r="R21" s="60">
        <f t="shared" si="24"/>
        <v>0</v>
      </c>
      <c r="S21" s="60">
        <f t="shared" si="25"/>
        <v>0</v>
      </c>
      <c r="T21" s="60">
        <v>1</v>
      </c>
      <c r="U21" s="60">
        <v>3</v>
      </c>
      <c r="V21" s="80">
        <f t="shared" ref="V21:V38" si="67">W21+X21+Y21+Z21</f>
        <v>7070.4</v>
      </c>
      <c r="W21" s="80"/>
      <c r="X21" s="65">
        <v>2410.4</v>
      </c>
      <c r="Y21" s="80">
        <v>4660</v>
      </c>
      <c r="Z21" s="81"/>
      <c r="AA21" s="80">
        <f t="shared" ref="AA21:AA38" si="68">AB21+AC21+AD21+AE21</f>
        <v>7070.4</v>
      </c>
      <c r="AB21" s="80"/>
      <c r="AC21" s="65">
        <v>2410.4</v>
      </c>
      <c r="AD21" s="80">
        <v>4660</v>
      </c>
      <c r="AE21" s="81"/>
      <c r="AF21" s="80">
        <f t="shared" ref="AF21:AF38" si="69">AG21+AH21+AI21+AJ21</f>
        <v>7070.4</v>
      </c>
      <c r="AG21" s="80"/>
      <c r="AH21" s="65">
        <v>2410.4</v>
      </c>
      <c r="AI21" s="80">
        <v>4660</v>
      </c>
      <c r="AJ21" s="81"/>
      <c r="AK21" s="80">
        <f t="shared" ref="AK21:AK38" si="70">AL21+AM21+AN21+AO21</f>
        <v>5554</v>
      </c>
      <c r="AL21" s="80"/>
      <c r="AM21" s="65">
        <v>894</v>
      </c>
      <c r="AN21" s="80">
        <v>4660</v>
      </c>
      <c r="AO21" s="82"/>
      <c r="AP21" s="83" t="s">
        <v>419</v>
      </c>
      <c r="AQ21" s="64">
        <f t="shared" ref="AQ21:AQ84" si="71">AR21+AS21+AT21+AU21</f>
        <v>7070.4</v>
      </c>
      <c r="AR21" s="82"/>
      <c r="AS21" s="65">
        <f>894+1516.4</f>
        <v>2410.4</v>
      </c>
      <c r="AT21" s="80">
        <v>4660</v>
      </c>
      <c r="AU21" s="82"/>
      <c r="AV21" s="64">
        <f t="shared" si="9"/>
        <v>0</v>
      </c>
      <c r="AW21" s="64">
        <f t="shared" si="10"/>
        <v>0</v>
      </c>
      <c r="AX21" s="64">
        <f t="shared" si="11"/>
        <v>0</v>
      </c>
      <c r="AY21" s="64">
        <f t="shared" si="12"/>
        <v>0</v>
      </c>
      <c r="AZ21" s="64" t="e">
        <f>#REF!-AU21</f>
        <v>#REF!</v>
      </c>
      <c r="BA21" s="64">
        <f t="shared" ref="BA21:BA38" si="72">BB21+BC21+BD21+BE21</f>
        <v>7070.4</v>
      </c>
      <c r="BB21" s="82"/>
      <c r="BC21" s="65">
        <f>894+1516.4</f>
        <v>2410.4</v>
      </c>
      <c r="BD21" s="80">
        <v>4660</v>
      </c>
      <c r="BE21" s="82"/>
      <c r="BF21" s="64">
        <f t="shared" ref="BF21:BF38" si="73">BG21+BH21+BI21+BJ21</f>
        <v>0</v>
      </c>
      <c r="BG21" s="82"/>
      <c r="BH21" s="82"/>
      <c r="BI21" s="82"/>
      <c r="BJ21" s="82"/>
      <c r="BK21" s="64">
        <f t="shared" ref="BK21:BK38" si="74">BL21+BM21+BN21+BO21</f>
        <v>7070.4</v>
      </c>
      <c r="BL21" s="82"/>
      <c r="BM21" s="65">
        <f>894+1516.4</f>
        <v>2410.4</v>
      </c>
      <c r="BN21" s="80">
        <v>4660</v>
      </c>
      <c r="BO21" s="84"/>
      <c r="BP21" s="64">
        <f t="shared" ref="BP21:BP38" si="75">BQ21+BR21+BS21+BT21</f>
        <v>7070.4</v>
      </c>
      <c r="BQ21" s="84"/>
      <c r="BR21" s="65">
        <f>894+1516.4</f>
        <v>2410.4</v>
      </c>
      <c r="BS21" s="85">
        <v>4660</v>
      </c>
      <c r="BT21" s="84"/>
      <c r="BU21" s="64">
        <f t="shared" ref="BU21:BU38" si="76">BV21+BW21+BX21+BY21</f>
        <v>4813.3262599999998</v>
      </c>
      <c r="BV21" s="86"/>
      <c r="BW21" s="87">
        <v>3259.6001799999999</v>
      </c>
      <c r="BX21" s="87">
        <v>1553.7260799999999</v>
      </c>
      <c r="BY21" s="82"/>
      <c r="BZ21" s="60">
        <f t="shared" ref="BZ21:BZ38" si="77">CA21</f>
        <v>11883.726259999999</v>
      </c>
      <c r="CA21" s="64">
        <f t="shared" si="13"/>
        <v>11883.726259999999</v>
      </c>
      <c r="CB21" s="64">
        <f t="shared" si="14"/>
        <v>0</v>
      </c>
      <c r="CC21" s="64">
        <f t="shared" si="15"/>
        <v>5670.00018</v>
      </c>
      <c r="CD21" s="64">
        <f t="shared" si="16"/>
        <v>6213.7260800000004</v>
      </c>
      <c r="CE21" s="64">
        <f t="shared" ref="CE21:CE38" si="78">BT21+BY21</f>
        <v>0</v>
      </c>
      <c r="CF21" s="64">
        <f t="shared" si="17"/>
        <v>0</v>
      </c>
      <c r="CG21" s="64">
        <f t="shared" si="18"/>
        <v>0</v>
      </c>
      <c r="CH21" s="64">
        <f t="shared" si="19"/>
        <v>0</v>
      </c>
      <c r="CI21" s="64">
        <f t="shared" si="20"/>
        <v>0</v>
      </c>
      <c r="CJ21" s="64">
        <f t="shared" ref="CJ21:CJ38" si="79">BO21-BT21</f>
        <v>0</v>
      </c>
      <c r="CK21" s="66"/>
      <c r="CL21" s="67">
        <f>BC21</f>
        <v>2410.4</v>
      </c>
      <c r="CM21" s="88">
        <f>CL21</f>
        <v>2410.4</v>
      </c>
      <c r="CN21" s="64">
        <f t="shared" ref="CN21:CN38" si="80">CO21+CP21+CQ21+CR21</f>
        <v>0</v>
      </c>
      <c r="CO21" s="82"/>
      <c r="CP21" s="82"/>
      <c r="CQ21" s="82"/>
      <c r="CR21" s="82"/>
      <c r="CS21" s="64">
        <f t="shared" ref="CS21:CS38" si="81">CT21+CU21+CV21+CW21</f>
        <v>0</v>
      </c>
      <c r="CT21" s="82"/>
      <c r="CU21" s="82"/>
      <c r="CV21" s="82"/>
      <c r="CW21" s="82"/>
      <c r="CX21" s="64">
        <f t="shared" ref="CX21:CX38" si="82">CY21+CZ21+DA21+DB21</f>
        <v>0</v>
      </c>
      <c r="CY21" s="64">
        <f t="shared" ref="CY21:DB38" si="83">CO21-CT21</f>
        <v>0</v>
      </c>
      <c r="CZ21" s="64">
        <f t="shared" si="83"/>
        <v>0</v>
      </c>
      <c r="DA21" s="64">
        <f t="shared" si="83"/>
        <v>0</v>
      </c>
      <c r="DB21" s="64">
        <f t="shared" si="83"/>
        <v>0</v>
      </c>
      <c r="DC21" s="82"/>
      <c r="DD21" s="82"/>
      <c r="DE21" s="82"/>
      <c r="DF21" s="64">
        <f t="shared" ref="DF21:DF38" si="84">CF21+CX21+DE21</f>
        <v>0</v>
      </c>
      <c r="DH21" s="64">
        <f t="shared" ref="DH21:DH38" si="85">BK21+CN21+DC21</f>
        <v>7070.4</v>
      </c>
      <c r="DI21" s="64">
        <f t="shared" ref="DI21:DI38" si="86">BP21+CS21+DD21</f>
        <v>7070.4</v>
      </c>
      <c r="DK21" s="64">
        <f>DI21</f>
        <v>7070.4</v>
      </c>
      <c r="DL21" s="64">
        <f>DF21</f>
        <v>0</v>
      </c>
      <c r="DN21" s="64">
        <f>CM21-DK21</f>
        <v>-4660</v>
      </c>
      <c r="DQ21" s="64">
        <f t="shared" ref="DQ21:DQ38" si="87">DR21+DS21+DT21+DU21</f>
        <v>7070.4</v>
      </c>
      <c r="DR21" s="84"/>
      <c r="DS21" s="65">
        <f>894+1516.4</f>
        <v>2410.4</v>
      </c>
      <c r="DT21" s="85">
        <v>4660</v>
      </c>
      <c r="DU21" s="84"/>
      <c r="DV21" s="64">
        <f t="shared" ref="DV21:DV38" si="88">DW21+DX21+DY21+DZ21</f>
        <v>4813.3262599999998</v>
      </c>
      <c r="DW21" s="82"/>
      <c r="DX21" s="80">
        <v>3259.6001799999999</v>
      </c>
      <c r="DY21" s="80">
        <v>1553.7260799999999</v>
      </c>
      <c r="DZ21" s="82"/>
      <c r="EA21" s="375"/>
      <c r="EB21" s="375"/>
      <c r="EC21" s="375"/>
      <c r="ED21" s="375"/>
      <c r="EE21" s="375"/>
      <c r="EF21" s="375"/>
      <c r="EG21" s="375"/>
      <c r="EH21" s="375"/>
      <c r="EI21" s="375"/>
      <c r="EJ21" s="375"/>
      <c r="EK21" s="375"/>
      <c r="EL21" s="375"/>
      <c r="EM21" s="375"/>
      <c r="EN21" s="375"/>
      <c r="EO21" s="375"/>
      <c r="EP21" s="375"/>
      <c r="EQ21" s="375"/>
      <c r="ER21" s="375"/>
      <c r="ES21" s="375"/>
      <c r="ET21" s="375"/>
      <c r="EU21" s="375"/>
      <c r="EV21" s="375"/>
      <c r="EW21" s="375"/>
      <c r="EX21" s="375"/>
      <c r="EY21" s="375"/>
      <c r="EZ21" s="375"/>
      <c r="FA21" s="375"/>
      <c r="FB21" s="375"/>
      <c r="FC21" s="375"/>
      <c r="FD21" s="375"/>
      <c r="FE21" s="375"/>
      <c r="FF21" s="375"/>
      <c r="FG21" s="375"/>
      <c r="FH21" s="375"/>
      <c r="FI21" s="375"/>
      <c r="FJ21" s="375"/>
      <c r="FK21" s="375"/>
      <c r="FL21" s="375"/>
      <c r="FM21" s="375"/>
      <c r="FN21" s="375"/>
      <c r="FO21" s="375"/>
      <c r="FP21" s="375"/>
      <c r="FQ21" s="375"/>
      <c r="FR21" s="375"/>
      <c r="FS21" s="375"/>
      <c r="FT21" s="375"/>
      <c r="FU21" s="375"/>
      <c r="FV21" s="375"/>
      <c r="FW21" s="375"/>
      <c r="FX21" s="375"/>
      <c r="FY21" s="375"/>
      <c r="FZ21" s="375"/>
      <c r="GA21" s="375"/>
      <c r="GB21" s="375"/>
      <c r="GC21" s="375"/>
      <c r="GD21" s="375"/>
      <c r="GE21" s="375"/>
      <c r="GF21" s="375"/>
      <c r="GG21" s="375"/>
      <c r="GH21" s="375"/>
      <c r="GI21" s="375"/>
      <c r="GJ21" s="375"/>
      <c r="GK21" s="375"/>
      <c r="GL21" s="375"/>
      <c r="GM21" s="375"/>
      <c r="GN21" s="375"/>
      <c r="GO21" s="375"/>
      <c r="GP21" s="375"/>
      <c r="GQ21" s="375"/>
      <c r="GR21" s="375"/>
    </row>
    <row r="22" spans="1:200" s="61" customFormat="1" ht="0.75" customHeight="1" x14ac:dyDescent="0.3">
      <c r="A22" s="280"/>
      <c r="B22" s="281"/>
      <c r="C22" s="282"/>
      <c r="D22" s="282"/>
      <c r="E22" s="4"/>
      <c r="F22" s="281"/>
      <c r="G22" s="282"/>
      <c r="H22" s="282"/>
      <c r="I22" s="470"/>
      <c r="J22" s="472"/>
      <c r="K22" s="285"/>
      <c r="L22" s="286"/>
      <c r="M22" s="4"/>
      <c r="N22" s="371" t="s">
        <v>249</v>
      </c>
      <c r="O22" s="69"/>
      <c r="P22" s="69"/>
      <c r="Q22" s="70">
        <f t="shared" si="23"/>
        <v>0</v>
      </c>
      <c r="R22" s="70">
        <f t="shared" si="24"/>
        <v>0</v>
      </c>
      <c r="S22" s="70">
        <f t="shared" si="25"/>
        <v>0</v>
      </c>
      <c r="T22" s="69"/>
      <c r="U22" s="69"/>
      <c r="V22" s="80">
        <f t="shared" si="67"/>
        <v>0</v>
      </c>
      <c r="W22" s="80"/>
      <c r="X22" s="65"/>
      <c r="Y22" s="82"/>
      <c r="Z22" s="81"/>
      <c r="AA22" s="80">
        <f t="shared" si="68"/>
        <v>0</v>
      </c>
      <c r="AB22" s="80"/>
      <c r="AC22" s="65"/>
      <c r="AD22" s="82"/>
      <c r="AE22" s="81"/>
      <c r="AF22" s="80">
        <f t="shared" si="69"/>
        <v>0</v>
      </c>
      <c r="AG22" s="80"/>
      <c r="AH22" s="65"/>
      <c r="AI22" s="82"/>
      <c r="AJ22" s="81"/>
      <c r="AK22" s="80">
        <f t="shared" si="70"/>
        <v>0</v>
      </c>
      <c r="AL22" s="80"/>
      <c r="AM22" s="65"/>
      <c r="AN22" s="82"/>
      <c r="AO22" s="82"/>
      <c r="AP22" s="82"/>
      <c r="AQ22" s="64">
        <f t="shared" si="71"/>
        <v>0</v>
      </c>
      <c r="AR22" s="82"/>
      <c r="AS22" s="82"/>
      <c r="AT22" s="82"/>
      <c r="AU22" s="82"/>
      <c r="AV22" s="64">
        <f t="shared" si="9"/>
        <v>0</v>
      </c>
      <c r="AW22" s="64">
        <f t="shared" si="10"/>
        <v>0</v>
      </c>
      <c r="AX22" s="64">
        <f t="shared" si="11"/>
        <v>0</v>
      </c>
      <c r="AY22" s="64">
        <f t="shared" si="12"/>
        <v>0</v>
      </c>
      <c r="AZ22" s="64" t="e">
        <f>#REF!-AU22</f>
        <v>#REF!</v>
      </c>
      <c r="BA22" s="64">
        <f t="shared" si="72"/>
        <v>0</v>
      </c>
      <c r="BB22" s="82"/>
      <c r="BC22" s="82"/>
      <c r="BD22" s="82"/>
      <c r="BE22" s="82"/>
      <c r="BF22" s="64">
        <f t="shared" si="73"/>
        <v>0</v>
      </c>
      <c r="BG22" s="82"/>
      <c r="BH22" s="82"/>
      <c r="BI22" s="82"/>
      <c r="BJ22" s="82"/>
      <c r="BK22" s="64">
        <f t="shared" si="74"/>
        <v>0</v>
      </c>
      <c r="BL22" s="82"/>
      <c r="BM22" s="84"/>
      <c r="BN22" s="84"/>
      <c r="BO22" s="84"/>
      <c r="BP22" s="64">
        <f t="shared" si="75"/>
        <v>0</v>
      </c>
      <c r="BQ22" s="84"/>
      <c r="BR22" s="84"/>
      <c r="BS22" s="84"/>
      <c r="BT22" s="84"/>
      <c r="BU22" s="64">
        <f t="shared" si="76"/>
        <v>0</v>
      </c>
      <c r="BV22" s="86"/>
      <c r="BW22" s="86"/>
      <c r="BX22" s="86"/>
      <c r="BY22" s="82"/>
      <c r="BZ22" s="60">
        <f t="shared" si="77"/>
        <v>0</v>
      </c>
      <c r="CA22" s="64">
        <f t="shared" si="13"/>
        <v>0</v>
      </c>
      <c r="CB22" s="64">
        <f t="shared" si="14"/>
        <v>0</v>
      </c>
      <c r="CC22" s="64">
        <f t="shared" si="15"/>
        <v>0</v>
      </c>
      <c r="CD22" s="64">
        <f t="shared" si="16"/>
        <v>0</v>
      </c>
      <c r="CE22" s="64">
        <f t="shared" si="78"/>
        <v>0</v>
      </c>
      <c r="CF22" s="64">
        <f t="shared" si="17"/>
        <v>0</v>
      </c>
      <c r="CG22" s="64">
        <f t="shared" si="18"/>
        <v>0</v>
      </c>
      <c r="CH22" s="64">
        <f t="shared" si="19"/>
        <v>0</v>
      </c>
      <c r="CI22" s="64">
        <f t="shared" si="20"/>
        <v>0</v>
      </c>
      <c r="CJ22" s="64">
        <f t="shared" si="79"/>
        <v>0</v>
      </c>
      <c r="CK22" s="66"/>
      <c r="CL22" s="88"/>
      <c r="CM22" s="88"/>
      <c r="CN22" s="64">
        <f t="shared" si="80"/>
        <v>0</v>
      </c>
      <c r="CO22" s="82"/>
      <c r="CP22" s="82"/>
      <c r="CQ22" s="82"/>
      <c r="CR22" s="82"/>
      <c r="CS22" s="64">
        <f t="shared" si="81"/>
        <v>0</v>
      </c>
      <c r="CT22" s="82"/>
      <c r="CU22" s="82"/>
      <c r="CV22" s="82"/>
      <c r="CW22" s="82"/>
      <c r="CX22" s="64">
        <f t="shared" si="82"/>
        <v>0</v>
      </c>
      <c r="CY22" s="64">
        <f t="shared" si="83"/>
        <v>0</v>
      </c>
      <c r="CZ22" s="64">
        <f t="shared" si="83"/>
        <v>0</v>
      </c>
      <c r="DA22" s="64">
        <f t="shared" si="83"/>
        <v>0</v>
      </c>
      <c r="DB22" s="64">
        <f t="shared" si="83"/>
        <v>0</v>
      </c>
      <c r="DC22" s="82"/>
      <c r="DD22" s="82"/>
      <c r="DE22" s="82"/>
      <c r="DF22" s="64">
        <f t="shared" si="84"/>
        <v>0</v>
      </c>
      <c r="DH22" s="64">
        <f t="shared" si="85"/>
        <v>0</v>
      </c>
      <c r="DI22" s="64">
        <f t="shared" si="86"/>
        <v>0</v>
      </c>
      <c r="DK22" s="64">
        <f>DI22</f>
        <v>0</v>
      </c>
      <c r="DL22" s="64">
        <f>DF22</f>
        <v>0</v>
      </c>
      <c r="DN22" s="82"/>
      <c r="DQ22" s="64">
        <f t="shared" si="87"/>
        <v>0</v>
      </c>
      <c r="DR22" s="84"/>
      <c r="DS22" s="84"/>
      <c r="DT22" s="84"/>
      <c r="DU22" s="84"/>
      <c r="DV22" s="64">
        <f t="shared" si="88"/>
        <v>0</v>
      </c>
      <c r="DW22" s="82"/>
      <c r="DX22" s="82"/>
      <c r="DY22" s="82"/>
      <c r="DZ22" s="82"/>
      <c r="EA22" s="375"/>
      <c r="EB22" s="375"/>
      <c r="EC22" s="375"/>
      <c r="ED22" s="375"/>
      <c r="EE22" s="375"/>
      <c r="EF22" s="375"/>
      <c r="EG22" s="375"/>
      <c r="EH22" s="375"/>
      <c r="EI22" s="375"/>
      <c r="EJ22" s="375"/>
      <c r="EK22" s="375"/>
      <c r="EL22" s="375"/>
      <c r="EM22" s="375"/>
      <c r="EN22" s="375"/>
      <c r="EO22" s="375"/>
      <c r="EP22" s="375"/>
      <c r="EQ22" s="375"/>
      <c r="ER22" s="375"/>
      <c r="ES22" s="375"/>
      <c r="ET22" s="375"/>
      <c r="EU22" s="375"/>
      <c r="EV22" s="375"/>
      <c r="EW22" s="375"/>
      <c r="EX22" s="375"/>
      <c r="EY22" s="375"/>
      <c r="EZ22" s="375"/>
      <c r="FA22" s="375"/>
      <c r="FB22" s="375"/>
      <c r="FC22" s="375"/>
      <c r="FD22" s="375"/>
      <c r="FE22" s="375"/>
      <c r="FF22" s="375"/>
      <c r="FG22" s="375"/>
      <c r="FH22" s="375"/>
      <c r="FI22" s="375"/>
      <c r="FJ22" s="375"/>
      <c r="FK22" s="375"/>
      <c r="FL22" s="375"/>
      <c r="FM22" s="375"/>
      <c r="FN22" s="375"/>
      <c r="FO22" s="375"/>
      <c r="FP22" s="375"/>
      <c r="FQ22" s="375"/>
      <c r="FR22" s="375"/>
      <c r="FS22" s="375"/>
      <c r="FT22" s="375"/>
      <c r="FU22" s="375"/>
      <c r="FV22" s="375"/>
      <c r="FW22" s="375"/>
      <c r="FX22" s="375"/>
      <c r="FY22" s="375"/>
      <c r="FZ22" s="375"/>
      <c r="GA22" s="375"/>
      <c r="GB22" s="375"/>
      <c r="GC22" s="375"/>
      <c r="GD22" s="375"/>
      <c r="GE22" s="375"/>
      <c r="GF22" s="375"/>
      <c r="GG22" s="375"/>
      <c r="GH22" s="375"/>
      <c r="GI22" s="375"/>
      <c r="GJ22" s="375"/>
      <c r="GK22" s="375"/>
      <c r="GL22" s="375"/>
      <c r="GM22" s="375"/>
      <c r="GN22" s="375"/>
      <c r="GO22" s="375"/>
      <c r="GP22" s="375"/>
      <c r="GQ22" s="375"/>
      <c r="GR22" s="375"/>
    </row>
    <row r="23" spans="1:200" s="61" customFormat="1" ht="15.6" customHeight="1" x14ac:dyDescent="0.3">
      <c r="A23" s="280"/>
      <c r="B23" s="281"/>
      <c r="C23" s="282"/>
      <c r="D23" s="282">
        <v>1</v>
      </c>
      <c r="E23" s="4">
        <v>13</v>
      </c>
      <c r="F23" s="281"/>
      <c r="G23" s="282"/>
      <c r="H23" s="282">
        <v>1</v>
      </c>
      <c r="I23" s="471"/>
      <c r="J23" s="473"/>
      <c r="K23" s="285"/>
      <c r="L23" s="286"/>
      <c r="M23" s="4">
        <v>13</v>
      </c>
      <c r="N23" s="62" t="s">
        <v>71</v>
      </c>
      <c r="O23" s="62" t="s">
        <v>448</v>
      </c>
      <c r="P23" s="62" t="s">
        <v>450</v>
      </c>
      <c r="Q23" s="60">
        <f t="shared" si="23"/>
        <v>0</v>
      </c>
      <c r="R23" s="60">
        <f t="shared" si="24"/>
        <v>0</v>
      </c>
      <c r="S23" s="60">
        <f t="shared" si="25"/>
        <v>0</v>
      </c>
      <c r="T23" s="60">
        <v>1</v>
      </c>
      <c r="U23" s="60">
        <v>1</v>
      </c>
      <c r="V23" s="64">
        <f t="shared" si="67"/>
        <v>476.1</v>
      </c>
      <c r="W23" s="64"/>
      <c r="X23" s="65">
        <v>476.1</v>
      </c>
      <c r="Y23" s="64"/>
      <c r="Z23" s="73"/>
      <c r="AA23" s="64">
        <f t="shared" si="68"/>
        <v>476.1</v>
      </c>
      <c r="AB23" s="64"/>
      <c r="AC23" s="65">
        <v>476.1</v>
      </c>
      <c r="AD23" s="64"/>
      <c r="AE23" s="73"/>
      <c r="AF23" s="64">
        <f t="shared" si="69"/>
        <v>476.1</v>
      </c>
      <c r="AG23" s="64"/>
      <c r="AH23" s="65">
        <v>476.1</v>
      </c>
      <c r="AI23" s="64"/>
      <c r="AJ23" s="73"/>
      <c r="AK23" s="64">
        <f t="shared" si="70"/>
        <v>207</v>
      </c>
      <c r="AL23" s="64"/>
      <c r="AM23" s="65">
        <v>207</v>
      </c>
      <c r="AN23" s="64"/>
      <c r="AO23" s="73"/>
      <c r="AP23" s="64" t="s">
        <v>351</v>
      </c>
      <c r="AQ23" s="64">
        <f t="shared" si="71"/>
        <v>476.1</v>
      </c>
      <c r="AR23" s="64"/>
      <c r="AS23" s="65">
        <f>207+269.1</f>
        <v>476.1</v>
      </c>
      <c r="AT23" s="80"/>
      <c r="AU23" s="73"/>
      <c r="AV23" s="64">
        <f t="shared" si="9"/>
        <v>0</v>
      </c>
      <c r="AW23" s="64">
        <f t="shared" si="10"/>
        <v>0</v>
      </c>
      <c r="AX23" s="64">
        <f t="shared" si="11"/>
        <v>0</v>
      </c>
      <c r="AY23" s="64">
        <f t="shared" si="12"/>
        <v>0</v>
      </c>
      <c r="AZ23" s="64" t="e">
        <f>#REF!-AU23</f>
        <v>#REF!</v>
      </c>
      <c r="BA23" s="64">
        <f t="shared" si="72"/>
        <v>476.1</v>
      </c>
      <c r="BB23" s="64"/>
      <c r="BC23" s="65">
        <f>207+269.1</f>
        <v>476.1</v>
      </c>
      <c r="BD23" s="80"/>
      <c r="BE23" s="73"/>
      <c r="BF23" s="64">
        <f t="shared" si="73"/>
        <v>0</v>
      </c>
      <c r="BG23" s="64"/>
      <c r="BH23" s="65"/>
      <c r="BI23" s="80"/>
      <c r="BJ23" s="73"/>
      <c r="BK23" s="64">
        <f t="shared" si="74"/>
        <v>476.1</v>
      </c>
      <c r="BL23" s="64"/>
      <c r="BM23" s="65">
        <f>207+269.1</f>
        <v>476.1</v>
      </c>
      <c r="BN23" s="85"/>
      <c r="BO23" s="74"/>
      <c r="BP23" s="64">
        <f t="shared" si="75"/>
        <v>476.1</v>
      </c>
      <c r="BQ23" s="64"/>
      <c r="BR23" s="74">
        <v>476.1</v>
      </c>
      <c r="BS23" s="85"/>
      <c r="BT23" s="74"/>
      <c r="BU23" s="64">
        <f t="shared" si="76"/>
        <v>399.99299999999999</v>
      </c>
      <c r="BV23" s="25"/>
      <c r="BW23" s="87">
        <v>399.99299999999999</v>
      </c>
      <c r="BX23" s="87"/>
      <c r="BY23" s="64"/>
      <c r="BZ23" s="60">
        <f t="shared" si="77"/>
        <v>876.09300000000007</v>
      </c>
      <c r="CA23" s="64">
        <f t="shared" si="13"/>
        <v>876.09300000000007</v>
      </c>
      <c r="CB23" s="64">
        <f t="shared" si="14"/>
        <v>0</v>
      </c>
      <c r="CC23" s="64">
        <f t="shared" si="15"/>
        <v>876.09300000000007</v>
      </c>
      <c r="CD23" s="64">
        <f t="shared" si="16"/>
        <v>0</v>
      </c>
      <c r="CE23" s="64">
        <f t="shared" si="78"/>
        <v>0</v>
      </c>
      <c r="CF23" s="64">
        <f t="shared" si="17"/>
        <v>0</v>
      </c>
      <c r="CG23" s="64">
        <f t="shared" si="18"/>
        <v>0</v>
      </c>
      <c r="CH23" s="64">
        <f t="shared" si="19"/>
        <v>0</v>
      </c>
      <c r="CI23" s="64">
        <f t="shared" si="20"/>
        <v>0</v>
      </c>
      <c r="CJ23" s="64">
        <f t="shared" si="79"/>
        <v>0</v>
      </c>
      <c r="CK23" s="66"/>
      <c r="CL23" s="89"/>
      <c r="CM23" s="89"/>
      <c r="CN23" s="64">
        <f t="shared" si="80"/>
        <v>0</v>
      </c>
      <c r="CO23" s="64"/>
      <c r="CP23" s="65"/>
      <c r="CQ23" s="80"/>
      <c r="CR23" s="73"/>
      <c r="CS23" s="64">
        <f t="shared" si="81"/>
        <v>0</v>
      </c>
      <c r="CT23" s="64"/>
      <c r="CU23" s="65"/>
      <c r="CV23" s="80"/>
      <c r="CW23" s="73"/>
      <c r="CX23" s="64">
        <f t="shared" si="82"/>
        <v>0</v>
      </c>
      <c r="CY23" s="64">
        <f t="shared" si="83"/>
        <v>0</v>
      </c>
      <c r="CZ23" s="64">
        <f t="shared" si="83"/>
        <v>0</v>
      </c>
      <c r="DA23" s="64">
        <f t="shared" si="83"/>
        <v>0</v>
      </c>
      <c r="DB23" s="64">
        <f t="shared" si="83"/>
        <v>0</v>
      </c>
      <c r="DC23" s="80"/>
      <c r="DD23" s="80"/>
      <c r="DE23" s="80"/>
      <c r="DF23" s="64">
        <f t="shared" si="84"/>
        <v>0</v>
      </c>
      <c r="DH23" s="64">
        <f t="shared" si="85"/>
        <v>476.1</v>
      </c>
      <c r="DI23" s="64">
        <f t="shared" si="86"/>
        <v>476.1</v>
      </c>
      <c r="DK23" s="64"/>
      <c r="DL23" s="64"/>
      <c r="DN23" s="64"/>
      <c r="DQ23" s="64">
        <f t="shared" si="87"/>
        <v>476.1</v>
      </c>
      <c r="DR23" s="64"/>
      <c r="DS23" s="74">
        <v>476.1</v>
      </c>
      <c r="DT23" s="85"/>
      <c r="DU23" s="74"/>
      <c r="DV23" s="64">
        <f t="shared" si="88"/>
        <v>0</v>
      </c>
      <c r="DW23" s="64"/>
      <c r="DX23" s="80"/>
      <c r="DY23" s="80"/>
      <c r="DZ23" s="64"/>
      <c r="EA23" s="375"/>
      <c r="EB23" s="375"/>
      <c r="EC23" s="375"/>
      <c r="ED23" s="375"/>
      <c r="EE23" s="375"/>
      <c r="EF23" s="375"/>
      <c r="EG23" s="375"/>
      <c r="EH23" s="375"/>
      <c r="EI23" s="375"/>
      <c r="EJ23" s="375"/>
      <c r="EK23" s="375"/>
      <c r="EL23" s="375"/>
      <c r="EM23" s="375"/>
      <c r="EN23" s="375"/>
      <c r="EO23" s="375"/>
      <c r="EP23" s="375"/>
      <c r="EQ23" s="375"/>
      <c r="ER23" s="375"/>
      <c r="ES23" s="375"/>
      <c r="ET23" s="375"/>
      <c r="EU23" s="375"/>
      <c r="EV23" s="375"/>
      <c r="EW23" s="375"/>
      <c r="EX23" s="375"/>
      <c r="EY23" s="375"/>
      <c r="EZ23" s="375"/>
      <c r="FA23" s="375"/>
      <c r="FB23" s="375"/>
      <c r="FC23" s="375"/>
      <c r="FD23" s="375"/>
      <c r="FE23" s="375"/>
      <c r="FF23" s="375"/>
      <c r="FG23" s="375"/>
      <c r="FH23" s="375"/>
      <c r="FI23" s="375"/>
      <c r="FJ23" s="375"/>
      <c r="FK23" s="375"/>
      <c r="FL23" s="375"/>
      <c r="FM23" s="375"/>
      <c r="FN23" s="375"/>
      <c r="FO23" s="375"/>
      <c r="FP23" s="375"/>
      <c r="FQ23" s="375"/>
      <c r="FR23" s="375"/>
      <c r="FS23" s="375"/>
      <c r="FT23" s="375"/>
      <c r="FU23" s="375"/>
      <c r="FV23" s="375"/>
      <c r="FW23" s="375"/>
      <c r="FX23" s="375"/>
      <c r="FY23" s="375"/>
      <c r="FZ23" s="375"/>
      <c r="GA23" s="375"/>
      <c r="GB23" s="375"/>
      <c r="GC23" s="375"/>
      <c r="GD23" s="375"/>
      <c r="GE23" s="375"/>
      <c r="GF23" s="375"/>
      <c r="GG23" s="375"/>
      <c r="GH23" s="375"/>
      <c r="GI23" s="375"/>
      <c r="GJ23" s="375"/>
      <c r="GK23" s="375"/>
      <c r="GL23" s="375"/>
      <c r="GM23" s="375"/>
      <c r="GN23" s="375"/>
      <c r="GO23" s="375"/>
      <c r="GP23" s="375"/>
      <c r="GQ23" s="375"/>
      <c r="GR23" s="375"/>
    </row>
    <row r="24" spans="1:200" s="61" customFormat="1" ht="15.75" customHeight="1" x14ac:dyDescent="0.3">
      <c r="A24" s="280"/>
      <c r="B24" s="281"/>
      <c r="C24" s="282"/>
      <c r="D24" s="282">
        <v>1</v>
      </c>
      <c r="E24" s="4">
        <v>14</v>
      </c>
      <c r="F24" s="281"/>
      <c r="G24" s="282"/>
      <c r="H24" s="282">
        <v>1</v>
      </c>
      <c r="I24" s="474"/>
      <c r="J24" s="475"/>
      <c r="K24" s="475"/>
      <c r="L24" s="288"/>
      <c r="M24" s="4">
        <v>14</v>
      </c>
      <c r="N24" s="62" t="s">
        <v>72</v>
      </c>
      <c r="O24" s="62" t="s">
        <v>448</v>
      </c>
      <c r="P24" s="62" t="s">
        <v>448</v>
      </c>
      <c r="Q24" s="60">
        <f t="shared" si="23"/>
        <v>0</v>
      </c>
      <c r="R24" s="60">
        <f t="shared" si="24"/>
        <v>218.5</v>
      </c>
      <c r="S24" s="60">
        <f t="shared" si="25"/>
        <v>0</v>
      </c>
      <c r="T24" s="60">
        <v>1</v>
      </c>
      <c r="U24" s="60"/>
      <c r="V24" s="64">
        <f t="shared" si="67"/>
        <v>218.5</v>
      </c>
      <c r="W24" s="64"/>
      <c r="X24" s="65">
        <v>218.5</v>
      </c>
      <c r="Y24" s="64"/>
      <c r="Z24" s="73"/>
      <c r="AA24" s="64">
        <f t="shared" si="68"/>
        <v>218.5</v>
      </c>
      <c r="AB24" s="64"/>
      <c r="AC24" s="65">
        <v>218.5</v>
      </c>
      <c r="AD24" s="64"/>
      <c r="AE24" s="73"/>
      <c r="AF24" s="64">
        <f t="shared" si="69"/>
        <v>218.5</v>
      </c>
      <c r="AG24" s="64"/>
      <c r="AH24" s="65">
        <v>218.5</v>
      </c>
      <c r="AI24" s="64"/>
      <c r="AJ24" s="73"/>
      <c r="AK24" s="64">
        <f t="shared" si="70"/>
        <v>95</v>
      </c>
      <c r="AL24" s="64"/>
      <c r="AM24" s="65">
        <v>95</v>
      </c>
      <c r="AN24" s="64"/>
      <c r="AO24" s="73"/>
      <c r="AP24" s="64" t="s">
        <v>380</v>
      </c>
      <c r="AQ24" s="64">
        <f t="shared" si="71"/>
        <v>218.5</v>
      </c>
      <c r="AR24" s="64"/>
      <c r="AS24" s="65">
        <v>218.5</v>
      </c>
      <c r="AT24" s="64"/>
      <c r="AU24" s="73"/>
      <c r="AV24" s="64">
        <f t="shared" si="9"/>
        <v>0</v>
      </c>
      <c r="AW24" s="64">
        <f t="shared" si="10"/>
        <v>0</v>
      </c>
      <c r="AX24" s="64">
        <f t="shared" si="11"/>
        <v>0</v>
      </c>
      <c r="AY24" s="64">
        <f t="shared" si="12"/>
        <v>0</v>
      </c>
      <c r="AZ24" s="64" t="e">
        <f>#REF!-AU24</f>
        <v>#REF!</v>
      </c>
      <c r="BA24" s="64">
        <f t="shared" si="72"/>
        <v>218.5</v>
      </c>
      <c r="BB24" s="64"/>
      <c r="BC24" s="65">
        <v>218.5</v>
      </c>
      <c r="BD24" s="64"/>
      <c r="BE24" s="73"/>
      <c r="BF24" s="64">
        <f t="shared" si="73"/>
        <v>0</v>
      </c>
      <c r="BG24" s="64"/>
      <c r="BH24" s="65"/>
      <c r="BI24" s="64"/>
      <c r="BJ24" s="73"/>
      <c r="BK24" s="64">
        <f t="shared" si="74"/>
        <v>218.5</v>
      </c>
      <c r="BL24" s="64"/>
      <c r="BM24" s="65">
        <v>218.5</v>
      </c>
      <c r="BN24" s="64"/>
      <c r="BO24" s="74"/>
      <c r="BP24" s="64">
        <f t="shared" si="75"/>
        <v>0</v>
      </c>
      <c r="BQ24" s="64"/>
      <c r="BR24" s="74"/>
      <c r="BS24" s="64"/>
      <c r="BT24" s="74"/>
      <c r="BU24" s="64">
        <f t="shared" si="76"/>
        <v>0</v>
      </c>
      <c r="BV24" s="25"/>
      <c r="BW24" s="25"/>
      <c r="BX24" s="25"/>
      <c r="BY24" s="64"/>
      <c r="BZ24" s="60">
        <f t="shared" si="77"/>
        <v>0</v>
      </c>
      <c r="CA24" s="64">
        <f t="shared" si="13"/>
        <v>0</v>
      </c>
      <c r="CB24" s="64">
        <f t="shared" si="14"/>
        <v>0</v>
      </c>
      <c r="CC24" s="64">
        <f t="shared" si="15"/>
        <v>0</v>
      </c>
      <c r="CD24" s="64">
        <f t="shared" si="16"/>
        <v>0</v>
      </c>
      <c r="CE24" s="64">
        <f t="shared" si="78"/>
        <v>0</v>
      </c>
      <c r="CF24" s="64">
        <f t="shared" si="17"/>
        <v>218.5</v>
      </c>
      <c r="CG24" s="64">
        <f t="shared" si="18"/>
        <v>0</v>
      </c>
      <c r="CH24" s="64">
        <f t="shared" si="19"/>
        <v>218.5</v>
      </c>
      <c r="CI24" s="64">
        <f t="shared" si="20"/>
        <v>0</v>
      </c>
      <c r="CJ24" s="64">
        <f t="shared" si="79"/>
        <v>0</v>
      </c>
      <c r="CK24" s="66"/>
      <c r="CL24" s="67"/>
      <c r="CM24" s="67"/>
      <c r="CN24" s="64">
        <f t="shared" si="80"/>
        <v>0</v>
      </c>
      <c r="CO24" s="64"/>
      <c r="CP24" s="65"/>
      <c r="CQ24" s="64"/>
      <c r="CR24" s="73"/>
      <c r="CS24" s="64">
        <f t="shared" si="81"/>
        <v>0</v>
      </c>
      <c r="CT24" s="64"/>
      <c r="CU24" s="65"/>
      <c r="CV24" s="64"/>
      <c r="CW24" s="73"/>
      <c r="CX24" s="64">
        <f t="shared" si="82"/>
        <v>0</v>
      </c>
      <c r="CY24" s="64">
        <f t="shared" si="83"/>
        <v>0</v>
      </c>
      <c r="CZ24" s="64">
        <f t="shared" si="83"/>
        <v>0</v>
      </c>
      <c r="DA24" s="64">
        <f t="shared" si="83"/>
        <v>0</v>
      </c>
      <c r="DB24" s="64">
        <f t="shared" si="83"/>
        <v>0</v>
      </c>
      <c r="DC24" s="64"/>
      <c r="DD24" s="64"/>
      <c r="DE24" s="64"/>
      <c r="DF24" s="64">
        <f t="shared" si="84"/>
        <v>218.5</v>
      </c>
      <c r="DH24" s="64">
        <f t="shared" si="85"/>
        <v>218.5</v>
      </c>
      <c r="DI24" s="64">
        <f t="shared" si="86"/>
        <v>0</v>
      </c>
      <c r="DK24" s="64"/>
      <c r="DL24" s="64"/>
      <c r="DN24" s="64"/>
      <c r="DQ24" s="64">
        <f t="shared" si="87"/>
        <v>0</v>
      </c>
      <c r="DR24" s="64"/>
      <c r="DS24" s="74"/>
      <c r="DT24" s="64"/>
      <c r="DU24" s="74"/>
      <c r="DV24" s="64">
        <f t="shared" si="88"/>
        <v>0</v>
      </c>
      <c r="DW24" s="64"/>
      <c r="DX24" s="64"/>
      <c r="DY24" s="64"/>
      <c r="DZ24" s="64"/>
      <c r="EA24" s="375"/>
      <c r="EB24" s="375"/>
      <c r="EC24" s="375"/>
      <c r="ED24" s="375"/>
      <c r="EE24" s="375"/>
      <c r="EF24" s="375"/>
      <c r="EG24" s="375"/>
      <c r="EH24" s="375"/>
      <c r="EI24" s="375"/>
      <c r="EJ24" s="375"/>
      <c r="EK24" s="375"/>
      <c r="EL24" s="375"/>
      <c r="EM24" s="375"/>
      <c r="EN24" s="375"/>
      <c r="EO24" s="375"/>
      <c r="EP24" s="375"/>
      <c r="EQ24" s="375"/>
      <c r="ER24" s="375"/>
      <c r="ES24" s="375"/>
      <c r="ET24" s="375"/>
      <c r="EU24" s="375"/>
      <c r="EV24" s="375"/>
      <c r="EW24" s="375"/>
      <c r="EX24" s="375"/>
      <c r="EY24" s="375"/>
      <c r="EZ24" s="375"/>
      <c r="FA24" s="375"/>
      <c r="FB24" s="375"/>
      <c r="FC24" s="375"/>
      <c r="FD24" s="375"/>
      <c r="FE24" s="375"/>
      <c r="FF24" s="375"/>
      <c r="FG24" s="375"/>
      <c r="FH24" s="375"/>
      <c r="FI24" s="375"/>
      <c r="FJ24" s="375"/>
      <c r="FK24" s="375"/>
      <c r="FL24" s="375"/>
      <c r="FM24" s="375"/>
      <c r="FN24" s="375"/>
      <c r="FO24" s="375"/>
      <c r="FP24" s="375"/>
      <c r="FQ24" s="375"/>
      <c r="FR24" s="375"/>
      <c r="FS24" s="375"/>
      <c r="FT24" s="375"/>
      <c r="FU24" s="375"/>
      <c r="FV24" s="375"/>
      <c r="FW24" s="375"/>
      <c r="FX24" s="375"/>
      <c r="FY24" s="375"/>
      <c r="FZ24" s="375"/>
      <c r="GA24" s="375"/>
      <c r="GB24" s="375"/>
      <c r="GC24" s="375"/>
      <c r="GD24" s="375"/>
      <c r="GE24" s="375"/>
      <c r="GF24" s="375"/>
      <c r="GG24" s="375"/>
      <c r="GH24" s="375"/>
      <c r="GI24" s="375"/>
      <c r="GJ24" s="375"/>
      <c r="GK24" s="375"/>
      <c r="GL24" s="375"/>
      <c r="GM24" s="375"/>
      <c r="GN24" s="375"/>
      <c r="GO24" s="375"/>
      <c r="GP24" s="375"/>
      <c r="GQ24" s="375"/>
      <c r="GR24" s="375"/>
    </row>
    <row r="25" spans="1:200" s="61" customFormat="1" ht="15.75" customHeight="1" x14ac:dyDescent="0.3">
      <c r="A25" s="280"/>
      <c r="B25" s="281"/>
      <c r="C25" s="282"/>
      <c r="D25" s="282">
        <v>1</v>
      </c>
      <c r="E25" s="4">
        <v>15</v>
      </c>
      <c r="F25" s="281"/>
      <c r="G25" s="282"/>
      <c r="H25" s="282">
        <v>1</v>
      </c>
      <c r="I25" s="466"/>
      <c r="J25" s="467"/>
      <c r="K25" s="467"/>
      <c r="L25" s="467"/>
      <c r="M25" s="4">
        <v>15</v>
      </c>
      <c r="N25" s="62" t="s">
        <v>73</v>
      </c>
      <c r="O25" s="62" t="s">
        <v>449</v>
      </c>
      <c r="P25" s="62" t="s">
        <v>450</v>
      </c>
      <c r="Q25" s="60">
        <f t="shared" si="23"/>
        <v>0</v>
      </c>
      <c r="R25" s="60">
        <f t="shared" si="24"/>
        <v>3.5880000000000791</v>
      </c>
      <c r="S25" s="60">
        <f t="shared" si="25"/>
        <v>0</v>
      </c>
      <c r="T25" s="60">
        <v>1</v>
      </c>
      <c r="U25" s="60">
        <v>2</v>
      </c>
      <c r="V25" s="64">
        <f t="shared" si="67"/>
        <v>717.6</v>
      </c>
      <c r="W25" s="64"/>
      <c r="X25" s="65">
        <v>717.6</v>
      </c>
      <c r="Y25" s="64"/>
      <c r="Z25" s="73"/>
      <c r="AA25" s="64">
        <f t="shared" si="68"/>
        <v>717.6</v>
      </c>
      <c r="AB25" s="64"/>
      <c r="AC25" s="65">
        <v>717.6</v>
      </c>
      <c r="AD25" s="64"/>
      <c r="AE25" s="73"/>
      <c r="AF25" s="64">
        <f t="shared" si="69"/>
        <v>717.6</v>
      </c>
      <c r="AG25" s="64"/>
      <c r="AH25" s="65">
        <v>717.6</v>
      </c>
      <c r="AI25" s="64"/>
      <c r="AJ25" s="73"/>
      <c r="AK25" s="64">
        <f t="shared" si="70"/>
        <v>312</v>
      </c>
      <c r="AL25" s="64"/>
      <c r="AM25" s="65">
        <v>312</v>
      </c>
      <c r="AN25" s="64"/>
      <c r="AO25" s="73"/>
      <c r="AP25" s="64" t="s">
        <v>485</v>
      </c>
      <c r="AQ25" s="64">
        <f t="shared" si="71"/>
        <v>717.6</v>
      </c>
      <c r="AR25" s="64"/>
      <c r="AS25" s="65">
        <f>312+405.6</f>
        <v>717.6</v>
      </c>
      <c r="AT25" s="64"/>
      <c r="AU25" s="73"/>
      <c r="AV25" s="64">
        <f t="shared" si="9"/>
        <v>0</v>
      </c>
      <c r="AW25" s="64">
        <f t="shared" si="10"/>
        <v>0</v>
      </c>
      <c r="AX25" s="64">
        <f t="shared" si="11"/>
        <v>0</v>
      </c>
      <c r="AY25" s="64">
        <f t="shared" si="12"/>
        <v>0</v>
      </c>
      <c r="AZ25" s="64" t="e">
        <f>#REF!-AU25</f>
        <v>#REF!</v>
      </c>
      <c r="BA25" s="64">
        <f t="shared" si="72"/>
        <v>717.6</v>
      </c>
      <c r="BB25" s="64"/>
      <c r="BC25" s="65">
        <f>312+405.6</f>
        <v>717.6</v>
      </c>
      <c r="BD25" s="64"/>
      <c r="BE25" s="73"/>
      <c r="BF25" s="64">
        <f t="shared" si="73"/>
        <v>0</v>
      </c>
      <c r="BG25" s="64"/>
      <c r="BH25" s="64"/>
      <c r="BI25" s="64"/>
      <c r="BJ25" s="73"/>
      <c r="BK25" s="64">
        <f t="shared" si="74"/>
        <v>717.6</v>
      </c>
      <c r="BL25" s="64"/>
      <c r="BM25" s="65">
        <f>312+405.6</f>
        <v>717.6</v>
      </c>
      <c r="BN25" s="64"/>
      <c r="BO25" s="74"/>
      <c r="BP25" s="64">
        <f t="shared" si="75"/>
        <v>714.01199999999994</v>
      </c>
      <c r="BQ25" s="64"/>
      <c r="BR25" s="64">
        <f>310.186+230.353+173.473</f>
        <v>714.01199999999994</v>
      </c>
      <c r="BS25" s="64"/>
      <c r="BT25" s="74"/>
      <c r="BU25" s="64">
        <f t="shared" si="76"/>
        <v>251.90017</v>
      </c>
      <c r="BV25" s="25"/>
      <c r="BW25" s="25">
        <f>61.29426+81.27802+109.32789</f>
        <v>251.90017</v>
      </c>
      <c r="BX25" s="25"/>
      <c r="BY25" s="64"/>
      <c r="BZ25" s="60">
        <f t="shared" si="77"/>
        <v>965.91216999999995</v>
      </c>
      <c r="CA25" s="64">
        <f t="shared" si="13"/>
        <v>965.91216999999995</v>
      </c>
      <c r="CB25" s="64">
        <f t="shared" si="14"/>
        <v>0</v>
      </c>
      <c r="CC25" s="64">
        <f t="shared" si="15"/>
        <v>965.91216999999995</v>
      </c>
      <c r="CD25" s="64">
        <f t="shared" si="16"/>
        <v>0</v>
      </c>
      <c r="CE25" s="64">
        <f t="shared" si="78"/>
        <v>0</v>
      </c>
      <c r="CF25" s="64">
        <f t="shared" si="17"/>
        <v>3.5880000000000791</v>
      </c>
      <c r="CG25" s="64">
        <f t="shared" si="18"/>
        <v>0</v>
      </c>
      <c r="CH25" s="64">
        <f t="shared" si="19"/>
        <v>3.5880000000000791</v>
      </c>
      <c r="CI25" s="64">
        <f t="shared" si="20"/>
        <v>0</v>
      </c>
      <c r="CJ25" s="64">
        <f t="shared" si="79"/>
        <v>0</v>
      </c>
      <c r="CK25" s="66"/>
      <c r="CL25" s="67"/>
      <c r="CM25" s="67"/>
      <c r="CN25" s="64">
        <f t="shared" si="80"/>
        <v>0</v>
      </c>
      <c r="CO25" s="64"/>
      <c r="CP25" s="64"/>
      <c r="CQ25" s="64"/>
      <c r="CR25" s="73"/>
      <c r="CS25" s="64">
        <f t="shared" si="81"/>
        <v>0</v>
      </c>
      <c r="CT25" s="64"/>
      <c r="CU25" s="64"/>
      <c r="CV25" s="64"/>
      <c r="CW25" s="73"/>
      <c r="CX25" s="64">
        <f t="shared" si="82"/>
        <v>0</v>
      </c>
      <c r="CY25" s="64">
        <f t="shared" si="83"/>
        <v>0</v>
      </c>
      <c r="CZ25" s="64">
        <f t="shared" si="83"/>
        <v>0</v>
      </c>
      <c r="DA25" s="64">
        <f t="shared" si="83"/>
        <v>0</v>
      </c>
      <c r="DB25" s="64">
        <f t="shared" si="83"/>
        <v>0</v>
      </c>
      <c r="DC25" s="64"/>
      <c r="DD25" s="64"/>
      <c r="DE25" s="64"/>
      <c r="DF25" s="64">
        <f t="shared" si="84"/>
        <v>3.5880000000000791</v>
      </c>
      <c r="DH25" s="64">
        <f t="shared" si="85"/>
        <v>717.6</v>
      </c>
      <c r="DI25" s="64">
        <f t="shared" si="86"/>
        <v>714.01199999999994</v>
      </c>
      <c r="DK25" s="64"/>
      <c r="DL25" s="64"/>
      <c r="DN25" s="64"/>
      <c r="DQ25" s="64">
        <f t="shared" si="87"/>
        <v>714.01199999999994</v>
      </c>
      <c r="DR25" s="64"/>
      <c r="DS25" s="64">
        <f>310.186+230.353+173.473</f>
        <v>714.01199999999994</v>
      </c>
      <c r="DT25" s="64"/>
      <c r="DU25" s="74"/>
      <c r="DV25" s="64">
        <f t="shared" si="88"/>
        <v>251.90017</v>
      </c>
      <c r="DW25" s="64"/>
      <c r="DX25" s="64">
        <v>251.90017</v>
      </c>
      <c r="DY25" s="64"/>
      <c r="DZ25" s="64"/>
      <c r="EA25" s="375"/>
      <c r="EB25" s="375"/>
      <c r="EC25" s="375"/>
      <c r="ED25" s="375"/>
      <c r="EE25" s="375"/>
      <c r="EF25" s="375"/>
      <c r="EG25" s="375"/>
      <c r="EH25" s="375"/>
      <c r="EI25" s="375"/>
      <c r="EJ25" s="375"/>
      <c r="EK25" s="375"/>
      <c r="EL25" s="375"/>
      <c r="EM25" s="375"/>
      <c r="EN25" s="375"/>
      <c r="EO25" s="375"/>
      <c r="EP25" s="375"/>
      <c r="EQ25" s="375"/>
      <c r="ER25" s="375"/>
      <c r="ES25" s="375"/>
      <c r="ET25" s="375"/>
      <c r="EU25" s="375"/>
      <c r="EV25" s="375"/>
      <c r="EW25" s="375"/>
      <c r="EX25" s="375"/>
      <c r="EY25" s="375"/>
      <c r="EZ25" s="375"/>
      <c r="FA25" s="375"/>
      <c r="FB25" s="375"/>
      <c r="FC25" s="375"/>
      <c r="FD25" s="375"/>
      <c r="FE25" s="375"/>
      <c r="FF25" s="375"/>
      <c r="FG25" s="375"/>
      <c r="FH25" s="375"/>
      <c r="FI25" s="375"/>
      <c r="FJ25" s="375"/>
      <c r="FK25" s="375"/>
      <c r="FL25" s="375"/>
      <c r="FM25" s="375"/>
      <c r="FN25" s="375"/>
      <c r="FO25" s="375"/>
      <c r="FP25" s="375"/>
      <c r="FQ25" s="375"/>
      <c r="FR25" s="375"/>
      <c r="FS25" s="375"/>
      <c r="FT25" s="375"/>
      <c r="FU25" s="375"/>
      <c r="FV25" s="375"/>
      <c r="FW25" s="375"/>
      <c r="FX25" s="375"/>
      <c r="FY25" s="375"/>
      <c r="FZ25" s="375"/>
      <c r="GA25" s="375"/>
      <c r="GB25" s="375"/>
      <c r="GC25" s="375"/>
      <c r="GD25" s="375"/>
      <c r="GE25" s="375"/>
      <c r="GF25" s="375"/>
      <c r="GG25" s="375"/>
      <c r="GH25" s="375"/>
      <c r="GI25" s="375"/>
      <c r="GJ25" s="375"/>
      <c r="GK25" s="375"/>
      <c r="GL25" s="375"/>
      <c r="GM25" s="375"/>
      <c r="GN25" s="375"/>
      <c r="GO25" s="375"/>
      <c r="GP25" s="375"/>
      <c r="GQ25" s="375"/>
      <c r="GR25" s="375"/>
    </row>
    <row r="26" spans="1:200" s="61" customFormat="1" ht="15.75" customHeight="1" x14ac:dyDescent="0.3">
      <c r="A26" s="280"/>
      <c r="B26" s="281"/>
      <c r="C26" s="282">
        <v>1</v>
      </c>
      <c r="D26" s="282"/>
      <c r="E26" s="4">
        <v>16</v>
      </c>
      <c r="F26" s="281"/>
      <c r="G26" s="282">
        <v>1</v>
      </c>
      <c r="H26" s="282">
        <v>1</v>
      </c>
      <c r="I26" s="4"/>
      <c r="J26" s="283"/>
      <c r="K26" s="285"/>
      <c r="L26" s="286"/>
      <c r="M26" s="4">
        <v>16</v>
      </c>
      <c r="N26" s="62" t="s">
        <v>33</v>
      </c>
      <c r="O26" s="62" t="s">
        <v>449</v>
      </c>
      <c r="P26" s="62" t="s">
        <v>450</v>
      </c>
      <c r="Q26" s="60">
        <f t="shared" si="23"/>
        <v>0</v>
      </c>
      <c r="R26" s="60">
        <f t="shared" si="24"/>
        <v>595.70000000000005</v>
      </c>
      <c r="S26" s="60">
        <f t="shared" si="25"/>
        <v>0</v>
      </c>
      <c r="T26" s="60">
        <v>1</v>
      </c>
      <c r="U26" s="60"/>
      <c r="V26" s="64">
        <f t="shared" si="67"/>
        <v>595.70000000000005</v>
      </c>
      <c r="W26" s="64"/>
      <c r="X26" s="65">
        <v>595.70000000000005</v>
      </c>
      <c r="Y26" s="64"/>
      <c r="Z26" s="73"/>
      <c r="AA26" s="64">
        <f t="shared" si="68"/>
        <v>595.70000000000005</v>
      </c>
      <c r="AB26" s="64"/>
      <c r="AC26" s="65">
        <v>595.70000000000005</v>
      </c>
      <c r="AD26" s="64"/>
      <c r="AE26" s="73"/>
      <c r="AF26" s="64">
        <f t="shared" si="69"/>
        <v>595.70000000000005</v>
      </c>
      <c r="AG26" s="64"/>
      <c r="AH26" s="65">
        <v>595.70000000000005</v>
      </c>
      <c r="AI26" s="64"/>
      <c r="AJ26" s="73"/>
      <c r="AK26" s="64">
        <f t="shared" si="70"/>
        <v>259</v>
      </c>
      <c r="AL26" s="64"/>
      <c r="AM26" s="65">
        <v>259</v>
      </c>
      <c r="AN26" s="64"/>
      <c r="AO26" s="73"/>
      <c r="AP26" s="64" t="s">
        <v>346</v>
      </c>
      <c r="AQ26" s="64">
        <f t="shared" si="71"/>
        <v>595.70000000000005</v>
      </c>
      <c r="AR26" s="64"/>
      <c r="AS26" s="65">
        <v>595.70000000000005</v>
      </c>
      <c r="AT26" s="64"/>
      <c r="AU26" s="73"/>
      <c r="AV26" s="64">
        <f t="shared" si="9"/>
        <v>0</v>
      </c>
      <c r="AW26" s="64">
        <f t="shared" si="10"/>
        <v>0</v>
      </c>
      <c r="AX26" s="64">
        <f t="shared" si="11"/>
        <v>0</v>
      </c>
      <c r="AY26" s="64">
        <f t="shared" si="12"/>
        <v>0</v>
      </c>
      <c r="AZ26" s="64" t="e">
        <f>#REF!-AU26</f>
        <v>#REF!</v>
      </c>
      <c r="BA26" s="64">
        <f t="shared" si="72"/>
        <v>595.70000000000005</v>
      </c>
      <c r="BB26" s="64"/>
      <c r="BC26" s="65">
        <v>595.70000000000005</v>
      </c>
      <c r="BD26" s="64"/>
      <c r="BE26" s="73"/>
      <c r="BF26" s="64">
        <f t="shared" si="73"/>
        <v>0</v>
      </c>
      <c r="BG26" s="64"/>
      <c r="BH26" s="65"/>
      <c r="BI26" s="64"/>
      <c r="BJ26" s="73"/>
      <c r="BK26" s="64">
        <f t="shared" si="74"/>
        <v>595.70000000000005</v>
      </c>
      <c r="BL26" s="64"/>
      <c r="BM26" s="65">
        <v>595.70000000000005</v>
      </c>
      <c r="BN26" s="64"/>
      <c r="BO26" s="74"/>
      <c r="BP26" s="64">
        <f t="shared" si="75"/>
        <v>0</v>
      </c>
      <c r="BQ26" s="64"/>
      <c r="BR26" s="74"/>
      <c r="BS26" s="64"/>
      <c r="BT26" s="74"/>
      <c r="BU26" s="64">
        <f t="shared" si="76"/>
        <v>0</v>
      </c>
      <c r="BV26" s="75"/>
      <c r="BW26" s="75"/>
      <c r="BX26" s="75"/>
      <c r="BY26" s="64"/>
      <c r="BZ26" s="60">
        <f t="shared" si="77"/>
        <v>0</v>
      </c>
      <c r="CA26" s="64">
        <f t="shared" si="13"/>
        <v>0</v>
      </c>
      <c r="CB26" s="64">
        <f t="shared" si="14"/>
        <v>0</v>
      </c>
      <c r="CC26" s="64">
        <f t="shared" si="15"/>
        <v>0</v>
      </c>
      <c r="CD26" s="64">
        <f t="shared" si="16"/>
        <v>0</v>
      </c>
      <c r="CE26" s="64">
        <f t="shared" si="78"/>
        <v>0</v>
      </c>
      <c r="CF26" s="64">
        <f t="shared" si="17"/>
        <v>595.70000000000005</v>
      </c>
      <c r="CG26" s="64">
        <f t="shared" si="18"/>
        <v>0</v>
      </c>
      <c r="CH26" s="64">
        <f t="shared" si="19"/>
        <v>595.70000000000005</v>
      </c>
      <c r="CI26" s="64">
        <f t="shared" si="20"/>
        <v>0</v>
      </c>
      <c r="CJ26" s="64">
        <f t="shared" si="79"/>
        <v>0</v>
      </c>
      <c r="CK26" s="66"/>
      <c r="CL26" s="76">
        <f>BA26</f>
        <v>595.70000000000005</v>
      </c>
      <c r="CM26" s="76">
        <f>CL26+CN26</f>
        <v>595.70000000000005</v>
      </c>
      <c r="CN26" s="64">
        <f t="shared" si="80"/>
        <v>0</v>
      </c>
      <c r="CO26" s="64"/>
      <c r="CP26" s="65"/>
      <c r="CQ26" s="64"/>
      <c r="CR26" s="73"/>
      <c r="CS26" s="64">
        <f t="shared" si="81"/>
        <v>0</v>
      </c>
      <c r="CT26" s="64"/>
      <c r="CU26" s="65"/>
      <c r="CV26" s="64"/>
      <c r="CW26" s="73"/>
      <c r="CX26" s="64">
        <f t="shared" si="82"/>
        <v>0</v>
      </c>
      <c r="CY26" s="64">
        <f t="shared" si="83"/>
        <v>0</v>
      </c>
      <c r="CZ26" s="64">
        <f t="shared" si="83"/>
        <v>0</v>
      </c>
      <c r="DA26" s="64">
        <f t="shared" si="83"/>
        <v>0</v>
      </c>
      <c r="DB26" s="64">
        <f t="shared" si="83"/>
        <v>0</v>
      </c>
      <c r="DC26" s="64"/>
      <c r="DD26" s="64"/>
      <c r="DE26" s="64"/>
      <c r="DF26" s="64">
        <f t="shared" si="84"/>
        <v>595.70000000000005</v>
      </c>
      <c r="DH26" s="64">
        <f t="shared" si="85"/>
        <v>595.70000000000005</v>
      </c>
      <c r="DI26" s="64">
        <f t="shared" si="86"/>
        <v>0</v>
      </c>
      <c r="DK26" s="77">
        <f>DI26</f>
        <v>0</v>
      </c>
      <c r="DL26" s="77">
        <f>DF26</f>
        <v>595.70000000000005</v>
      </c>
      <c r="DN26" s="64">
        <f>CM26-DK26</f>
        <v>595.70000000000005</v>
      </c>
      <c r="DQ26" s="64">
        <f t="shared" si="87"/>
        <v>0</v>
      </c>
      <c r="DR26" s="64"/>
      <c r="DS26" s="74"/>
      <c r="DT26" s="64"/>
      <c r="DU26" s="74"/>
      <c r="DV26" s="64">
        <f t="shared" si="88"/>
        <v>0</v>
      </c>
      <c r="DW26" s="64"/>
      <c r="DX26" s="64"/>
      <c r="DY26" s="64"/>
      <c r="DZ26" s="64"/>
      <c r="EA26" s="375"/>
      <c r="EB26" s="375"/>
      <c r="EC26" s="375"/>
      <c r="ED26" s="375"/>
      <c r="EE26" s="375"/>
      <c r="EF26" s="375"/>
      <c r="EG26" s="375"/>
      <c r="EH26" s="375"/>
      <c r="EI26" s="375"/>
      <c r="EJ26" s="375"/>
      <c r="EK26" s="375"/>
      <c r="EL26" s="375"/>
      <c r="EM26" s="375"/>
      <c r="EN26" s="375"/>
      <c r="EO26" s="375"/>
      <c r="EP26" s="375"/>
      <c r="EQ26" s="375"/>
      <c r="ER26" s="375"/>
      <c r="ES26" s="375"/>
      <c r="ET26" s="375"/>
      <c r="EU26" s="375"/>
      <c r="EV26" s="375"/>
      <c r="EW26" s="375"/>
      <c r="EX26" s="375"/>
      <c r="EY26" s="375"/>
      <c r="EZ26" s="375"/>
      <c r="FA26" s="375"/>
      <c r="FB26" s="375"/>
      <c r="FC26" s="375"/>
      <c r="FD26" s="375"/>
      <c r="FE26" s="375"/>
      <c r="FF26" s="375"/>
      <c r="FG26" s="375"/>
      <c r="FH26" s="375"/>
      <c r="FI26" s="375"/>
      <c r="FJ26" s="375"/>
      <c r="FK26" s="375"/>
      <c r="FL26" s="375"/>
      <c r="FM26" s="375"/>
      <c r="FN26" s="375"/>
      <c r="FO26" s="375"/>
      <c r="FP26" s="375"/>
      <c r="FQ26" s="375"/>
      <c r="FR26" s="375"/>
      <c r="FS26" s="375"/>
      <c r="FT26" s="375"/>
      <c r="FU26" s="375"/>
      <c r="FV26" s="375"/>
      <c r="FW26" s="375"/>
      <c r="FX26" s="375"/>
      <c r="FY26" s="375"/>
      <c r="FZ26" s="375"/>
      <c r="GA26" s="375"/>
      <c r="GB26" s="375"/>
      <c r="GC26" s="375"/>
      <c r="GD26" s="375"/>
      <c r="GE26" s="375"/>
      <c r="GF26" s="375"/>
      <c r="GG26" s="375"/>
      <c r="GH26" s="375"/>
      <c r="GI26" s="375"/>
      <c r="GJ26" s="375"/>
      <c r="GK26" s="375"/>
      <c r="GL26" s="375"/>
      <c r="GM26" s="375"/>
      <c r="GN26" s="375"/>
      <c r="GO26" s="375"/>
      <c r="GP26" s="375"/>
      <c r="GQ26" s="375"/>
      <c r="GR26" s="375"/>
    </row>
    <row r="27" spans="1:200" s="61" customFormat="1" ht="15.75" customHeight="1" x14ac:dyDescent="0.3">
      <c r="A27" s="280"/>
      <c r="B27" s="281"/>
      <c r="C27" s="282"/>
      <c r="D27" s="282">
        <v>1</v>
      </c>
      <c r="E27" s="4">
        <v>17</v>
      </c>
      <c r="F27" s="281"/>
      <c r="G27" s="282"/>
      <c r="H27" s="282">
        <v>1</v>
      </c>
      <c r="I27" s="474"/>
      <c r="J27" s="475"/>
      <c r="K27" s="475"/>
      <c r="L27" s="288"/>
      <c r="M27" s="4">
        <v>17</v>
      </c>
      <c r="N27" s="62" t="s">
        <v>74</v>
      </c>
      <c r="O27" s="62" t="s">
        <v>450</v>
      </c>
      <c r="P27" s="62" t="s">
        <v>450</v>
      </c>
      <c r="Q27" s="60">
        <f t="shared" si="23"/>
        <v>0</v>
      </c>
      <c r="R27" s="60">
        <f t="shared" si="24"/>
        <v>61</v>
      </c>
      <c r="S27" s="60">
        <f t="shared" si="25"/>
        <v>0</v>
      </c>
      <c r="T27" s="60">
        <v>1</v>
      </c>
      <c r="U27" s="60">
        <v>2</v>
      </c>
      <c r="V27" s="64">
        <f t="shared" si="67"/>
        <v>414</v>
      </c>
      <c r="W27" s="64"/>
      <c r="X27" s="65">
        <v>414</v>
      </c>
      <c r="Y27" s="64"/>
      <c r="Z27" s="78"/>
      <c r="AA27" s="64">
        <f t="shared" si="68"/>
        <v>414</v>
      </c>
      <c r="AB27" s="64"/>
      <c r="AC27" s="65">
        <v>414</v>
      </c>
      <c r="AD27" s="64"/>
      <c r="AE27" s="78"/>
      <c r="AF27" s="64">
        <f t="shared" si="69"/>
        <v>414</v>
      </c>
      <c r="AG27" s="64"/>
      <c r="AH27" s="65">
        <v>414</v>
      </c>
      <c r="AI27" s="64"/>
      <c r="AJ27" s="78"/>
      <c r="AK27" s="64">
        <f t="shared" si="70"/>
        <v>180</v>
      </c>
      <c r="AL27" s="64"/>
      <c r="AM27" s="65">
        <v>180</v>
      </c>
      <c r="AN27" s="64"/>
      <c r="AO27" s="78"/>
      <c r="AP27" s="64" t="s">
        <v>486</v>
      </c>
      <c r="AQ27" s="64">
        <f t="shared" si="71"/>
        <v>414</v>
      </c>
      <c r="AR27" s="64"/>
      <c r="AS27" s="65">
        <f>180+234</f>
        <v>414</v>
      </c>
      <c r="AT27" s="64"/>
      <c r="AU27" s="64"/>
      <c r="AV27" s="64">
        <f t="shared" si="9"/>
        <v>0</v>
      </c>
      <c r="AW27" s="64">
        <f t="shared" si="10"/>
        <v>0</v>
      </c>
      <c r="AX27" s="64">
        <f t="shared" si="11"/>
        <v>0</v>
      </c>
      <c r="AY27" s="64">
        <f t="shared" si="12"/>
        <v>0</v>
      </c>
      <c r="AZ27" s="64" t="e">
        <f>#REF!-AU27</f>
        <v>#REF!</v>
      </c>
      <c r="BA27" s="64">
        <f t="shared" si="72"/>
        <v>414</v>
      </c>
      <c r="BB27" s="64"/>
      <c r="BC27" s="65">
        <f>180+234</f>
        <v>414</v>
      </c>
      <c r="BD27" s="64"/>
      <c r="BE27" s="64"/>
      <c r="BF27" s="64">
        <f t="shared" si="73"/>
        <v>0</v>
      </c>
      <c r="BG27" s="64"/>
      <c r="BH27" s="65"/>
      <c r="BI27" s="64"/>
      <c r="BJ27" s="64"/>
      <c r="BK27" s="64">
        <f t="shared" si="74"/>
        <v>414</v>
      </c>
      <c r="BL27" s="64"/>
      <c r="BM27" s="65">
        <f>180+234</f>
        <v>414</v>
      </c>
      <c r="BN27" s="64"/>
      <c r="BO27" s="64"/>
      <c r="BP27" s="64">
        <f t="shared" si="75"/>
        <v>353</v>
      </c>
      <c r="BQ27" s="64"/>
      <c r="BR27" s="74">
        <f>204+149</f>
        <v>353</v>
      </c>
      <c r="BS27" s="64"/>
      <c r="BT27" s="64"/>
      <c r="BU27" s="64">
        <f t="shared" si="76"/>
        <v>120</v>
      </c>
      <c r="BV27" s="25"/>
      <c r="BW27" s="25">
        <f>70+50</f>
        <v>120</v>
      </c>
      <c r="BX27" s="25"/>
      <c r="BY27" s="64"/>
      <c r="BZ27" s="60">
        <f t="shared" si="77"/>
        <v>473</v>
      </c>
      <c r="CA27" s="64">
        <f t="shared" si="13"/>
        <v>473</v>
      </c>
      <c r="CB27" s="64">
        <f t="shared" si="14"/>
        <v>0</v>
      </c>
      <c r="CC27" s="64">
        <f t="shared" si="15"/>
        <v>473</v>
      </c>
      <c r="CD27" s="64">
        <f t="shared" si="16"/>
        <v>0</v>
      </c>
      <c r="CE27" s="64">
        <f t="shared" si="78"/>
        <v>0</v>
      </c>
      <c r="CF27" s="64">
        <f t="shared" si="17"/>
        <v>61</v>
      </c>
      <c r="CG27" s="64">
        <f t="shared" si="18"/>
        <v>0</v>
      </c>
      <c r="CH27" s="64">
        <f t="shared" si="19"/>
        <v>61</v>
      </c>
      <c r="CI27" s="64">
        <f t="shared" si="20"/>
        <v>0</v>
      </c>
      <c r="CJ27" s="64">
        <f t="shared" si="79"/>
        <v>0</v>
      </c>
      <c r="CK27" s="66"/>
      <c r="CL27" s="67">
        <f>BA20-CL21-CL26</f>
        <v>10094.900000000001</v>
      </c>
      <c r="CM27" s="67">
        <f>CL27-BF20</f>
        <v>10094.900000000001</v>
      </c>
      <c r="CN27" s="64">
        <f t="shared" si="80"/>
        <v>0</v>
      </c>
      <c r="CO27" s="64"/>
      <c r="CP27" s="65"/>
      <c r="CQ27" s="64"/>
      <c r="CR27" s="64"/>
      <c r="CS27" s="64">
        <f t="shared" si="81"/>
        <v>0</v>
      </c>
      <c r="CT27" s="64"/>
      <c r="CU27" s="65"/>
      <c r="CV27" s="64"/>
      <c r="CW27" s="64"/>
      <c r="CX27" s="64">
        <f t="shared" si="82"/>
        <v>0</v>
      </c>
      <c r="CY27" s="64">
        <f t="shared" si="83"/>
        <v>0</v>
      </c>
      <c r="CZ27" s="64">
        <f t="shared" si="83"/>
        <v>0</v>
      </c>
      <c r="DA27" s="64">
        <f t="shared" si="83"/>
        <v>0</v>
      </c>
      <c r="DB27" s="64">
        <f t="shared" si="83"/>
        <v>0</v>
      </c>
      <c r="DC27" s="64"/>
      <c r="DD27" s="64"/>
      <c r="DE27" s="64"/>
      <c r="DF27" s="64">
        <f t="shared" si="84"/>
        <v>61</v>
      </c>
      <c r="DH27" s="64">
        <f t="shared" si="85"/>
        <v>414</v>
      </c>
      <c r="DI27" s="64">
        <f t="shared" si="86"/>
        <v>353</v>
      </c>
      <c r="DK27" s="64">
        <f>DI23+DI24+DI25+DI27+DI28+DI29+DI30+DI31+DI32+DI33+DI34+DI35+DI36+DI37+DI38</f>
        <v>5080.7120000000004</v>
      </c>
      <c r="DL27" s="64">
        <f>DF23+DF24+DF25+DF27+DF28+DF29+DF30+DF31+DF32+DF33+DF34+DF35+DF36+DF37+DF38</f>
        <v>354.1880000000001</v>
      </c>
      <c r="DN27" s="64">
        <f>CM27-DK27</f>
        <v>5014.188000000001</v>
      </c>
      <c r="DQ27" s="64">
        <f t="shared" si="87"/>
        <v>353</v>
      </c>
      <c r="DR27" s="64"/>
      <c r="DS27" s="74">
        <f>204+149</f>
        <v>353</v>
      </c>
      <c r="DT27" s="64"/>
      <c r="DU27" s="64"/>
      <c r="DV27" s="64">
        <f t="shared" si="88"/>
        <v>120</v>
      </c>
      <c r="DW27" s="64"/>
      <c r="DX27" s="64">
        <v>120</v>
      </c>
      <c r="DY27" s="64"/>
      <c r="DZ27" s="64"/>
      <c r="EA27" s="375"/>
      <c r="EB27" s="375"/>
      <c r="EC27" s="375"/>
      <c r="ED27" s="375"/>
      <c r="EE27" s="375"/>
      <c r="EF27" s="375"/>
      <c r="EG27" s="375"/>
      <c r="EH27" s="375"/>
      <c r="EI27" s="375"/>
      <c r="EJ27" s="375"/>
      <c r="EK27" s="375"/>
      <c r="EL27" s="375"/>
      <c r="EM27" s="375"/>
      <c r="EN27" s="375"/>
      <c r="EO27" s="375"/>
      <c r="EP27" s="375"/>
      <c r="EQ27" s="375"/>
      <c r="ER27" s="375"/>
      <c r="ES27" s="375"/>
      <c r="ET27" s="375"/>
      <c r="EU27" s="375"/>
      <c r="EV27" s="375"/>
      <c r="EW27" s="375"/>
      <c r="EX27" s="375"/>
      <c r="EY27" s="375"/>
      <c r="EZ27" s="375"/>
      <c r="FA27" s="375"/>
      <c r="FB27" s="375"/>
      <c r="FC27" s="375"/>
      <c r="FD27" s="375"/>
      <c r="FE27" s="375"/>
      <c r="FF27" s="375"/>
      <c r="FG27" s="375"/>
      <c r="FH27" s="375"/>
      <c r="FI27" s="375"/>
      <c r="FJ27" s="375"/>
      <c r="FK27" s="375"/>
      <c r="FL27" s="375"/>
      <c r="FM27" s="375"/>
      <c r="FN27" s="375"/>
      <c r="FO27" s="375"/>
      <c r="FP27" s="375"/>
      <c r="FQ27" s="375"/>
      <c r="FR27" s="375"/>
      <c r="FS27" s="375"/>
      <c r="FT27" s="375"/>
      <c r="FU27" s="375"/>
      <c r="FV27" s="375"/>
      <c r="FW27" s="375"/>
      <c r="FX27" s="375"/>
      <c r="FY27" s="375"/>
      <c r="FZ27" s="375"/>
      <c r="GA27" s="375"/>
      <c r="GB27" s="375"/>
      <c r="GC27" s="375"/>
      <c r="GD27" s="375"/>
      <c r="GE27" s="375"/>
      <c r="GF27" s="375"/>
      <c r="GG27" s="375"/>
      <c r="GH27" s="375"/>
      <c r="GI27" s="375"/>
      <c r="GJ27" s="375"/>
      <c r="GK27" s="375"/>
      <c r="GL27" s="375"/>
      <c r="GM27" s="375"/>
      <c r="GN27" s="375"/>
      <c r="GO27" s="375"/>
      <c r="GP27" s="375"/>
      <c r="GQ27" s="375"/>
      <c r="GR27" s="375"/>
    </row>
    <row r="28" spans="1:200" s="61" customFormat="1" ht="15.75" customHeight="1" x14ac:dyDescent="0.3">
      <c r="A28" s="280"/>
      <c r="B28" s="281"/>
      <c r="C28" s="282"/>
      <c r="D28" s="282">
        <v>1</v>
      </c>
      <c r="E28" s="4">
        <v>18</v>
      </c>
      <c r="F28" s="281"/>
      <c r="G28" s="282"/>
      <c r="H28" s="282">
        <v>1</v>
      </c>
      <c r="I28" s="280"/>
      <c r="J28" s="280"/>
      <c r="K28" s="280"/>
      <c r="L28" s="280"/>
      <c r="M28" s="4">
        <v>18</v>
      </c>
      <c r="N28" s="62" t="s">
        <v>75</v>
      </c>
      <c r="O28" s="62">
        <v>0</v>
      </c>
      <c r="P28" s="62">
        <v>0</v>
      </c>
      <c r="Q28" s="60">
        <f t="shared" si="23"/>
        <v>0</v>
      </c>
      <c r="R28" s="60">
        <f t="shared" si="24"/>
        <v>0</v>
      </c>
      <c r="S28" s="60">
        <f t="shared" si="25"/>
        <v>0</v>
      </c>
      <c r="T28" s="60"/>
      <c r="U28" s="60"/>
      <c r="V28" s="64">
        <f t="shared" si="67"/>
        <v>0</v>
      </c>
      <c r="W28" s="64"/>
      <c r="X28" s="65">
        <v>0</v>
      </c>
      <c r="Y28" s="64"/>
      <c r="Z28" s="73"/>
      <c r="AA28" s="64">
        <f t="shared" si="68"/>
        <v>0</v>
      </c>
      <c r="AB28" s="64"/>
      <c r="AC28" s="65">
        <v>0</v>
      </c>
      <c r="AD28" s="64"/>
      <c r="AE28" s="73"/>
      <c r="AF28" s="64">
        <f t="shared" si="69"/>
        <v>0</v>
      </c>
      <c r="AG28" s="64"/>
      <c r="AH28" s="65">
        <v>0</v>
      </c>
      <c r="AI28" s="64"/>
      <c r="AJ28" s="73"/>
      <c r="AK28" s="64">
        <f t="shared" si="70"/>
        <v>69</v>
      </c>
      <c r="AL28" s="64"/>
      <c r="AM28" s="65">
        <v>69</v>
      </c>
      <c r="AN28" s="64"/>
      <c r="AO28" s="73"/>
      <c r="AP28" s="64"/>
      <c r="AQ28" s="64">
        <f t="shared" si="71"/>
        <v>0</v>
      </c>
      <c r="AR28" s="64"/>
      <c r="AS28" s="65"/>
      <c r="AT28" s="64"/>
      <c r="AU28" s="73"/>
      <c r="AV28" s="64">
        <f t="shared" si="9"/>
        <v>0</v>
      </c>
      <c r="AW28" s="64">
        <f t="shared" si="10"/>
        <v>0</v>
      </c>
      <c r="AX28" s="64">
        <f t="shared" si="11"/>
        <v>0</v>
      </c>
      <c r="AY28" s="64">
        <f t="shared" si="12"/>
        <v>0</v>
      </c>
      <c r="AZ28" s="64" t="e">
        <f>#REF!-AU28</f>
        <v>#REF!</v>
      </c>
      <c r="BA28" s="64">
        <f t="shared" si="72"/>
        <v>0</v>
      </c>
      <c r="BB28" s="64"/>
      <c r="BC28" s="65"/>
      <c r="BD28" s="64"/>
      <c r="BE28" s="73"/>
      <c r="BF28" s="64">
        <f t="shared" si="73"/>
        <v>0</v>
      </c>
      <c r="BG28" s="64"/>
      <c r="BH28" s="65"/>
      <c r="BI28" s="64"/>
      <c r="BJ28" s="73"/>
      <c r="BK28" s="64">
        <f t="shared" si="74"/>
        <v>0</v>
      </c>
      <c r="BL28" s="64"/>
      <c r="BM28" s="74"/>
      <c r="BN28" s="64"/>
      <c r="BO28" s="74"/>
      <c r="BP28" s="64">
        <f t="shared" si="75"/>
        <v>0</v>
      </c>
      <c r="BQ28" s="64"/>
      <c r="BR28" s="74"/>
      <c r="BS28" s="64"/>
      <c r="BT28" s="74"/>
      <c r="BU28" s="64">
        <f t="shared" si="76"/>
        <v>0</v>
      </c>
      <c r="BV28" s="25"/>
      <c r="BW28" s="25"/>
      <c r="BX28" s="25"/>
      <c r="BY28" s="64"/>
      <c r="BZ28" s="60">
        <f t="shared" si="77"/>
        <v>0</v>
      </c>
      <c r="CA28" s="64">
        <f t="shared" si="13"/>
        <v>0</v>
      </c>
      <c r="CB28" s="64">
        <f t="shared" si="14"/>
        <v>0</v>
      </c>
      <c r="CC28" s="64">
        <f t="shared" si="15"/>
        <v>0</v>
      </c>
      <c r="CD28" s="64">
        <f t="shared" si="16"/>
        <v>0</v>
      </c>
      <c r="CE28" s="64">
        <f t="shared" si="78"/>
        <v>0</v>
      </c>
      <c r="CF28" s="64">
        <f t="shared" si="17"/>
        <v>0</v>
      </c>
      <c r="CG28" s="64">
        <f t="shared" si="18"/>
        <v>0</v>
      </c>
      <c r="CH28" s="64">
        <f t="shared" si="19"/>
        <v>0</v>
      </c>
      <c r="CI28" s="64">
        <f t="shared" si="20"/>
        <v>0</v>
      </c>
      <c r="CJ28" s="64">
        <f t="shared" si="79"/>
        <v>0</v>
      </c>
      <c r="CK28" s="66"/>
      <c r="CL28" s="67"/>
      <c r="CM28" s="67"/>
      <c r="CN28" s="64">
        <f t="shared" si="80"/>
        <v>0</v>
      </c>
      <c r="CO28" s="64"/>
      <c r="CP28" s="65"/>
      <c r="CQ28" s="64"/>
      <c r="CR28" s="73"/>
      <c r="CS28" s="64">
        <f t="shared" si="81"/>
        <v>0</v>
      </c>
      <c r="CT28" s="64"/>
      <c r="CU28" s="65"/>
      <c r="CV28" s="64"/>
      <c r="CW28" s="73"/>
      <c r="CX28" s="64">
        <f t="shared" si="82"/>
        <v>0</v>
      </c>
      <c r="CY28" s="64">
        <f t="shared" si="83"/>
        <v>0</v>
      </c>
      <c r="CZ28" s="64">
        <f t="shared" si="83"/>
        <v>0</v>
      </c>
      <c r="DA28" s="64">
        <f t="shared" si="83"/>
        <v>0</v>
      </c>
      <c r="DB28" s="64">
        <f t="shared" si="83"/>
        <v>0</v>
      </c>
      <c r="DC28" s="64"/>
      <c r="DD28" s="64"/>
      <c r="DE28" s="64"/>
      <c r="DF28" s="64">
        <f t="shared" si="84"/>
        <v>0</v>
      </c>
      <c r="DH28" s="64">
        <f t="shared" si="85"/>
        <v>0</v>
      </c>
      <c r="DI28" s="64">
        <f t="shared" si="86"/>
        <v>0</v>
      </c>
      <c r="DK28" s="64"/>
      <c r="DL28" s="64"/>
      <c r="DN28" s="64"/>
      <c r="DQ28" s="64">
        <f t="shared" si="87"/>
        <v>0</v>
      </c>
      <c r="DR28" s="64"/>
      <c r="DS28" s="74"/>
      <c r="DT28" s="64"/>
      <c r="DU28" s="74"/>
      <c r="DV28" s="64">
        <f t="shared" si="88"/>
        <v>0</v>
      </c>
      <c r="DW28" s="64"/>
      <c r="DX28" s="64"/>
      <c r="DY28" s="64"/>
      <c r="DZ28" s="64"/>
      <c r="EA28" s="375"/>
      <c r="EB28" s="375"/>
      <c r="EC28" s="375"/>
      <c r="ED28" s="375"/>
      <c r="EE28" s="375"/>
      <c r="EF28" s="375"/>
      <c r="EG28" s="375"/>
      <c r="EH28" s="375"/>
      <c r="EI28" s="375"/>
      <c r="EJ28" s="375"/>
      <c r="EK28" s="375"/>
      <c r="EL28" s="375"/>
      <c r="EM28" s="375"/>
      <c r="EN28" s="375"/>
      <c r="EO28" s="375"/>
      <c r="EP28" s="375"/>
      <c r="EQ28" s="375"/>
      <c r="ER28" s="375"/>
      <c r="ES28" s="375"/>
      <c r="ET28" s="375"/>
      <c r="EU28" s="375"/>
      <c r="EV28" s="375"/>
      <c r="EW28" s="375"/>
      <c r="EX28" s="375"/>
      <c r="EY28" s="375"/>
      <c r="EZ28" s="375"/>
      <c r="FA28" s="375"/>
      <c r="FB28" s="375"/>
      <c r="FC28" s="375"/>
      <c r="FD28" s="375"/>
      <c r="FE28" s="375"/>
      <c r="FF28" s="375"/>
      <c r="FG28" s="375"/>
      <c r="FH28" s="375"/>
      <c r="FI28" s="375"/>
      <c r="FJ28" s="375"/>
      <c r="FK28" s="375"/>
      <c r="FL28" s="375"/>
      <c r="FM28" s="375"/>
      <c r="FN28" s="375"/>
      <c r="FO28" s="375"/>
      <c r="FP28" s="375"/>
      <c r="FQ28" s="375"/>
      <c r="FR28" s="375"/>
      <c r="FS28" s="375"/>
      <c r="FT28" s="375"/>
      <c r="FU28" s="375"/>
      <c r="FV28" s="375"/>
      <c r="FW28" s="375"/>
      <c r="FX28" s="375"/>
      <c r="FY28" s="375"/>
      <c r="FZ28" s="375"/>
      <c r="GA28" s="375"/>
      <c r="GB28" s="375"/>
      <c r="GC28" s="375"/>
      <c r="GD28" s="375"/>
      <c r="GE28" s="375"/>
      <c r="GF28" s="375"/>
      <c r="GG28" s="375"/>
      <c r="GH28" s="375"/>
      <c r="GI28" s="375"/>
      <c r="GJ28" s="375"/>
      <c r="GK28" s="375"/>
      <c r="GL28" s="375"/>
      <c r="GM28" s="375"/>
      <c r="GN28" s="375"/>
      <c r="GO28" s="375"/>
      <c r="GP28" s="375"/>
      <c r="GQ28" s="375"/>
      <c r="GR28" s="375"/>
    </row>
    <row r="29" spans="1:200" s="61" customFormat="1" ht="15.75" customHeight="1" x14ac:dyDescent="0.3">
      <c r="A29" s="280"/>
      <c r="B29" s="281"/>
      <c r="C29" s="282"/>
      <c r="D29" s="282">
        <v>1</v>
      </c>
      <c r="E29" s="4">
        <v>19</v>
      </c>
      <c r="F29" s="281"/>
      <c r="G29" s="282"/>
      <c r="H29" s="282">
        <v>1</v>
      </c>
      <c r="I29" s="280"/>
      <c r="J29" s="280"/>
      <c r="K29" s="280"/>
      <c r="L29" s="280"/>
      <c r="M29" s="4">
        <v>19</v>
      </c>
      <c r="N29" s="62" t="s">
        <v>76</v>
      </c>
      <c r="O29" s="62" t="s">
        <v>448</v>
      </c>
      <c r="P29" s="62" t="s">
        <v>448</v>
      </c>
      <c r="Q29" s="60">
        <f t="shared" si="23"/>
        <v>0</v>
      </c>
      <c r="R29" s="60">
        <f t="shared" si="24"/>
        <v>0</v>
      </c>
      <c r="S29" s="60">
        <f t="shared" si="25"/>
        <v>0</v>
      </c>
      <c r="T29" s="60">
        <v>1</v>
      </c>
      <c r="U29" s="60">
        <v>1</v>
      </c>
      <c r="V29" s="64">
        <f t="shared" si="67"/>
        <v>598</v>
      </c>
      <c r="W29" s="64"/>
      <c r="X29" s="65">
        <v>598</v>
      </c>
      <c r="Y29" s="64"/>
      <c r="Z29" s="78"/>
      <c r="AA29" s="64">
        <f t="shared" si="68"/>
        <v>598</v>
      </c>
      <c r="AB29" s="64"/>
      <c r="AC29" s="65">
        <v>598</v>
      </c>
      <c r="AD29" s="64"/>
      <c r="AE29" s="78"/>
      <c r="AF29" s="64">
        <f t="shared" si="69"/>
        <v>598</v>
      </c>
      <c r="AG29" s="64"/>
      <c r="AH29" s="65">
        <v>598</v>
      </c>
      <c r="AI29" s="64"/>
      <c r="AJ29" s="78"/>
      <c r="AK29" s="64">
        <f t="shared" si="70"/>
        <v>260</v>
      </c>
      <c r="AL29" s="64"/>
      <c r="AM29" s="65">
        <v>260</v>
      </c>
      <c r="AN29" s="64"/>
      <c r="AO29" s="78"/>
      <c r="AP29" s="64" t="s">
        <v>340</v>
      </c>
      <c r="AQ29" s="64">
        <f t="shared" si="71"/>
        <v>598</v>
      </c>
      <c r="AR29" s="64"/>
      <c r="AS29" s="65">
        <f>260+338</f>
        <v>598</v>
      </c>
      <c r="AT29" s="64"/>
      <c r="AU29" s="64"/>
      <c r="AV29" s="64">
        <f t="shared" si="9"/>
        <v>0</v>
      </c>
      <c r="AW29" s="64">
        <f t="shared" si="10"/>
        <v>0</v>
      </c>
      <c r="AX29" s="64">
        <f t="shared" si="11"/>
        <v>0</v>
      </c>
      <c r="AY29" s="64">
        <f t="shared" si="12"/>
        <v>0</v>
      </c>
      <c r="AZ29" s="64" t="e">
        <f>#REF!-AU29</f>
        <v>#REF!</v>
      </c>
      <c r="BA29" s="64">
        <f t="shared" si="72"/>
        <v>598</v>
      </c>
      <c r="BB29" s="64"/>
      <c r="BC29" s="65">
        <f>260+338</f>
        <v>598</v>
      </c>
      <c r="BD29" s="64"/>
      <c r="BE29" s="64"/>
      <c r="BF29" s="64">
        <f t="shared" si="73"/>
        <v>0</v>
      </c>
      <c r="BG29" s="64"/>
      <c r="BH29" s="65"/>
      <c r="BI29" s="64"/>
      <c r="BJ29" s="64"/>
      <c r="BK29" s="64">
        <f t="shared" si="74"/>
        <v>598</v>
      </c>
      <c r="BL29" s="64"/>
      <c r="BM29" s="65">
        <f>260+338</f>
        <v>598</v>
      </c>
      <c r="BN29" s="64"/>
      <c r="BO29" s="64"/>
      <c r="BP29" s="64">
        <f t="shared" si="75"/>
        <v>598</v>
      </c>
      <c r="BQ29" s="64"/>
      <c r="BR29" s="74">
        <f>260+338</f>
        <v>598</v>
      </c>
      <c r="BS29" s="64"/>
      <c r="BT29" s="64"/>
      <c r="BU29" s="64">
        <f t="shared" si="76"/>
        <v>201.13400000000001</v>
      </c>
      <c r="BV29" s="25"/>
      <c r="BW29" s="25">
        <f>87.869+113.265</f>
        <v>201.13400000000001</v>
      </c>
      <c r="BX29" s="25"/>
      <c r="BY29" s="64"/>
      <c r="BZ29" s="60">
        <f t="shared" si="77"/>
        <v>799.13400000000001</v>
      </c>
      <c r="CA29" s="64">
        <f t="shared" si="13"/>
        <v>799.13400000000001</v>
      </c>
      <c r="CB29" s="64">
        <f t="shared" si="14"/>
        <v>0</v>
      </c>
      <c r="CC29" s="64">
        <f t="shared" si="15"/>
        <v>799.13400000000001</v>
      </c>
      <c r="CD29" s="64">
        <f t="shared" si="16"/>
        <v>0</v>
      </c>
      <c r="CE29" s="64">
        <f t="shared" si="78"/>
        <v>0</v>
      </c>
      <c r="CF29" s="64">
        <f t="shared" si="17"/>
        <v>0</v>
      </c>
      <c r="CG29" s="64">
        <f t="shared" si="18"/>
        <v>0</v>
      </c>
      <c r="CH29" s="64">
        <f t="shared" si="19"/>
        <v>0</v>
      </c>
      <c r="CI29" s="64">
        <f t="shared" si="20"/>
        <v>0</v>
      </c>
      <c r="CJ29" s="64">
        <f t="shared" si="79"/>
        <v>0</v>
      </c>
      <c r="CK29" s="66"/>
      <c r="CL29" s="67"/>
      <c r="CM29" s="67"/>
      <c r="CN29" s="64">
        <f t="shared" si="80"/>
        <v>0</v>
      </c>
      <c r="CO29" s="64"/>
      <c r="CP29" s="65"/>
      <c r="CQ29" s="64"/>
      <c r="CR29" s="64"/>
      <c r="CS29" s="64">
        <f t="shared" si="81"/>
        <v>0</v>
      </c>
      <c r="CT29" s="64"/>
      <c r="CU29" s="65"/>
      <c r="CV29" s="64"/>
      <c r="CW29" s="64"/>
      <c r="CX29" s="64">
        <f t="shared" si="82"/>
        <v>0</v>
      </c>
      <c r="CY29" s="64">
        <f t="shared" si="83"/>
        <v>0</v>
      </c>
      <c r="CZ29" s="64">
        <f t="shared" si="83"/>
        <v>0</v>
      </c>
      <c r="DA29" s="64">
        <f t="shared" si="83"/>
        <v>0</v>
      </c>
      <c r="DB29" s="64">
        <f t="shared" si="83"/>
        <v>0</v>
      </c>
      <c r="DC29" s="64"/>
      <c r="DD29" s="64"/>
      <c r="DE29" s="64"/>
      <c r="DF29" s="64">
        <f t="shared" si="84"/>
        <v>0</v>
      </c>
      <c r="DH29" s="64">
        <f t="shared" si="85"/>
        <v>598</v>
      </c>
      <c r="DI29" s="64">
        <f t="shared" si="86"/>
        <v>598</v>
      </c>
      <c r="DK29" s="64"/>
      <c r="DL29" s="64"/>
      <c r="DN29" s="64"/>
      <c r="DQ29" s="64">
        <f t="shared" si="87"/>
        <v>598</v>
      </c>
      <c r="DR29" s="64"/>
      <c r="DS29" s="74">
        <f>260+338</f>
        <v>598</v>
      </c>
      <c r="DT29" s="64"/>
      <c r="DU29" s="64"/>
      <c r="DV29" s="64">
        <f t="shared" si="88"/>
        <v>201.13399999999999</v>
      </c>
      <c r="DW29" s="64"/>
      <c r="DX29" s="64">
        <v>201.13399999999999</v>
      </c>
      <c r="DY29" s="64"/>
      <c r="DZ29" s="64"/>
      <c r="EA29" s="375"/>
      <c r="EB29" s="375"/>
      <c r="EC29" s="375"/>
      <c r="ED29" s="375"/>
      <c r="EE29" s="375"/>
      <c r="EF29" s="375"/>
      <c r="EG29" s="375"/>
      <c r="EH29" s="375"/>
      <c r="EI29" s="375"/>
      <c r="EJ29" s="375"/>
      <c r="EK29" s="375"/>
      <c r="EL29" s="375"/>
      <c r="EM29" s="375"/>
      <c r="EN29" s="375"/>
      <c r="EO29" s="375"/>
      <c r="EP29" s="375"/>
      <c r="EQ29" s="375"/>
      <c r="ER29" s="375"/>
      <c r="ES29" s="375"/>
      <c r="ET29" s="375"/>
      <c r="EU29" s="375"/>
      <c r="EV29" s="375"/>
      <c r="EW29" s="375"/>
      <c r="EX29" s="375"/>
      <c r="EY29" s="375"/>
      <c r="EZ29" s="375"/>
      <c r="FA29" s="375"/>
      <c r="FB29" s="375"/>
      <c r="FC29" s="375"/>
      <c r="FD29" s="375"/>
      <c r="FE29" s="375"/>
      <c r="FF29" s="375"/>
      <c r="FG29" s="375"/>
      <c r="FH29" s="375"/>
      <c r="FI29" s="375"/>
      <c r="FJ29" s="375"/>
      <c r="FK29" s="375"/>
      <c r="FL29" s="375"/>
      <c r="FM29" s="375"/>
      <c r="FN29" s="375"/>
      <c r="FO29" s="375"/>
      <c r="FP29" s="375"/>
      <c r="FQ29" s="375"/>
      <c r="FR29" s="375"/>
      <c r="FS29" s="375"/>
      <c r="FT29" s="375"/>
      <c r="FU29" s="375"/>
      <c r="FV29" s="375"/>
      <c r="FW29" s="375"/>
      <c r="FX29" s="375"/>
      <c r="FY29" s="375"/>
      <c r="FZ29" s="375"/>
      <c r="GA29" s="375"/>
      <c r="GB29" s="375"/>
      <c r="GC29" s="375"/>
      <c r="GD29" s="375"/>
      <c r="GE29" s="375"/>
      <c r="GF29" s="375"/>
      <c r="GG29" s="375"/>
      <c r="GH29" s="375"/>
      <c r="GI29" s="375"/>
      <c r="GJ29" s="375"/>
      <c r="GK29" s="375"/>
      <c r="GL29" s="375"/>
      <c r="GM29" s="375"/>
      <c r="GN29" s="375"/>
      <c r="GO29" s="375"/>
      <c r="GP29" s="375"/>
      <c r="GQ29" s="375"/>
      <c r="GR29" s="375"/>
    </row>
    <row r="30" spans="1:200" s="61" customFormat="1" ht="15.75" customHeight="1" x14ac:dyDescent="0.3">
      <c r="A30" s="280"/>
      <c r="B30" s="281"/>
      <c r="C30" s="282"/>
      <c r="D30" s="282">
        <v>1</v>
      </c>
      <c r="E30" s="4">
        <v>20</v>
      </c>
      <c r="F30" s="281"/>
      <c r="G30" s="282"/>
      <c r="H30" s="282">
        <v>1</v>
      </c>
      <c r="I30" s="280"/>
      <c r="J30" s="280"/>
      <c r="K30" s="280"/>
      <c r="L30" s="280"/>
      <c r="M30" s="4">
        <v>20</v>
      </c>
      <c r="N30" s="62" t="s">
        <v>77</v>
      </c>
      <c r="O30" s="62" t="s">
        <v>448</v>
      </c>
      <c r="P30" s="62" t="s">
        <v>448</v>
      </c>
      <c r="Q30" s="60">
        <f t="shared" si="23"/>
        <v>0</v>
      </c>
      <c r="R30" s="60">
        <f t="shared" si="24"/>
        <v>0</v>
      </c>
      <c r="S30" s="60">
        <f t="shared" si="25"/>
        <v>0</v>
      </c>
      <c r="T30" s="60">
        <v>1</v>
      </c>
      <c r="U30" s="60"/>
      <c r="V30" s="64">
        <f t="shared" si="67"/>
        <v>501.4</v>
      </c>
      <c r="W30" s="64"/>
      <c r="X30" s="65">
        <v>501.4</v>
      </c>
      <c r="Y30" s="64"/>
      <c r="Z30" s="78"/>
      <c r="AA30" s="64">
        <f t="shared" si="68"/>
        <v>501.4</v>
      </c>
      <c r="AB30" s="64"/>
      <c r="AC30" s="65">
        <v>501.4</v>
      </c>
      <c r="AD30" s="64"/>
      <c r="AE30" s="78"/>
      <c r="AF30" s="64">
        <f t="shared" si="69"/>
        <v>501.4</v>
      </c>
      <c r="AG30" s="64"/>
      <c r="AH30" s="65">
        <v>501.4</v>
      </c>
      <c r="AI30" s="64"/>
      <c r="AJ30" s="78"/>
      <c r="AK30" s="64">
        <f t="shared" si="70"/>
        <v>218</v>
      </c>
      <c r="AL30" s="64"/>
      <c r="AM30" s="65">
        <v>218</v>
      </c>
      <c r="AN30" s="64"/>
      <c r="AO30" s="78"/>
      <c r="AP30" s="64" t="s">
        <v>347</v>
      </c>
      <c r="AQ30" s="64">
        <f t="shared" si="71"/>
        <v>501.4</v>
      </c>
      <c r="AR30" s="64"/>
      <c r="AS30" s="65">
        <v>501.4</v>
      </c>
      <c r="AT30" s="64"/>
      <c r="AU30" s="64"/>
      <c r="AV30" s="64">
        <f t="shared" si="9"/>
        <v>0</v>
      </c>
      <c r="AW30" s="64">
        <f t="shared" si="10"/>
        <v>0</v>
      </c>
      <c r="AX30" s="64">
        <f t="shared" si="11"/>
        <v>0</v>
      </c>
      <c r="AY30" s="64">
        <f t="shared" si="12"/>
        <v>0</v>
      </c>
      <c r="AZ30" s="64" t="e">
        <f>#REF!-AU30</f>
        <v>#REF!</v>
      </c>
      <c r="BA30" s="64">
        <f t="shared" si="72"/>
        <v>501.4</v>
      </c>
      <c r="BB30" s="64"/>
      <c r="BC30" s="65">
        <v>501.4</v>
      </c>
      <c r="BD30" s="64"/>
      <c r="BE30" s="64"/>
      <c r="BF30" s="64">
        <f t="shared" si="73"/>
        <v>0</v>
      </c>
      <c r="BG30" s="64"/>
      <c r="BH30" s="65"/>
      <c r="BI30" s="64"/>
      <c r="BJ30" s="64"/>
      <c r="BK30" s="64">
        <f t="shared" si="74"/>
        <v>501.4</v>
      </c>
      <c r="BL30" s="64"/>
      <c r="BM30" s="65">
        <v>501.4</v>
      </c>
      <c r="BN30" s="64"/>
      <c r="BO30" s="64"/>
      <c r="BP30" s="64">
        <f t="shared" si="75"/>
        <v>501.4</v>
      </c>
      <c r="BQ30" s="64"/>
      <c r="BR30" s="74">
        <f>239.932+261.468</f>
        <v>501.4</v>
      </c>
      <c r="BS30" s="64"/>
      <c r="BT30" s="64"/>
      <c r="BU30" s="64">
        <f t="shared" si="76"/>
        <v>318.94200000000001</v>
      </c>
      <c r="BV30" s="25"/>
      <c r="BW30" s="25">
        <f>166.321+152.621</f>
        <v>318.94200000000001</v>
      </c>
      <c r="BX30" s="25"/>
      <c r="BY30" s="64"/>
      <c r="BZ30" s="60">
        <f t="shared" si="77"/>
        <v>820.34199999999998</v>
      </c>
      <c r="CA30" s="64">
        <f t="shared" si="13"/>
        <v>820.34199999999998</v>
      </c>
      <c r="CB30" s="64">
        <f t="shared" si="14"/>
        <v>0</v>
      </c>
      <c r="CC30" s="64">
        <f t="shared" si="15"/>
        <v>820.34199999999998</v>
      </c>
      <c r="CD30" s="64">
        <f t="shared" si="16"/>
        <v>0</v>
      </c>
      <c r="CE30" s="64">
        <f t="shared" si="78"/>
        <v>0</v>
      </c>
      <c r="CF30" s="64">
        <f t="shared" si="17"/>
        <v>0</v>
      </c>
      <c r="CG30" s="64">
        <f t="shared" si="18"/>
        <v>0</v>
      </c>
      <c r="CH30" s="64">
        <f t="shared" si="19"/>
        <v>0</v>
      </c>
      <c r="CI30" s="64">
        <f t="shared" si="20"/>
        <v>0</v>
      </c>
      <c r="CJ30" s="64">
        <f t="shared" si="79"/>
        <v>0</v>
      </c>
      <c r="CK30" s="66"/>
      <c r="CL30" s="67"/>
      <c r="CM30" s="67"/>
      <c r="CN30" s="64">
        <f t="shared" si="80"/>
        <v>0</v>
      </c>
      <c r="CO30" s="64"/>
      <c r="CP30" s="65"/>
      <c r="CQ30" s="64"/>
      <c r="CR30" s="64"/>
      <c r="CS30" s="64">
        <f t="shared" si="81"/>
        <v>0</v>
      </c>
      <c r="CT30" s="64"/>
      <c r="CU30" s="65"/>
      <c r="CV30" s="64"/>
      <c r="CW30" s="64"/>
      <c r="CX30" s="64">
        <f t="shared" si="82"/>
        <v>0</v>
      </c>
      <c r="CY30" s="64">
        <f t="shared" si="83"/>
        <v>0</v>
      </c>
      <c r="CZ30" s="64">
        <f t="shared" si="83"/>
        <v>0</v>
      </c>
      <c r="DA30" s="64">
        <f t="shared" si="83"/>
        <v>0</v>
      </c>
      <c r="DB30" s="64">
        <f t="shared" si="83"/>
        <v>0</v>
      </c>
      <c r="DC30" s="64"/>
      <c r="DD30" s="64"/>
      <c r="DE30" s="64"/>
      <c r="DF30" s="64">
        <f t="shared" si="84"/>
        <v>0</v>
      </c>
      <c r="DH30" s="64">
        <f t="shared" si="85"/>
        <v>501.4</v>
      </c>
      <c r="DI30" s="64">
        <f t="shared" si="86"/>
        <v>501.4</v>
      </c>
      <c r="DK30" s="64"/>
      <c r="DL30" s="64"/>
      <c r="DN30" s="64"/>
      <c r="DQ30" s="64">
        <f t="shared" si="87"/>
        <v>501.4</v>
      </c>
      <c r="DR30" s="64"/>
      <c r="DS30" s="74">
        <f>239.932+261.468</f>
        <v>501.4</v>
      </c>
      <c r="DT30" s="64"/>
      <c r="DU30" s="64"/>
      <c r="DV30" s="64">
        <f t="shared" si="88"/>
        <v>318.94200000000001</v>
      </c>
      <c r="DW30" s="64"/>
      <c r="DX30" s="64">
        <v>318.94200000000001</v>
      </c>
      <c r="DY30" s="64"/>
      <c r="DZ30" s="64"/>
      <c r="EA30" s="375"/>
      <c r="EB30" s="375"/>
      <c r="EC30" s="375"/>
      <c r="ED30" s="375"/>
      <c r="EE30" s="375"/>
      <c r="EF30" s="375"/>
      <c r="EG30" s="375"/>
      <c r="EH30" s="375"/>
      <c r="EI30" s="375"/>
      <c r="EJ30" s="375"/>
      <c r="EK30" s="375"/>
      <c r="EL30" s="375"/>
      <c r="EM30" s="375"/>
      <c r="EN30" s="375"/>
      <c r="EO30" s="375"/>
      <c r="EP30" s="375"/>
      <c r="EQ30" s="375"/>
      <c r="ER30" s="375"/>
      <c r="ES30" s="375"/>
      <c r="ET30" s="375"/>
      <c r="EU30" s="375"/>
      <c r="EV30" s="375"/>
      <c r="EW30" s="375"/>
      <c r="EX30" s="375"/>
      <c r="EY30" s="375"/>
      <c r="EZ30" s="375"/>
      <c r="FA30" s="375"/>
      <c r="FB30" s="375"/>
      <c r="FC30" s="375"/>
      <c r="FD30" s="375"/>
      <c r="FE30" s="375"/>
      <c r="FF30" s="375"/>
      <c r="FG30" s="375"/>
      <c r="FH30" s="375"/>
      <c r="FI30" s="375"/>
      <c r="FJ30" s="375"/>
      <c r="FK30" s="375"/>
      <c r="FL30" s="375"/>
      <c r="FM30" s="375"/>
      <c r="FN30" s="375"/>
      <c r="FO30" s="375"/>
      <c r="FP30" s="375"/>
      <c r="FQ30" s="375"/>
      <c r="FR30" s="375"/>
      <c r="FS30" s="375"/>
      <c r="FT30" s="375"/>
      <c r="FU30" s="375"/>
      <c r="FV30" s="375"/>
      <c r="FW30" s="375"/>
      <c r="FX30" s="375"/>
      <c r="FY30" s="375"/>
      <c r="FZ30" s="375"/>
      <c r="GA30" s="375"/>
      <c r="GB30" s="375"/>
      <c r="GC30" s="375"/>
      <c r="GD30" s="375"/>
      <c r="GE30" s="375"/>
      <c r="GF30" s="375"/>
      <c r="GG30" s="375"/>
      <c r="GH30" s="375"/>
      <c r="GI30" s="375"/>
      <c r="GJ30" s="375"/>
      <c r="GK30" s="375"/>
      <c r="GL30" s="375"/>
      <c r="GM30" s="375"/>
      <c r="GN30" s="375"/>
      <c r="GO30" s="375"/>
      <c r="GP30" s="375"/>
      <c r="GQ30" s="375"/>
      <c r="GR30" s="375"/>
    </row>
    <row r="31" spans="1:200" s="61" customFormat="1" ht="15.75" customHeight="1" x14ac:dyDescent="0.3">
      <c r="A31" s="280"/>
      <c r="B31" s="281"/>
      <c r="C31" s="282"/>
      <c r="D31" s="282">
        <v>1</v>
      </c>
      <c r="E31" s="4">
        <v>21</v>
      </c>
      <c r="F31" s="281"/>
      <c r="G31" s="282"/>
      <c r="H31" s="282">
        <v>1</v>
      </c>
      <c r="I31" s="280"/>
      <c r="J31" s="280"/>
      <c r="K31" s="280"/>
      <c r="L31" s="280"/>
      <c r="M31" s="4">
        <v>21</v>
      </c>
      <c r="N31" s="62" t="s">
        <v>78</v>
      </c>
      <c r="O31" s="62" t="s">
        <v>448</v>
      </c>
      <c r="P31" s="62" t="s">
        <v>450</v>
      </c>
      <c r="Q31" s="60">
        <f t="shared" si="23"/>
        <v>0</v>
      </c>
      <c r="R31" s="60">
        <f t="shared" si="24"/>
        <v>0</v>
      </c>
      <c r="S31" s="60">
        <f t="shared" si="25"/>
        <v>0</v>
      </c>
      <c r="T31" s="60">
        <v>1</v>
      </c>
      <c r="U31" s="60">
        <v>1</v>
      </c>
      <c r="V31" s="64">
        <f t="shared" si="67"/>
        <v>315.10000000000002</v>
      </c>
      <c r="W31" s="64"/>
      <c r="X31" s="65">
        <v>315.10000000000002</v>
      </c>
      <c r="Y31" s="64"/>
      <c r="Z31" s="73"/>
      <c r="AA31" s="64">
        <f t="shared" si="68"/>
        <v>315.10000000000002</v>
      </c>
      <c r="AB31" s="64"/>
      <c r="AC31" s="65">
        <v>315.10000000000002</v>
      </c>
      <c r="AD31" s="64"/>
      <c r="AE31" s="73"/>
      <c r="AF31" s="64">
        <f t="shared" si="69"/>
        <v>315.10000000000002</v>
      </c>
      <c r="AG31" s="64"/>
      <c r="AH31" s="65">
        <v>315.10000000000002</v>
      </c>
      <c r="AI31" s="64"/>
      <c r="AJ31" s="73"/>
      <c r="AK31" s="64">
        <f t="shared" si="70"/>
        <v>137</v>
      </c>
      <c r="AL31" s="64"/>
      <c r="AM31" s="65">
        <v>137</v>
      </c>
      <c r="AN31" s="64"/>
      <c r="AO31" s="73"/>
      <c r="AP31" s="64" t="s">
        <v>420</v>
      </c>
      <c r="AQ31" s="64">
        <f t="shared" si="71"/>
        <v>315.10000000000002</v>
      </c>
      <c r="AR31" s="64"/>
      <c r="AS31" s="65">
        <f>137+178.1</f>
        <v>315.10000000000002</v>
      </c>
      <c r="AT31" s="64"/>
      <c r="AU31" s="73"/>
      <c r="AV31" s="64">
        <f t="shared" si="9"/>
        <v>0</v>
      </c>
      <c r="AW31" s="64">
        <f t="shared" si="10"/>
        <v>0</v>
      </c>
      <c r="AX31" s="64">
        <f t="shared" si="11"/>
        <v>0</v>
      </c>
      <c r="AY31" s="64">
        <f t="shared" si="12"/>
        <v>0</v>
      </c>
      <c r="AZ31" s="64" t="e">
        <f>#REF!-AU31</f>
        <v>#REF!</v>
      </c>
      <c r="BA31" s="64">
        <f t="shared" si="72"/>
        <v>315.10000000000002</v>
      </c>
      <c r="BB31" s="64"/>
      <c r="BC31" s="65">
        <f>137+178.1</f>
        <v>315.10000000000002</v>
      </c>
      <c r="BD31" s="64"/>
      <c r="BE31" s="73"/>
      <c r="BF31" s="64">
        <f t="shared" si="73"/>
        <v>0</v>
      </c>
      <c r="BG31" s="64"/>
      <c r="BH31" s="65"/>
      <c r="BI31" s="64"/>
      <c r="BJ31" s="73"/>
      <c r="BK31" s="64">
        <f t="shared" si="74"/>
        <v>315.10000000000002</v>
      </c>
      <c r="BL31" s="64"/>
      <c r="BM31" s="65">
        <f>137+178.1</f>
        <v>315.10000000000002</v>
      </c>
      <c r="BN31" s="64"/>
      <c r="BO31" s="74"/>
      <c r="BP31" s="64">
        <f t="shared" si="75"/>
        <v>315.10000000000002</v>
      </c>
      <c r="BQ31" s="64"/>
      <c r="BR31" s="74">
        <v>315.10000000000002</v>
      </c>
      <c r="BS31" s="64"/>
      <c r="BT31" s="74"/>
      <c r="BU31" s="64">
        <f t="shared" si="76"/>
        <v>149.99799999999999</v>
      </c>
      <c r="BV31" s="25"/>
      <c r="BW31" s="25">
        <v>149.99799999999999</v>
      </c>
      <c r="BX31" s="25"/>
      <c r="BY31" s="64"/>
      <c r="BZ31" s="60">
        <f t="shared" si="77"/>
        <v>465.09800000000001</v>
      </c>
      <c r="CA31" s="64">
        <f t="shared" si="13"/>
        <v>465.09800000000001</v>
      </c>
      <c r="CB31" s="64">
        <f t="shared" si="14"/>
        <v>0</v>
      </c>
      <c r="CC31" s="64">
        <f t="shared" si="15"/>
        <v>465.09800000000001</v>
      </c>
      <c r="CD31" s="64">
        <f t="shared" si="16"/>
        <v>0</v>
      </c>
      <c r="CE31" s="64">
        <f t="shared" si="78"/>
        <v>0</v>
      </c>
      <c r="CF31" s="64">
        <f t="shared" si="17"/>
        <v>0</v>
      </c>
      <c r="CG31" s="64">
        <f t="shared" si="18"/>
        <v>0</v>
      </c>
      <c r="CH31" s="64">
        <f t="shared" si="19"/>
        <v>0</v>
      </c>
      <c r="CI31" s="64">
        <f t="shared" si="20"/>
        <v>0</v>
      </c>
      <c r="CJ31" s="64">
        <f t="shared" si="79"/>
        <v>0</v>
      </c>
      <c r="CK31" s="66"/>
      <c r="CL31" s="67"/>
      <c r="CM31" s="67"/>
      <c r="CN31" s="64">
        <f t="shared" si="80"/>
        <v>0</v>
      </c>
      <c r="CO31" s="64"/>
      <c r="CP31" s="65"/>
      <c r="CQ31" s="64"/>
      <c r="CR31" s="73"/>
      <c r="CS31" s="64">
        <f t="shared" si="81"/>
        <v>0</v>
      </c>
      <c r="CT31" s="64"/>
      <c r="CU31" s="65"/>
      <c r="CV31" s="64"/>
      <c r="CW31" s="73"/>
      <c r="CX31" s="64">
        <f t="shared" si="82"/>
        <v>0</v>
      </c>
      <c r="CY31" s="64">
        <f t="shared" si="83"/>
        <v>0</v>
      </c>
      <c r="CZ31" s="64">
        <f t="shared" si="83"/>
        <v>0</v>
      </c>
      <c r="DA31" s="64">
        <f t="shared" si="83"/>
        <v>0</v>
      </c>
      <c r="DB31" s="64">
        <f t="shared" si="83"/>
        <v>0</v>
      </c>
      <c r="DC31" s="64"/>
      <c r="DD31" s="64"/>
      <c r="DE31" s="64"/>
      <c r="DF31" s="64">
        <f t="shared" si="84"/>
        <v>0</v>
      </c>
      <c r="DH31" s="64">
        <f t="shared" si="85"/>
        <v>315.10000000000002</v>
      </c>
      <c r="DI31" s="64">
        <f t="shared" si="86"/>
        <v>315.10000000000002</v>
      </c>
      <c r="DK31" s="64"/>
      <c r="DL31" s="64"/>
      <c r="DN31" s="64"/>
      <c r="DQ31" s="64">
        <f t="shared" si="87"/>
        <v>315.10000000000002</v>
      </c>
      <c r="DR31" s="64"/>
      <c r="DS31" s="74">
        <v>315.10000000000002</v>
      </c>
      <c r="DT31" s="64"/>
      <c r="DU31" s="74"/>
      <c r="DV31" s="64">
        <f t="shared" si="88"/>
        <v>0</v>
      </c>
      <c r="DW31" s="64"/>
      <c r="DX31" s="64"/>
      <c r="DY31" s="64"/>
      <c r="DZ31" s="64"/>
      <c r="EA31" s="375"/>
      <c r="EB31" s="375"/>
      <c r="EC31" s="375"/>
      <c r="ED31" s="375"/>
      <c r="EE31" s="375"/>
      <c r="EF31" s="375"/>
      <c r="EG31" s="375"/>
      <c r="EH31" s="375"/>
      <c r="EI31" s="375"/>
      <c r="EJ31" s="375"/>
      <c r="EK31" s="375"/>
      <c r="EL31" s="375"/>
      <c r="EM31" s="375"/>
      <c r="EN31" s="375"/>
      <c r="EO31" s="375"/>
      <c r="EP31" s="375"/>
      <c r="EQ31" s="375"/>
      <c r="ER31" s="375"/>
      <c r="ES31" s="375"/>
      <c r="ET31" s="375"/>
      <c r="EU31" s="375"/>
      <c r="EV31" s="375"/>
      <c r="EW31" s="375"/>
      <c r="EX31" s="375"/>
      <c r="EY31" s="375"/>
      <c r="EZ31" s="375"/>
      <c r="FA31" s="375"/>
      <c r="FB31" s="375"/>
      <c r="FC31" s="375"/>
      <c r="FD31" s="375"/>
      <c r="FE31" s="375"/>
      <c r="FF31" s="375"/>
      <c r="FG31" s="375"/>
      <c r="FH31" s="375"/>
      <c r="FI31" s="375"/>
      <c r="FJ31" s="375"/>
      <c r="FK31" s="375"/>
      <c r="FL31" s="375"/>
      <c r="FM31" s="375"/>
      <c r="FN31" s="375"/>
      <c r="FO31" s="375"/>
      <c r="FP31" s="375"/>
      <c r="FQ31" s="375"/>
      <c r="FR31" s="375"/>
      <c r="FS31" s="375"/>
      <c r="FT31" s="375"/>
      <c r="FU31" s="375"/>
      <c r="FV31" s="375"/>
      <c r="FW31" s="375"/>
      <c r="FX31" s="375"/>
      <c r="FY31" s="375"/>
      <c r="FZ31" s="375"/>
      <c r="GA31" s="375"/>
      <c r="GB31" s="375"/>
      <c r="GC31" s="375"/>
      <c r="GD31" s="375"/>
      <c r="GE31" s="375"/>
      <c r="GF31" s="375"/>
      <c r="GG31" s="375"/>
      <c r="GH31" s="375"/>
      <c r="GI31" s="375"/>
      <c r="GJ31" s="375"/>
      <c r="GK31" s="375"/>
      <c r="GL31" s="375"/>
      <c r="GM31" s="375"/>
      <c r="GN31" s="375"/>
      <c r="GO31" s="375"/>
      <c r="GP31" s="375"/>
      <c r="GQ31" s="375"/>
      <c r="GR31" s="375"/>
    </row>
    <row r="32" spans="1:200" s="61" customFormat="1" ht="15.75" customHeight="1" x14ac:dyDescent="0.3">
      <c r="A32" s="280"/>
      <c r="B32" s="281"/>
      <c r="C32" s="282"/>
      <c r="D32" s="282">
        <v>1</v>
      </c>
      <c r="E32" s="4">
        <v>22</v>
      </c>
      <c r="F32" s="281"/>
      <c r="G32" s="282"/>
      <c r="H32" s="282">
        <v>1</v>
      </c>
      <c r="I32" s="280"/>
      <c r="J32" s="280"/>
      <c r="K32" s="280"/>
      <c r="L32" s="280"/>
      <c r="M32" s="4">
        <v>22</v>
      </c>
      <c r="N32" s="62" t="s">
        <v>79</v>
      </c>
      <c r="O32" s="62" t="s">
        <v>448</v>
      </c>
      <c r="P32" s="62" t="s">
        <v>448</v>
      </c>
      <c r="Q32" s="60">
        <f t="shared" si="23"/>
        <v>0</v>
      </c>
      <c r="R32" s="60">
        <f t="shared" si="24"/>
        <v>0</v>
      </c>
      <c r="S32" s="60">
        <f t="shared" si="25"/>
        <v>0</v>
      </c>
      <c r="T32" s="60">
        <v>1</v>
      </c>
      <c r="U32" s="60">
        <v>1</v>
      </c>
      <c r="V32" s="64">
        <f t="shared" si="67"/>
        <v>483</v>
      </c>
      <c r="W32" s="64"/>
      <c r="X32" s="65">
        <v>483</v>
      </c>
      <c r="Y32" s="64"/>
      <c r="Z32" s="78"/>
      <c r="AA32" s="64">
        <f t="shared" si="68"/>
        <v>483</v>
      </c>
      <c r="AB32" s="64"/>
      <c r="AC32" s="65">
        <v>483</v>
      </c>
      <c r="AD32" s="64"/>
      <c r="AE32" s="78"/>
      <c r="AF32" s="64">
        <f t="shared" si="69"/>
        <v>483</v>
      </c>
      <c r="AG32" s="64"/>
      <c r="AH32" s="65">
        <v>483</v>
      </c>
      <c r="AI32" s="64"/>
      <c r="AJ32" s="78"/>
      <c r="AK32" s="64">
        <f t="shared" si="70"/>
        <v>210</v>
      </c>
      <c r="AL32" s="64"/>
      <c r="AM32" s="65">
        <v>210</v>
      </c>
      <c r="AN32" s="64"/>
      <c r="AO32" s="78"/>
      <c r="AP32" s="64" t="s">
        <v>394</v>
      </c>
      <c r="AQ32" s="64">
        <f t="shared" si="71"/>
        <v>483</v>
      </c>
      <c r="AR32" s="64"/>
      <c r="AS32" s="65">
        <f>210+273</f>
        <v>483</v>
      </c>
      <c r="AT32" s="64"/>
      <c r="AU32" s="64"/>
      <c r="AV32" s="64">
        <f t="shared" si="9"/>
        <v>0</v>
      </c>
      <c r="AW32" s="64">
        <f t="shared" si="10"/>
        <v>0</v>
      </c>
      <c r="AX32" s="64">
        <f t="shared" si="11"/>
        <v>0</v>
      </c>
      <c r="AY32" s="64">
        <f t="shared" si="12"/>
        <v>0</v>
      </c>
      <c r="AZ32" s="64" t="e">
        <f>#REF!-AU32</f>
        <v>#REF!</v>
      </c>
      <c r="BA32" s="64">
        <f t="shared" si="72"/>
        <v>483</v>
      </c>
      <c r="BB32" s="64"/>
      <c r="BC32" s="65">
        <f>210+273</f>
        <v>483</v>
      </c>
      <c r="BD32" s="64"/>
      <c r="BE32" s="64"/>
      <c r="BF32" s="64">
        <f t="shared" si="73"/>
        <v>0</v>
      </c>
      <c r="BG32" s="64"/>
      <c r="BH32" s="64"/>
      <c r="BI32" s="64"/>
      <c r="BJ32" s="64"/>
      <c r="BK32" s="64">
        <f t="shared" si="74"/>
        <v>483</v>
      </c>
      <c r="BL32" s="64"/>
      <c r="BM32" s="65">
        <f>210+273</f>
        <v>483</v>
      </c>
      <c r="BN32" s="64"/>
      <c r="BO32" s="64"/>
      <c r="BP32" s="64">
        <f t="shared" si="75"/>
        <v>483</v>
      </c>
      <c r="BQ32" s="64"/>
      <c r="BR32" s="64">
        <v>483</v>
      </c>
      <c r="BS32" s="64"/>
      <c r="BT32" s="64"/>
      <c r="BU32" s="64">
        <f t="shared" si="76"/>
        <v>280.38400000000001</v>
      </c>
      <c r="BV32" s="25"/>
      <c r="BW32" s="25">
        <f>92.278+188.106</f>
        <v>280.38400000000001</v>
      </c>
      <c r="BX32" s="25"/>
      <c r="BY32" s="64"/>
      <c r="BZ32" s="60">
        <f t="shared" si="77"/>
        <v>763.38400000000001</v>
      </c>
      <c r="CA32" s="64">
        <f t="shared" si="13"/>
        <v>763.38400000000001</v>
      </c>
      <c r="CB32" s="64">
        <f t="shared" si="14"/>
        <v>0</v>
      </c>
      <c r="CC32" s="64">
        <f t="shared" si="15"/>
        <v>763.38400000000001</v>
      </c>
      <c r="CD32" s="64">
        <f t="shared" si="16"/>
        <v>0</v>
      </c>
      <c r="CE32" s="64">
        <f t="shared" si="78"/>
        <v>0</v>
      </c>
      <c r="CF32" s="64">
        <f t="shared" si="17"/>
        <v>0</v>
      </c>
      <c r="CG32" s="64">
        <f t="shared" si="18"/>
        <v>0</v>
      </c>
      <c r="CH32" s="64">
        <f t="shared" si="19"/>
        <v>0</v>
      </c>
      <c r="CI32" s="64">
        <f t="shared" si="20"/>
        <v>0</v>
      </c>
      <c r="CJ32" s="64">
        <f t="shared" si="79"/>
        <v>0</v>
      </c>
      <c r="CK32" s="66"/>
      <c r="CL32" s="67"/>
      <c r="CM32" s="67"/>
      <c r="CN32" s="64">
        <f t="shared" si="80"/>
        <v>0</v>
      </c>
      <c r="CO32" s="64"/>
      <c r="CP32" s="64"/>
      <c r="CQ32" s="64"/>
      <c r="CR32" s="64"/>
      <c r="CS32" s="64">
        <f t="shared" si="81"/>
        <v>0</v>
      </c>
      <c r="CT32" s="64"/>
      <c r="CU32" s="64"/>
      <c r="CV32" s="64"/>
      <c r="CW32" s="64"/>
      <c r="CX32" s="64">
        <f t="shared" si="82"/>
        <v>0</v>
      </c>
      <c r="CY32" s="64">
        <f t="shared" si="83"/>
        <v>0</v>
      </c>
      <c r="CZ32" s="64">
        <f t="shared" si="83"/>
        <v>0</v>
      </c>
      <c r="DA32" s="64">
        <f t="shared" si="83"/>
        <v>0</v>
      </c>
      <c r="DB32" s="64">
        <f t="shared" si="83"/>
        <v>0</v>
      </c>
      <c r="DC32" s="64"/>
      <c r="DD32" s="64"/>
      <c r="DE32" s="64"/>
      <c r="DF32" s="64">
        <f t="shared" si="84"/>
        <v>0</v>
      </c>
      <c r="DH32" s="64">
        <f t="shared" si="85"/>
        <v>483</v>
      </c>
      <c r="DI32" s="64">
        <f t="shared" si="86"/>
        <v>483</v>
      </c>
      <c r="DK32" s="64"/>
      <c r="DL32" s="64"/>
      <c r="DN32" s="64"/>
      <c r="DQ32" s="64">
        <f t="shared" si="87"/>
        <v>483</v>
      </c>
      <c r="DR32" s="64"/>
      <c r="DS32" s="64">
        <v>483</v>
      </c>
      <c r="DT32" s="64"/>
      <c r="DU32" s="64"/>
      <c r="DV32" s="64">
        <f t="shared" si="88"/>
        <v>0</v>
      </c>
      <c r="DW32" s="64"/>
      <c r="DX32" s="64"/>
      <c r="DY32" s="64"/>
      <c r="DZ32" s="64"/>
      <c r="EA32" s="375"/>
      <c r="EB32" s="375"/>
      <c r="EC32" s="375"/>
      <c r="ED32" s="375"/>
      <c r="EE32" s="375"/>
      <c r="EF32" s="375"/>
      <c r="EG32" s="375"/>
      <c r="EH32" s="375"/>
      <c r="EI32" s="375"/>
      <c r="EJ32" s="375"/>
      <c r="EK32" s="375"/>
      <c r="EL32" s="375"/>
      <c r="EM32" s="375"/>
      <c r="EN32" s="375"/>
      <c r="EO32" s="375"/>
      <c r="EP32" s="375"/>
      <c r="EQ32" s="375"/>
      <c r="ER32" s="375"/>
      <c r="ES32" s="375"/>
      <c r="ET32" s="375"/>
      <c r="EU32" s="375"/>
      <c r="EV32" s="375"/>
      <c r="EW32" s="375"/>
      <c r="EX32" s="375"/>
      <c r="EY32" s="375"/>
      <c r="EZ32" s="375"/>
      <c r="FA32" s="375"/>
      <c r="FB32" s="375"/>
      <c r="FC32" s="375"/>
      <c r="FD32" s="375"/>
      <c r="FE32" s="375"/>
      <c r="FF32" s="375"/>
      <c r="FG32" s="375"/>
      <c r="FH32" s="375"/>
      <c r="FI32" s="375"/>
      <c r="FJ32" s="375"/>
      <c r="FK32" s="375"/>
      <c r="FL32" s="375"/>
      <c r="FM32" s="375"/>
      <c r="FN32" s="375"/>
      <c r="FO32" s="375"/>
      <c r="FP32" s="375"/>
      <c r="FQ32" s="375"/>
      <c r="FR32" s="375"/>
      <c r="FS32" s="375"/>
      <c r="FT32" s="375"/>
      <c r="FU32" s="375"/>
      <c r="FV32" s="375"/>
      <c r="FW32" s="375"/>
      <c r="FX32" s="375"/>
      <c r="FY32" s="375"/>
      <c r="FZ32" s="375"/>
      <c r="GA32" s="375"/>
      <c r="GB32" s="375"/>
      <c r="GC32" s="375"/>
      <c r="GD32" s="375"/>
      <c r="GE32" s="375"/>
      <c r="GF32" s="375"/>
      <c r="GG32" s="375"/>
      <c r="GH32" s="375"/>
      <c r="GI32" s="375"/>
      <c r="GJ32" s="375"/>
      <c r="GK32" s="375"/>
      <c r="GL32" s="375"/>
      <c r="GM32" s="375"/>
      <c r="GN32" s="375"/>
      <c r="GO32" s="375"/>
      <c r="GP32" s="375"/>
      <c r="GQ32" s="375"/>
      <c r="GR32" s="375"/>
    </row>
    <row r="33" spans="1:200" s="61" customFormat="1" ht="15.75" customHeight="1" x14ac:dyDescent="0.3">
      <c r="A33" s="280"/>
      <c r="B33" s="281"/>
      <c r="C33" s="282"/>
      <c r="D33" s="282">
        <v>1</v>
      </c>
      <c r="E33" s="4">
        <v>23</v>
      </c>
      <c r="F33" s="281"/>
      <c r="G33" s="282"/>
      <c r="H33" s="282">
        <v>1</v>
      </c>
      <c r="I33" s="280"/>
      <c r="J33" s="280"/>
      <c r="K33" s="280"/>
      <c r="L33" s="280"/>
      <c r="M33" s="4">
        <v>23</v>
      </c>
      <c r="N33" s="62" t="s">
        <v>80</v>
      </c>
      <c r="O33" s="62" t="s">
        <v>448</v>
      </c>
      <c r="P33" s="62" t="s">
        <v>450</v>
      </c>
      <c r="Q33" s="60">
        <f t="shared" si="23"/>
        <v>0</v>
      </c>
      <c r="R33" s="60">
        <f t="shared" si="24"/>
        <v>71.099999999999994</v>
      </c>
      <c r="S33" s="60">
        <f t="shared" si="25"/>
        <v>0</v>
      </c>
      <c r="T33" s="60">
        <v>1</v>
      </c>
      <c r="U33" s="60">
        <v>2</v>
      </c>
      <c r="V33" s="64">
        <f t="shared" si="67"/>
        <v>216.2</v>
      </c>
      <c r="W33" s="64"/>
      <c r="X33" s="65">
        <v>216.2</v>
      </c>
      <c r="Y33" s="64"/>
      <c r="Z33" s="78"/>
      <c r="AA33" s="64">
        <f t="shared" si="68"/>
        <v>216.2</v>
      </c>
      <c r="AB33" s="64"/>
      <c r="AC33" s="65">
        <v>216.2</v>
      </c>
      <c r="AD33" s="64"/>
      <c r="AE33" s="78"/>
      <c r="AF33" s="64">
        <f t="shared" si="69"/>
        <v>216.2</v>
      </c>
      <c r="AG33" s="64"/>
      <c r="AH33" s="65">
        <v>216.2</v>
      </c>
      <c r="AI33" s="64"/>
      <c r="AJ33" s="78"/>
      <c r="AK33" s="64">
        <f t="shared" si="70"/>
        <v>94</v>
      </c>
      <c r="AL33" s="64"/>
      <c r="AM33" s="65">
        <v>94</v>
      </c>
      <c r="AN33" s="64"/>
      <c r="AO33" s="78"/>
      <c r="AP33" s="64" t="s">
        <v>473</v>
      </c>
      <c r="AQ33" s="64">
        <f t="shared" si="71"/>
        <v>216.2</v>
      </c>
      <c r="AR33" s="64"/>
      <c r="AS33" s="65">
        <f>94+122.2</f>
        <v>216.2</v>
      </c>
      <c r="AT33" s="64"/>
      <c r="AU33" s="64"/>
      <c r="AV33" s="64">
        <f t="shared" si="9"/>
        <v>0</v>
      </c>
      <c r="AW33" s="64">
        <f t="shared" si="10"/>
        <v>0</v>
      </c>
      <c r="AX33" s="64">
        <f t="shared" si="11"/>
        <v>0</v>
      </c>
      <c r="AY33" s="64">
        <f t="shared" si="12"/>
        <v>0</v>
      </c>
      <c r="AZ33" s="64" t="e">
        <f>#REF!-AU33</f>
        <v>#REF!</v>
      </c>
      <c r="BA33" s="64">
        <f t="shared" si="72"/>
        <v>216.2</v>
      </c>
      <c r="BB33" s="64"/>
      <c r="BC33" s="65">
        <f>94+122.2</f>
        <v>216.2</v>
      </c>
      <c r="BD33" s="64"/>
      <c r="BE33" s="64"/>
      <c r="BF33" s="64">
        <f t="shared" si="73"/>
        <v>0</v>
      </c>
      <c r="BG33" s="64"/>
      <c r="BH33" s="65"/>
      <c r="BI33" s="64"/>
      <c r="BJ33" s="64"/>
      <c r="BK33" s="64">
        <f t="shared" si="74"/>
        <v>216.2</v>
      </c>
      <c r="BL33" s="64"/>
      <c r="BM33" s="65">
        <f>94+122.2</f>
        <v>216.2</v>
      </c>
      <c r="BN33" s="64"/>
      <c r="BO33" s="64"/>
      <c r="BP33" s="64">
        <f t="shared" si="75"/>
        <v>145.1</v>
      </c>
      <c r="BQ33" s="64"/>
      <c r="BR33" s="74">
        <v>145.1</v>
      </c>
      <c r="BS33" s="64"/>
      <c r="BT33" s="64"/>
      <c r="BU33" s="64">
        <f t="shared" si="76"/>
        <v>48.576000000000001</v>
      </c>
      <c r="BV33" s="25"/>
      <c r="BW33" s="25">
        <v>48.576000000000001</v>
      </c>
      <c r="BX33" s="25"/>
      <c r="BY33" s="64"/>
      <c r="BZ33" s="60">
        <f t="shared" si="77"/>
        <v>193.67599999999999</v>
      </c>
      <c r="CA33" s="64">
        <f t="shared" si="13"/>
        <v>193.67599999999999</v>
      </c>
      <c r="CB33" s="64">
        <f t="shared" si="14"/>
        <v>0</v>
      </c>
      <c r="CC33" s="64">
        <f t="shared" si="15"/>
        <v>193.67599999999999</v>
      </c>
      <c r="CD33" s="64">
        <f t="shared" si="16"/>
        <v>0</v>
      </c>
      <c r="CE33" s="64">
        <f t="shared" si="78"/>
        <v>0</v>
      </c>
      <c r="CF33" s="64">
        <f t="shared" si="17"/>
        <v>71.099999999999994</v>
      </c>
      <c r="CG33" s="64">
        <f t="shared" si="18"/>
        <v>0</v>
      </c>
      <c r="CH33" s="64">
        <f t="shared" si="19"/>
        <v>71.099999999999994</v>
      </c>
      <c r="CI33" s="64">
        <f t="shared" si="20"/>
        <v>0</v>
      </c>
      <c r="CJ33" s="64">
        <f t="shared" si="79"/>
        <v>0</v>
      </c>
      <c r="CK33" s="66"/>
      <c r="CL33" s="67"/>
      <c r="CM33" s="67"/>
      <c r="CN33" s="64">
        <f t="shared" si="80"/>
        <v>0</v>
      </c>
      <c r="CO33" s="64"/>
      <c r="CP33" s="65"/>
      <c r="CQ33" s="64"/>
      <c r="CR33" s="64"/>
      <c r="CS33" s="64">
        <f t="shared" si="81"/>
        <v>0</v>
      </c>
      <c r="CT33" s="64"/>
      <c r="CU33" s="65"/>
      <c r="CV33" s="64"/>
      <c r="CW33" s="64"/>
      <c r="CX33" s="64">
        <f t="shared" si="82"/>
        <v>0</v>
      </c>
      <c r="CY33" s="64">
        <f t="shared" si="83"/>
        <v>0</v>
      </c>
      <c r="CZ33" s="64">
        <f t="shared" si="83"/>
        <v>0</v>
      </c>
      <c r="DA33" s="64">
        <f t="shared" si="83"/>
        <v>0</v>
      </c>
      <c r="DB33" s="64">
        <f t="shared" si="83"/>
        <v>0</v>
      </c>
      <c r="DC33" s="64"/>
      <c r="DD33" s="64"/>
      <c r="DE33" s="64"/>
      <c r="DF33" s="64">
        <f t="shared" si="84"/>
        <v>71.099999999999994</v>
      </c>
      <c r="DH33" s="64">
        <f t="shared" si="85"/>
        <v>216.2</v>
      </c>
      <c r="DI33" s="64">
        <f t="shared" si="86"/>
        <v>145.1</v>
      </c>
      <c r="DK33" s="64"/>
      <c r="DL33" s="64"/>
      <c r="DN33" s="64"/>
      <c r="DQ33" s="64">
        <f t="shared" si="87"/>
        <v>145.1</v>
      </c>
      <c r="DR33" s="64"/>
      <c r="DS33" s="74">
        <v>145.1</v>
      </c>
      <c r="DT33" s="64"/>
      <c r="DU33" s="64"/>
      <c r="DV33" s="64">
        <f t="shared" si="88"/>
        <v>48.576000000000001</v>
      </c>
      <c r="DW33" s="64"/>
      <c r="DX33" s="64">
        <v>48.576000000000001</v>
      </c>
      <c r="DY33" s="64"/>
      <c r="DZ33" s="64"/>
      <c r="EA33" s="375"/>
      <c r="EB33" s="375"/>
      <c r="EC33" s="375"/>
      <c r="ED33" s="375"/>
      <c r="EE33" s="375"/>
      <c r="EF33" s="375"/>
      <c r="EG33" s="375"/>
      <c r="EH33" s="375"/>
      <c r="EI33" s="375"/>
      <c r="EJ33" s="375"/>
      <c r="EK33" s="375"/>
      <c r="EL33" s="375"/>
      <c r="EM33" s="375"/>
      <c r="EN33" s="375"/>
      <c r="EO33" s="375"/>
      <c r="EP33" s="375"/>
      <c r="EQ33" s="375"/>
      <c r="ER33" s="375"/>
      <c r="ES33" s="375"/>
      <c r="ET33" s="375"/>
      <c r="EU33" s="375"/>
      <c r="EV33" s="375"/>
      <c r="EW33" s="375"/>
      <c r="EX33" s="375"/>
      <c r="EY33" s="375"/>
      <c r="EZ33" s="375"/>
      <c r="FA33" s="375"/>
      <c r="FB33" s="375"/>
      <c r="FC33" s="375"/>
      <c r="FD33" s="375"/>
      <c r="FE33" s="375"/>
      <c r="FF33" s="375"/>
      <c r="FG33" s="375"/>
      <c r="FH33" s="375"/>
      <c r="FI33" s="375"/>
      <c r="FJ33" s="375"/>
      <c r="FK33" s="375"/>
      <c r="FL33" s="375"/>
      <c r="FM33" s="375"/>
      <c r="FN33" s="375"/>
      <c r="FO33" s="375"/>
      <c r="FP33" s="375"/>
      <c r="FQ33" s="375"/>
      <c r="FR33" s="375"/>
      <c r="FS33" s="375"/>
      <c r="FT33" s="375"/>
      <c r="FU33" s="375"/>
      <c r="FV33" s="375"/>
      <c r="FW33" s="375"/>
      <c r="FX33" s="375"/>
      <c r="FY33" s="375"/>
      <c r="FZ33" s="375"/>
      <c r="GA33" s="375"/>
      <c r="GB33" s="375"/>
      <c r="GC33" s="375"/>
      <c r="GD33" s="375"/>
      <c r="GE33" s="375"/>
      <c r="GF33" s="375"/>
      <c r="GG33" s="375"/>
      <c r="GH33" s="375"/>
      <c r="GI33" s="375"/>
      <c r="GJ33" s="375"/>
      <c r="GK33" s="375"/>
      <c r="GL33" s="375"/>
      <c r="GM33" s="375"/>
      <c r="GN33" s="375"/>
      <c r="GO33" s="375"/>
      <c r="GP33" s="375"/>
      <c r="GQ33" s="375"/>
      <c r="GR33" s="375"/>
    </row>
    <row r="34" spans="1:200" s="61" customFormat="1" ht="15.75" customHeight="1" x14ac:dyDescent="0.3">
      <c r="A34" s="280"/>
      <c r="B34" s="281"/>
      <c r="C34" s="282"/>
      <c r="D34" s="282">
        <v>1</v>
      </c>
      <c r="E34" s="4">
        <v>24</v>
      </c>
      <c r="F34" s="281"/>
      <c r="G34" s="282"/>
      <c r="H34" s="282">
        <v>1</v>
      </c>
      <c r="I34" s="280"/>
      <c r="J34" s="280"/>
      <c r="K34" s="280"/>
      <c r="L34" s="280"/>
      <c r="M34" s="4">
        <v>24</v>
      </c>
      <c r="N34" s="62" t="s">
        <v>81</v>
      </c>
      <c r="O34" s="62" t="s">
        <v>448</v>
      </c>
      <c r="P34" s="62" t="s">
        <v>448</v>
      </c>
      <c r="Q34" s="60">
        <f t="shared" si="23"/>
        <v>0</v>
      </c>
      <c r="R34" s="60">
        <f t="shared" si="24"/>
        <v>0</v>
      </c>
      <c r="S34" s="60">
        <f t="shared" si="25"/>
        <v>0</v>
      </c>
      <c r="T34" s="60">
        <v>1</v>
      </c>
      <c r="U34" s="60">
        <v>2</v>
      </c>
      <c r="V34" s="64">
        <f t="shared" si="67"/>
        <v>547.4</v>
      </c>
      <c r="W34" s="64"/>
      <c r="X34" s="65">
        <v>547.4</v>
      </c>
      <c r="Y34" s="64"/>
      <c r="Z34" s="73"/>
      <c r="AA34" s="64">
        <f t="shared" si="68"/>
        <v>547.4</v>
      </c>
      <c r="AB34" s="64"/>
      <c r="AC34" s="65">
        <v>547.4</v>
      </c>
      <c r="AD34" s="64"/>
      <c r="AE34" s="73"/>
      <c r="AF34" s="64">
        <f t="shared" si="69"/>
        <v>547.4</v>
      </c>
      <c r="AG34" s="64"/>
      <c r="AH34" s="65">
        <v>547.4</v>
      </c>
      <c r="AI34" s="64"/>
      <c r="AJ34" s="73"/>
      <c r="AK34" s="64">
        <f t="shared" si="70"/>
        <v>238</v>
      </c>
      <c r="AL34" s="64"/>
      <c r="AM34" s="65">
        <v>238</v>
      </c>
      <c r="AN34" s="64"/>
      <c r="AO34" s="73"/>
      <c r="AP34" s="64" t="s">
        <v>490</v>
      </c>
      <c r="AQ34" s="64">
        <f t="shared" si="71"/>
        <v>547.4</v>
      </c>
      <c r="AR34" s="64"/>
      <c r="AS34" s="65">
        <f>238+309.4</f>
        <v>547.4</v>
      </c>
      <c r="AT34" s="64"/>
      <c r="AU34" s="64"/>
      <c r="AV34" s="64">
        <f t="shared" si="9"/>
        <v>0</v>
      </c>
      <c r="AW34" s="64">
        <f t="shared" si="10"/>
        <v>0</v>
      </c>
      <c r="AX34" s="64">
        <f t="shared" si="11"/>
        <v>0</v>
      </c>
      <c r="AY34" s="64">
        <f t="shared" si="12"/>
        <v>0</v>
      </c>
      <c r="AZ34" s="64" t="e">
        <f>#REF!-AU34</f>
        <v>#REF!</v>
      </c>
      <c r="BA34" s="64">
        <f t="shared" si="72"/>
        <v>547.4</v>
      </c>
      <c r="BB34" s="64"/>
      <c r="BC34" s="65">
        <f>238+309.4</f>
        <v>547.4</v>
      </c>
      <c r="BD34" s="64"/>
      <c r="BE34" s="64"/>
      <c r="BF34" s="64">
        <f t="shared" si="73"/>
        <v>0</v>
      </c>
      <c r="BG34" s="64"/>
      <c r="BH34" s="65"/>
      <c r="BI34" s="64"/>
      <c r="BJ34" s="64"/>
      <c r="BK34" s="64">
        <f t="shared" si="74"/>
        <v>547.4</v>
      </c>
      <c r="BL34" s="64"/>
      <c r="BM34" s="65">
        <f>238+309.4</f>
        <v>547.4</v>
      </c>
      <c r="BN34" s="64"/>
      <c r="BO34" s="64"/>
      <c r="BP34" s="64">
        <f t="shared" si="75"/>
        <v>547.4</v>
      </c>
      <c r="BQ34" s="64"/>
      <c r="BR34" s="74">
        <f>399.5722+147.8278</f>
        <v>547.4</v>
      </c>
      <c r="BS34" s="64"/>
      <c r="BT34" s="64"/>
      <c r="BU34" s="64">
        <f t="shared" si="76"/>
        <v>412.5548</v>
      </c>
      <c r="BV34" s="25"/>
      <c r="BW34" s="25">
        <f>82.127+330.4278</f>
        <v>412.5548</v>
      </c>
      <c r="BX34" s="25"/>
      <c r="BY34" s="64"/>
      <c r="BZ34" s="60">
        <f t="shared" si="77"/>
        <v>959.95479999999998</v>
      </c>
      <c r="CA34" s="64">
        <f t="shared" si="13"/>
        <v>959.95479999999998</v>
      </c>
      <c r="CB34" s="64">
        <f t="shared" si="14"/>
        <v>0</v>
      </c>
      <c r="CC34" s="64">
        <f t="shared" si="15"/>
        <v>959.95479999999998</v>
      </c>
      <c r="CD34" s="64">
        <f t="shared" si="16"/>
        <v>0</v>
      </c>
      <c r="CE34" s="64">
        <f t="shared" si="78"/>
        <v>0</v>
      </c>
      <c r="CF34" s="64">
        <f t="shared" si="17"/>
        <v>0</v>
      </c>
      <c r="CG34" s="64">
        <f t="shared" si="18"/>
        <v>0</v>
      </c>
      <c r="CH34" s="64">
        <f t="shared" si="19"/>
        <v>0</v>
      </c>
      <c r="CI34" s="64">
        <f t="shared" si="20"/>
        <v>0</v>
      </c>
      <c r="CJ34" s="64">
        <f t="shared" si="79"/>
        <v>0</v>
      </c>
      <c r="CK34" s="66"/>
      <c r="CL34" s="67"/>
      <c r="CM34" s="67"/>
      <c r="CN34" s="64">
        <f t="shared" si="80"/>
        <v>0</v>
      </c>
      <c r="CO34" s="64"/>
      <c r="CP34" s="65"/>
      <c r="CQ34" s="64"/>
      <c r="CR34" s="64"/>
      <c r="CS34" s="64">
        <f t="shared" si="81"/>
        <v>0</v>
      </c>
      <c r="CT34" s="64"/>
      <c r="CU34" s="65"/>
      <c r="CV34" s="64"/>
      <c r="CW34" s="64"/>
      <c r="CX34" s="64">
        <f t="shared" si="82"/>
        <v>0</v>
      </c>
      <c r="CY34" s="64">
        <f t="shared" si="83"/>
        <v>0</v>
      </c>
      <c r="CZ34" s="64">
        <f t="shared" si="83"/>
        <v>0</v>
      </c>
      <c r="DA34" s="64">
        <f t="shared" si="83"/>
        <v>0</v>
      </c>
      <c r="DB34" s="64">
        <f t="shared" si="83"/>
        <v>0</v>
      </c>
      <c r="DC34" s="64"/>
      <c r="DD34" s="64"/>
      <c r="DE34" s="64"/>
      <c r="DF34" s="64">
        <f t="shared" si="84"/>
        <v>0</v>
      </c>
      <c r="DH34" s="64">
        <f t="shared" si="85"/>
        <v>547.4</v>
      </c>
      <c r="DI34" s="64">
        <f t="shared" si="86"/>
        <v>547.4</v>
      </c>
      <c r="DK34" s="64"/>
      <c r="DL34" s="64"/>
      <c r="DN34" s="64"/>
      <c r="DQ34" s="64">
        <f t="shared" si="87"/>
        <v>547.4</v>
      </c>
      <c r="DR34" s="64"/>
      <c r="DS34" s="74">
        <f>399.5722+147.8278</f>
        <v>547.4</v>
      </c>
      <c r="DT34" s="64"/>
      <c r="DU34" s="64"/>
      <c r="DV34" s="64">
        <f t="shared" si="88"/>
        <v>82.126999999999995</v>
      </c>
      <c r="DW34" s="64"/>
      <c r="DX34" s="64">
        <v>82.126999999999995</v>
      </c>
      <c r="DY34" s="64"/>
      <c r="DZ34" s="64"/>
      <c r="EA34" s="375"/>
      <c r="EB34" s="375"/>
      <c r="EC34" s="375"/>
      <c r="ED34" s="375"/>
      <c r="EE34" s="375"/>
      <c r="EF34" s="375"/>
      <c r="EG34" s="375"/>
      <c r="EH34" s="375"/>
      <c r="EI34" s="375"/>
      <c r="EJ34" s="375"/>
      <c r="EK34" s="375"/>
      <c r="EL34" s="375"/>
      <c r="EM34" s="375"/>
      <c r="EN34" s="375"/>
      <c r="EO34" s="375"/>
      <c r="EP34" s="375"/>
      <c r="EQ34" s="375"/>
      <c r="ER34" s="375"/>
      <c r="ES34" s="375"/>
      <c r="ET34" s="375"/>
      <c r="EU34" s="375"/>
      <c r="EV34" s="375"/>
      <c r="EW34" s="375"/>
      <c r="EX34" s="375"/>
      <c r="EY34" s="375"/>
      <c r="EZ34" s="375"/>
      <c r="FA34" s="375"/>
      <c r="FB34" s="375"/>
      <c r="FC34" s="375"/>
      <c r="FD34" s="375"/>
      <c r="FE34" s="375"/>
      <c r="FF34" s="375"/>
      <c r="FG34" s="375"/>
      <c r="FH34" s="375"/>
      <c r="FI34" s="375"/>
      <c r="FJ34" s="375"/>
      <c r="FK34" s="375"/>
      <c r="FL34" s="375"/>
      <c r="FM34" s="375"/>
      <c r="FN34" s="375"/>
      <c r="FO34" s="375"/>
      <c r="FP34" s="375"/>
      <c r="FQ34" s="375"/>
      <c r="FR34" s="375"/>
      <c r="FS34" s="375"/>
      <c r="FT34" s="375"/>
      <c r="FU34" s="375"/>
      <c r="FV34" s="375"/>
      <c r="FW34" s="375"/>
      <c r="FX34" s="375"/>
      <c r="FY34" s="375"/>
      <c r="FZ34" s="375"/>
      <c r="GA34" s="375"/>
      <c r="GB34" s="375"/>
      <c r="GC34" s="375"/>
      <c r="GD34" s="375"/>
      <c r="GE34" s="375"/>
      <c r="GF34" s="375"/>
      <c r="GG34" s="375"/>
      <c r="GH34" s="375"/>
      <c r="GI34" s="375"/>
      <c r="GJ34" s="375"/>
      <c r="GK34" s="375"/>
      <c r="GL34" s="375"/>
      <c r="GM34" s="375"/>
      <c r="GN34" s="375"/>
      <c r="GO34" s="375"/>
      <c r="GP34" s="375"/>
      <c r="GQ34" s="375"/>
      <c r="GR34" s="375"/>
    </row>
    <row r="35" spans="1:200" s="61" customFormat="1" ht="15.75" customHeight="1" x14ac:dyDescent="0.3">
      <c r="A35" s="280"/>
      <c r="B35" s="281"/>
      <c r="C35" s="282"/>
      <c r="D35" s="282">
        <v>1</v>
      </c>
      <c r="E35" s="4">
        <v>25</v>
      </c>
      <c r="F35" s="281"/>
      <c r="G35" s="282"/>
      <c r="H35" s="282">
        <v>1</v>
      </c>
      <c r="I35" s="280"/>
      <c r="J35" s="280"/>
      <c r="K35" s="280"/>
      <c r="L35" s="280"/>
      <c r="M35" s="4">
        <v>25</v>
      </c>
      <c r="N35" s="62" t="s">
        <v>82</v>
      </c>
      <c r="O35" s="62" t="s">
        <v>448</v>
      </c>
      <c r="P35" s="62" t="s">
        <v>450</v>
      </c>
      <c r="Q35" s="60">
        <f t="shared" si="23"/>
        <v>0</v>
      </c>
      <c r="R35" s="60">
        <f t="shared" si="24"/>
        <v>0</v>
      </c>
      <c r="S35" s="60">
        <f t="shared" si="25"/>
        <v>0</v>
      </c>
      <c r="T35" s="60">
        <v>1</v>
      </c>
      <c r="U35" s="60">
        <v>2</v>
      </c>
      <c r="V35" s="64">
        <f t="shared" si="67"/>
        <v>188.6</v>
      </c>
      <c r="W35" s="64"/>
      <c r="X35" s="65">
        <v>188.6</v>
      </c>
      <c r="Y35" s="64"/>
      <c r="Z35" s="73"/>
      <c r="AA35" s="64">
        <f t="shared" si="68"/>
        <v>188.6</v>
      </c>
      <c r="AB35" s="64"/>
      <c r="AC35" s="65">
        <v>188.6</v>
      </c>
      <c r="AD35" s="64"/>
      <c r="AE35" s="73"/>
      <c r="AF35" s="64">
        <f t="shared" si="69"/>
        <v>188.6</v>
      </c>
      <c r="AG35" s="64"/>
      <c r="AH35" s="65">
        <v>188.6</v>
      </c>
      <c r="AI35" s="64"/>
      <c r="AJ35" s="73"/>
      <c r="AK35" s="64">
        <f t="shared" si="70"/>
        <v>82</v>
      </c>
      <c r="AL35" s="64"/>
      <c r="AM35" s="65">
        <v>82</v>
      </c>
      <c r="AN35" s="64"/>
      <c r="AO35" s="73"/>
      <c r="AP35" s="64" t="s">
        <v>428</v>
      </c>
      <c r="AQ35" s="64">
        <f t="shared" si="71"/>
        <v>188.6</v>
      </c>
      <c r="AR35" s="64"/>
      <c r="AS35" s="65">
        <f>82+106.6</f>
        <v>188.6</v>
      </c>
      <c r="AT35" s="64"/>
      <c r="AU35" s="73"/>
      <c r="AV35" s="64">
        <f t="shared" si="9"/>
        <v>0</v>
      </c>
      <c r="AW35" s="64">
        <f t="shared" si="10"/>
        <v>0</v>
      </c>
      <c r="AX35" s="64">
        <f t="shared" si="11"/>
        <v>0</v>
      </c>
      <c r="AY35" s="64">
        <f t="shared" si="12"/>
        <v>0</v>
      </c>
      <c r="AZ35" s="64" t="e">
        <f>#REF!-AU35</f>
        <v>#REF!</v>
      </c>
      <c r="BA35" s="64">
        <f t="shared" si="72"/>
        <v>188.6</v>
      </c>
      <c r="BB35" s="64"/>
      <c r="BC35" s="65">
        <f>82+106.6</f>
        <v>188.6</v>
      </c>
      <c r="BD35" s="64"/>
      <c r="BE35" s="73"/>
      <c r="BF35" s="64">
        <f t="shared" si="73"/>
        <v>0</v>
      </c>
      <c r="BG35" s="64"/>
      <c r="BH35" s="65"/>
      <c r="BI35" s="64"/>
      <c r="BJ35" s="73"/>
      <c r="BK35" s="64">
        <f t="shared" si="74"/>
        <v>188.6</v>
      </c>
      <c r="BL35" s="64"/>
      <c r="BM35" s="65">
        <f>82+106.6</f>
        <v>188.6</v>
      </c>
      <c r="BN35" s="64"/>
      <c r="BO35" s="74"/>
      <c r="BP35" s="64">
        <f t="shared" si="75"/>
        <v>188.6</v>
      </c>
      <c r="BQ35" s="64"/>
      <c r="BR35" s="74">
        <f>74.62+81+32.98</f>
        <v>188.6</v>
      </c>
      <c r="BS35" s="64"/>
      <c r="BT35" s="74"/>
      <c r="BU35" s="64">
        <f t="shared" si="76"/>
        <v>90.054000000000002</v>
      </c>
      <c r="BV35" s="25"/>
      <c r="BW35" s="25">
        <f>37.38+27.336+2.806+22.532</f>
        <v>90.054000000000002</v>
      </c>
      <c r="BX35" s="25"/>
      <c r="BY35" s="64"/>
      <c r="BZ35" s="60">
        <f t="shared" si="77"/>
        <v>278.654</v>
      </c>
      <c r="CA35" s="64">
        <f t="shared" si="13"/>
        <v>278.654</v>
      </c>
      <c r="CB35" s="64">
        <f t="shared" si="14"/>
        <v>0</v>
      </c>
      <c r="CC35" s="64">
        <f t="shared" si="15"/>
        <v>278.654</v>
      </c>
      <c r="CD35" s="64">
        <f t="shared" si="16"/>
        <v>0</v>
      </c>
      <c r="CE35" s="64">
        <f t="shared" si="78"/>
        <v>0</v>
      </c>
      <c r="CF35" s="64">
        <f t="shared" si="17"/>
        <v>0</v>
      </c>
      <c r="CG35" s="64">
        <f t="shared" si="18"/>
        <v>0</v>
      </c>
      <c r="CH35" s="64">
        <f t="shared" si="19"/>
        <v>0</v>
      </c>
      <c r="CI35" s="64">
        <f t="shared" si="20"/>
        <v>0</v>
      </c>
      <c r="CJ35" s="64">
        <f t="shared" si="79"/>
        <v>0</v>
      </c>
      <c r="CK35" s="66"/>
      <c r="CL35" s="67"/>
      <c r="CM35" s="67"/>
      <c r="CN35" s="64">
        <f t="shared" si="80"/>
        <v>0</v>
      </c>
      <c r="CO35" s="64"/>
      <c r="CP35" s="65"/>
      <c r="CQ35" s="64"/>
      <c r="CR35" s="73"/>
      <c r="CS35" s="64">
        <f t="shared" si="81"/>
        <v>0</v>
      </c>
      <c r="CT35" s="64"/>
      <c r="CU35" s="65"/>
      <c r="CV35" s="64"/>
      <c r="CW35" s="73"/>
      <c r="CX35" s="64">
        <f t="shared" si="82"/>
        <v>0</v>
      </c>
      <c r="CY35" s="64">
        <f t="shared" si="83"/>
        <v>0</v>
      </c>
      <c r="CZ35" s="64">
        <f t="shared" si="83"/>
        <v>0</v>
      </c>
      <c r="DA35" s="64">
        <f t="shared" si="83"/>
        <v>0</v>
      </c>
      <c r="DB35" s="64">
        <f t="shared" si="83"/>
        <v>0</v>
      </c>
      <c r="DC35" s="64"/>
      <c r="DD35" s="64"/>
      <c r="DE35" s="64"/>
      <c r="DF35" s="64">
        <f t="shared" si="84"/>
        <v>0</v>
      </c>
      <c r="DH35" s="64">
        <f t="shared" si="85"/>
        <v>188.6</v>
      </c>
      <c r="DI35" s="64">
        <f t="shared" si="86"/>
        <v>188.6</v>
      </c>
      <c r="DK35" s="64"/>
      <c r="DL35" s="64"/>
      <c r="DN35" s="64"/>
      <c r="DQ35" s="64">
        <f t="shared" si="87"/>
        <v>188.6</v>
      </c>
      <c r="DR35" s="64"/>
      <c r="DS35" s="74">
        <f>74.62+81+32.98</f>
        <v>188.6</v>
      </c>
      <c r="DT35" s="64"/>
      <c r="DU35" s="74"/>
      <c r="DV35" s="64">
        <f t="shared" si="88"/>
        <v>90.054000000000002</v>
      </c>
      <c r="DW35" s="64"/>
      <c r="DX35" s="64">
        <v>90.054000000000002</v>
      </c>
      <c r="DY35" s="64"/>
      <c r="DZ35" s="64"/>
      <c r="EA35" s="375"/>
      <c r="EB35" s="375"/>
      <c r="EC35" s="375"/>
      <c r="ED35" s="375"/>
      <c r="EE35" s="375"/>
      <c r="EF35" s="375"/>
      <c r="EG35" s="375"/>
      <c r="EH35" s="375"/>
      <c r="EI35" s="375"/>
      <c r="EJ35" s="375"/>
      <c r="EK35" s="375"/>
      <c r="EL35" s="375"/>
      <c r="EM35" s="375"/>
      <c r="EN35" s="375"/>
      <c r="EO35" s="375"/>
      <c r="EP35" s="375"/>
      <c r="EQ35" s="375"/>
      <c r="ER35" s="375"/>
      <c r="ES35" s="375"/>
      <c r="ET35" s="375"/>
      <c r="EU35" s="375"/>
      <c r="EV35" s="375"/>
      <c r="EW35" s="375"/>
      <c r="EX35" s="375"/>
      <c r="EY35" s="375"/>
      <c r="EZ35" s="375"/>
      <c r="FA35" s="375"/>
      <c r="FB35" s="375"/>
      <c r="FC35" s="375"/>
      <c r="FD35" s="375"/>
      <c r="FE35" s="375"/>
      <c r="FF35" s="375"/>
      <c r="FG35" s="375"/>
      <c r="FH35" s="375"/>
      <c r="FI35" s="375"/>
      <c r="FJ35" s="375"/>
      <c r="FK35" s="375"/>
      <c r="FL35" s="375"/>
      <c r="FM35" s="375"/>
      <c r="FN35" s="375"/>
      <c r="FO35" s="375"/>
      <c r="FP35" s="375"/>
      <c r="FQ35" s="375"/>
      <c r="FR35" s="375"/>
      <c r="FS35" s="375"/>
      <c r="FT35" s="375"/>
      <c r="FU35" s="375"/>
      <c r="FV35" s="375"/>
      <c r="FW35" s="375"/>
      <c r="FX35" s="375"/>
      <c r="FY35" s="375"/>
      <c r="FZ35" s="375"/>
      <c r="GA35" s="375"/>
      <c r="GB35" s="375"/>
      <c r="GC35" s="375"/>
      <c r="GD35" s="375"/>
      <c r="GE35" s="375"/>
      <c r="GF35" s="375"/>
      <c r="GG35" s="375"/>
      <c r="GH35" s="375"/>
      <c r="GI35" s="375"/>
      <c r="GJ35" s="375"/>
      <c r="GK35" s="375"/>
      <c r="GL35" s="375"/>
      <c r="GM35" s="375"/>
      <c r="GN35" s="375"/>
      <c r="GO35" s="375"/>
      <c r="GP35" s="375"/>
      <c r="GQ35" s="375"/>
      <c r="GR35" s="375"/>
    </row>
    <row r="36" spans="1:200" s="61" customFormat="1" ht="15.75" customHeight="1" x14ac:dyDescent="0.3">
      <c r="A36" s="280"/>
      <c r="B36" s="281"/>
      <c r="C36" s="282"/>
      <c r="D36" s="282">
        <v>1</v>
      </c>
      <c r="E36" s="4">
        <v>26</v>
      </c>
      <c r="F36" s="281"/>
      <c r="G36" s="282"/>
      <c r="H36" s="282">
        <v>1</v>
      </c>
      <c r="I36" s="280"/>
      <c r="J36" s="280"/>
      <c r="K36" s="280"/>
      <c r="L36" s="280"/>
      <c r="M36" s="4">
        <v>26</v>
      </c>
      <c r="N36" s="62" t="s">
        <v>83</v>
      </c>
      <c r="O36" s="62" t="s">
        <v>450</v>
      </c>
      <c r="P36" s="62" t="s">
        <v>450</v>
      </c>
      <c r="Q36" s="60">
        <f t="shared" si="23"/>
        <v>0</v>
      </c>
      <c r="R36" s="60">
        <f t="shared" si="24"/>
        <v>0</v>
      </c>
      <c r="S36" s="60">
        <f t="shared" si="25"/>
        <v>0</v>
      </c>
      <c r="T36" s="60">
        <v>1</v>
      </c>
      <c r="U36" s="60">
        <v>1</v>
      </c>
      <c r="V36" s="64">
        <f t="shared" si="67"/>
        <v>5535.3</v>
      </c>
      <c r="W36" s="73">
        <v>5050</v>
      </c>
      <c r="X36" s="65">
        <v>485.3</v>
      </c>
      <c r="Y36" s="64"/>
      <c r="Z36" s="73"/>
      <c r="AA36" s="64">
        <f t="shared" si="68"/>
        <v>5535.3</v>
      </c>
      <c r="AB36" s="73">
        <v>5050</v>
      </c>
      <c r="AC36" s="65">
        <v>485.3</v>
      </c>
      <c r="AD36" s="64"/>
      <c r="AE36" s="73"/>
      <c r="AF36" s="64">
        <f t="shared" si="69"/>
        <v>922.00199999999995</v>
      </c>
      <c r="AG36" s="73">
        <v>436.702</v>
      </c>
      <c r="AH36" s="65">
        <v>485.3</v>
      </c>
      <c r="AI36" s="64"/>
      <c r="AJ36" s="73"/>
      <c r="AK36" s="64">
        <f t="shared" si="70"/>
        <v>647.702</v>
      </c>
      <c r="AL36" s="73">
        <v>436.702</v>
      </c>
      <c r="AM36" s="65">
        <v>211</v>
      </c>
      <c r="AN36" s="64"/>
      <c r="AO36" s="73"/>
      <c r="AP36" s="64" t="s">
        <v>550</v>
      </c>
      <c r="AQ36" s="64">
        <f t="shared" si="71"/>
        <v>5535.3</v>
      </c>
      <c r="AR36" s="73">
        <v>5050</v>
      </c>
      <c r="AS36" s="65">
        <v>485.3</v>
      </c>
      <c r="AT36" s="64"/>
      <c r="AU36" s="64"/>
      <c r="AV36" s="64">
        <f t="shared" si="9"/>
        <v>0</v>
      </c>
      <c r="AW36" s="64">
        <f t="shared" si="10"/>
        <v>0</v>
      </c>
      <c r="AX36" s="64">
        <f t="shared" si="11"/>
        <v>0</v>
      </c>
      <c r="AY36" s="64">
        <f t="shared" si="12"/>
        <v>0</v>
      </c>
      <c r="AZ36" s="64" t="e">
        <f>#REF!-AU36</f>
        <v>#REF!</v>
      </c>
      <c r="BA36" s="64">
        <f t="shared" si="72"/>
        <v>485.3</v>
      </c>
      <c r="BB36" s="64"/>
      <c r="BC36" s="65">
        <v>485.3</v>
      </c>
      <c r="BD36" s="64"/>
      <c r="BE36" s="64"/>
      <c r="BF36" s="64">
        <f t="shared" si="73"/>
        <v>0</v>
      </c>
      <c r="BG36" s="64"/>
      <c r="BH36" s="65"/>
      <c r="BI36" s="64"/>
      <c r="BJ36" s="64"/>
      <c r="BK36" s="64">
        <f t="shared" si="74"/>
        <v>485.3</v>
      </c>
      <c r="BL36" s="64"/>
      <c r="BM36" s="65">
        <v>485.3</v>
      </c>
      <c r="BN36" s="64"/>
      <c r="BO36" s="64"/>
      <c r="BP36" s="64">
        <f t="shared" si="75"/>
        <v>485.3</v>
      </c>
      <c r="BQ36" s="64"/>
      <c r="BR36" s="74">
        <f>274.3+211</f>
        <v>485.3</v>
      </c>
      <c r="BS36" s="64"/>
      <c r="BT36" s="64"/>
      <c r="BU36" s="64">
        <f t="shared" si="76"/>
        <v>229.30196999999998</v>
      </c>
      <c r="BV36" s="25"/>
      <c r="BW36" s="25">
        <f>156.727+72.57497</f>
        <v>229.30196999999998</v>
      </c>
      <c r="BX36" s="25"/>
      <c r="BY36" s="64"/>
      <c r="BZ36" s="60">
        <f t="shared" si="77"/>
        <v>714.60196999999994</v>
      </c>
      <c r="CA36" s="64">
        <f t="shared" si="13"/>
        <v>714.60196999999994</v>
      </c>
      <c r="CB36" s="64">
        <f t="shared" si="14"/>
        <v>0</v>
      </c>
      <c r="CC36" s="64">
        <f t="shared" si="15"/>
        <v>714.60196999999994</v>
      </c>
      <c r="CD36" s="64">
        <f t="shared" si="16"/>
        <v>0</v>
      </c>
      <c r="CE36" s="64">
        <f t="shared" si="78"/>
        <v>0</v>
      </c>
      <c r="CF36" s="64">
        <f t="shared" si="17"/>
        <v>0</v>
      </c>
      <c r="CG36" s="64">
        <f t="shared" si="18"/>
        <v>0</v>
      </c>
      <c r="CH36" s="64">
        <f t="shared" si="19"/>
        <v>0</v>
      </c>
      <c r="CI36" s="64">
        <f t="shared" si="20"/>
        <v>0</v>
      </c>
      <c r="CJ36" s="64">
        <f t="shared" si="79"/>
        <v>0</v>
      </c>
      <c r="CK36" s="66"/>
      <c r="CL36" s="67"/>
      <c r="CM36" s="67"/>
      <c r="CN36" s="64">
        <f t="shared" si="80"/>
        <v>0</v>
      </c>
      <c r="CO36" s="64"/>
      <c r="CP36" s="65"/>
      <c r="CQ36" s="64"/>
      <c r="CR36" s="64"/>
      <c r="CS36" s="64">
        <f t="shared" si="81"/>
        <v>0</v>
      </c>
      <c r="CT36" s="64"/>
      <c r="CU36" s="65"/>
      <c r="CV36" s="64"/>
      <c r="CW36" s="64"/>
      <c r="CX36" s="64">
        <f t="shared" si="82"/>
        <v>0</v>
      </c>
      <c r="CY36" s="64">
        <f t="shared" si="83"/>
        <v>0</v>
      </c>
      <c r="CZ36" s="64">
        <f t="shared" si="83"/>
        <v>0</v>
      </c>
      <c r="DA36" s="64">
        <f t="shared" si="83"/>
        <v>0</v>
      </c>
      <c r="DB36" s="64">
        <f t="shared" si="83"/>
        <v>0</v>
      </c>
      <c r="DC36" s="64"/>
      <c r="DD36" s="64"/>
      <c r="DE36" s="64"/>
      <c r="DF36" s="64">
        <f t="shared" si="84"/>
        <v>0</v>
      </c>
      <c r="DH36" s="64">
        <f t="shared" si="85"/>
        <v>485.3</v>
      </c>
      <c r="DI36" s="64">
        <f t="shared" si="86"/>
        <v>485.3</v>
      </c>
      <c r="DK36" s="64"/>
      <c r="DL36" s="64"/>
      <c r="DN36" s="64"/>
      <c r="DQ36" s="64">
        <f t="shared" si="87"/>
        <v>485.3</v>
      </c>
      <c r="DR36" s="64"/>
      <c r="DS36" s="74">
        <f>274.3+211</f>
        <v>485.3</v>
      </c>
      <c r="DT36" s="64"/>
      <c r="DU36" s="64"/>
      <c r="DV36" s="64">
        <f t="shared" si="88"/>
        <v>156.727</v>
      </c>
      <c r="DW36" s="64"/>
      <c r="DX36" s="64">
        <v>156.727</v>
      </c>
      <c r="DY36" s="64"/>
      <c r="DZ36" s="64"/>
      <c r="EA36" s="375"/>
      <c r="EB36" s="375"/>
      <c r="EC36" s="375"/>
      <c r="ED36" s="375"/>
      <c r="EE36" s="375"/>
      <c r="EF36" s="375"/>
      <c r="EG36" s="375"/>
      <c r="EH36" s="375"/>
      <c r="EI36" s="375"/>
      <c r="EJ36" s="375"/>
      <c r="EK36" s="375"/>
      <c r="EL36" s="375"/>
      <c r="EM36" s="375"/>
      <c r="EN36" s="375"/>
      <c r="EO36" s="375"/>
      <c r="EP36" s="375"/>
      <c r="EQ36" s="375"/>
      <c r="ER36" s="375"/>
      <c r="ES36" s="375"/>
      <c r="ET36" s="375"/>
      <c r="EU36" s="375"/>
      <c r="EV36" s="375"/>
      <c r="EW36" s="375"/>
      <c r="EX36" s="375"/>
      <c r="EY36" s="375"/>
      <c r="EZ36" s="375"/>
      <c r="FA36" s="375"/>
      <c r="FB36" s="375"/>
      <c r="FC36" s="375"/>
      <c r="FD36" s="375"/>
      <c r="FE36" s="375"/>
      <c r="FF36" s="375"/>
      <c r="FG36" s="375"/>
      <c r="FH36" s="375"/>
      <c r="FI36" s="375"/>
      <c r="FJ36" s="375"/>
      <c r="FK36" s="375"/>
      <c r="FL36" s="375"/>
      <c r="FM36" s="375"/>
      <c r="FN36" s="375"/>
      <c r="FO36" s="375"/>
      <c r="FP36" s="375"/>
      <c r="FQ36" s="375"/>
      <c r="FR36" s="375"/>
      <c r="FS36" s="375"/>
      <c r="FT36" s="375"/>
      <c r="FU36" s="375"/>
      <c r="FV36" s="375"/>
      <c r="FW36" s="375"/>
      <c r="FX36" s="375"/>
      <c r="FY36" s="375"/>
      <c r="FZ36" s="375"/>
      <c r="GA36" s="375"/>
      <c r="GB36" s="375"/>
      <c r="GC36" s="375"/>
      <c r="GD36" s="375"/>
      <c r="GE36" s="375"/>
      <c r="GF36" s="375"/>
      <c r="GG36" s="375"/>
      <c r="GH36" s="375"/>
      <c r="GI36" s="375"/>
      <c r="GJ36" s="375"/>
      <c r="GK36" s="375"/>
      <c r="GL36" s="375"/>
      <c r="GM36" s="375"/>
      <c r="GN36" s="375"/>
      <c r="GO36" s="375"/>
      <c r="GP36" s="375"/>
      <c r="GQ36" s="375"/>
      <c r="GR36" s="375"/>
    </row>
    <row r="37" spans="1:200" s="61" customFormat="1" ht="15.75" customHeight="1" x14ac:dyDescent="0.3">
      <c r="A37" s="280"/>
      <c r="B37" s="281"/>
      <c r="C37" s="282"/>
      <c r="D37" s="282">
        <v>1</v>
      </c>
      <c r="E37" s="4">
        <v>27</v>
      </c>
      <c r="F37" s="281"/>
      <c r="G37" s="282"/>
      <c r="H37" s="282">
        <v>1</v>
      </c>
      <c r="I37" s="280"/>
      <c r="J37" s="280"/>
      <c r="K37" s="280"/>
      <c r="L37" s="280"/>
      <c r="M37" s="4">
        <v>27</v>
      </c>
      <c r="N37" s="62" t="s">
        <v>84</v>
      </c>
      <c r="O37" s="62" t="s">
        <v>450</v>
      </c>
      <c r="P37" s="62" t="s">
        <v>450</v>
      </c>
      <c r="Q37" s="60">
        <f t="shared" si="23"/>
        <v>0</v>
      </c>
      <c r="R37" s="60">
        <f t="shared" si="24"/>
        <v>0</v>
      </c>
      <c r="S37" s="60">
        <f t="shared" si="25"/>
        <v>0</v>
      </c>
      <c r="T37" s="60">
        <v>1</v>
      </c>
      <c r="U37" s="60">
        <v>1</v>
      </c>
      <c r="V37" s="64">
        <f t="shared" si="67"/>
        <v>273.7</v>
      </c>
      <c r="W37" s="64"/>
      <c r="X37" s="65">
        <v>273.7</v>
      </c>
      <c r="Y37" s="64"/>
      <c r="Z37" s="73"/>
      <c r="AA37" s="64">
        <f t="shared" si="68"/>
        <v>273.7</v>
      </c>
      <c r="AB37" s="64"/>
      <c r="AC37" s="65">
        <v>273.7</v>
      </c>
      <c r="AD37" s="64"/>
      <c r="AE37" s="73"/>
      <c r="AF37" s="64">
        <f t="shared" si="69"/>
        <v>273.7</v>
      </c>
      <c r="AG37" s="64"/>
      <c r="AH37" s="65">
        <v>273.7</v>
      </c>
      <c r="AI37" s="64"/>
      <c r="AJ37" s="73"/>
      <c r="AK37" s="64">
        <f t="shared" si="70"/>
        <v>119</v>
      </c>
      <c r="AL37" s="64"/>
      <c r="AM37" s="65">
        <v>119</v>
      </c>
      <c r="AN37" s="64"/>
      <c r="AO37" s="73"/>
      <c r="AP37" s="64" t="s">
        <v>539</v>
      </c>
      <c r="AQ37" s="64">
        <f t="shared" si="71"/>
        <v>273.7</v>
      </c>
      <c r="AR37" s="64"/>
      <c r="AS37" s="65">
        <v>273.7</v>
      </c>
      <c r="AT37" s="64"/>
      <c r="AU37" s="64"/>
      <c r="AV37" s="64">
        <f t="shared" si="9"/>
        <v>0</v>
      </c>
      <c r="AW37" s="64">
        <f t="shared" si="10"/>
        <v>0</v>
      </c>
      <c r="AX37" s="64">
        <f t="shared" si="11"/>
        <v>0</v>
      </c>
      <c r="AY37" s="64">
        <f t="shared" si="12"/>
        <v>0</v>
      </c>
      <c r="AZ37" s="64" t="e">
        <f>#REF!-AU37</f>
        <v>#REF!</v>
      </c>
      <c r="BA37" s="64">
        <f t="shared" si="72"/>
        <v>273.7</v>
      </c>
      <c r="BB37" s="64"/>
      <c r="BC37" s="65">
        <v>273.7</v>
      </c>
      <c r="BD37" s="64"/>
      <c r="BE37" s="64"/>
      <c r="BF37" s="64">
        <f t="shared" si="73"/>
        <v>0</v>
      </c>
      <c r="BG37" s="64"/>
      <c r="BH37" s="65"/>
      <c r="BI37" s="64"/>
      <c r="BJ37" s="64"/>
      <c r="BK37" s="64">
        <f t="shared" si="74"/>
        <v>273.7</v>
      </c>
      <c r="BL37" s="64"/>
      <c r="BM37" s="65">
        <v>273.7</v>
      </c>
      <c r="BN37" s="64"/>
      <c r="BO37" s="64"/>
      <c r="BP37" s="64">
        <f t="shared" si="75"/>
        <v>273.7</v>
      </c>
      <c r="BQ37" s="64"/>
      <c r="BR37" s="74">
        <v>273.7</v>
      </c>
      <c r="BS37" s="64"/>
      <c r="BT37" s="64"/>
      <c r="BU37" s="64">
        <f t="shared" si="76"/>
        <v>157.13798</v>
      </c>
      <c r="BV37" s="25"/>
      <c r="BW37" s="25">
        <v>157.13798</v>
      </c>
      <c r="BX37" s="25"/>
      <c r="BY37" s="64"/>
      <c r="BZ37" s="60">
        <f t="shared" si="77"/>
        <v>430.83798000000002</v>
      </c>
      <c r="CA37" s="64">
        <f t="shared" si="13"/>
        <v>430.83798000000002</v>
      </c>
      <c r="CB37" s="64">
        <f t="shared" si="14"/>
        <v>0</v>
      </c>
      <c r="CC37" s="64">
        <f t="shared" si="15"/>
        <v>430.83798000000002</v>
      </c>
      <c r="CD37" s="64">
        <f t="shared" si="16"/>
        <v>0</v>
      </c>
      <c r="CE37" s="64">
        <f t="shared" si="78"/>
        <v>0</v>
      </c>
      <c r="CF37" s="64">
        <f t="shared" si="17"/>
        <v>0</v>
      </c>
      <c r="CG37" s="64">
        <f t="shared" si="18"/>
        <v>0</v>
      </c>
      <c r="CH37" s="64">
        <f t="shared" si="19"/>
        <v>0</v>
      </c>
      <c r="CI37" s="64">
        <f t="shared" si="20"/>
        <v>0</v>
      </c>
      <c r="CJ37" s="64">
        <f t="shared" si="79"/>
        <v>0</v>
      </c>
      <c r="CK37" s="66"/>
      <c r="CL37" s="67"/>
      <c r="CM37" s="67"/>
      <c r="CN37" s="64">
        <f t="shared" si="80"/>
        <v>0</v>
      </c>
      <c r="CO37" s="64"/>
      <c r="CP37" s="65"/>
      <c r="CQ37" s="64"/>
      <c r="CR37" s="64"/>
      <c r="CS37" s="64">
        <f t="shared" si="81"/>
        <v>0</v>
      </c>
      <c r="CT37" s="64"/>
      <c r="CU37" s="65"/>
      <c r="CV37" s="64"/>
      <c r="CW37" s="64"/>
      <c r="CX37" s="64">
        <f t="shared" si="82"/>
        <v>0</v>
      </c>
      <c r="CY37" s="64">
        <f t="shared" si="83"/>
        <v>0</v>
      </c>
      <c r="CZ37" s="64">
        <f t="shared" si="83"/>
        <v>0</v>
      </c>
      <c r="DA37" s="64">
        <f t="shared" si="83"/>
        <v>0</v>
      </c>
      <c r="DB37" s="64">
        <f t="shared" si="83"/>
        <v>0</v>
      </c>
      <c r="DC37" s="64"/>
      <c r="DD37" s="64"/>
      <c r="DE37" s="64"/>
      <c r="DF37" s="64">
        <f t="shared" si="84"/>
        <v>0</v>
      </c>
      <c r="DH37" s="64">
        <f t="shared" si="85"/>
        <v>273.7</v>
      </c>
      <c r="DI37" s="64">
        <f t="shared" si="86"/>
        <v>273.7</v>
      </c>
      <c r="DK37" s="64"/>
      <c r="DL37" s="64"/>
      <c r="DN37" s="64"/>
      <c r="DQ37" s="64">
        <f t="shared" si="87"/>
        <v>273.7</v>
      </c>
      <c r="DR37" s="64"/>
      <c r="DS37" s="74">
        <v>273.7</v>
      </c>
      <c r="DT37" s="64"/>
      <c r="DU37" s="64"/>
      <c r="DV37" s="64">
        <f t="shared" si="88"/>
        <v>157.13798</v>
      </c>
      <c r="DW37" s="64"/>
      <c r="DX37" s="64">
        <v>157.13798</v>
      </c>
      <c r="DY37" s="64"/>
      <c r="DZ37" s="64"/>
      <c r="EA37" s="375"/>
      <c r="EB37" s="375"/>
      <c r="EC37" s="375"/>
      <c r="ED37" s="375"/>
      <c r="EE37" s="375"/>
      <c r="EF37" s="375"/>
      <c r="EG37" s="375"/>
      <c r="EH37" s="375"/>
      <c r="EI37" s="375"/>
      <c r="EJ37" s="375"/>
      <c r="EK37" s="375"/>
      <c r="EL37" s="375"/>
      <c r="EM37" s="375"/>
      <c r="EN37" s="375"/>
      <c r="EO37" s="375"/>
      <c r="EP37" s="375"/>
      <c r="EQ37" s="375"/>
      <c r="ER37" s="375"/>
      <c r="ES37" s="375"/>
      <c r="ET37" s="375"/>
      <c r="EU37" s="375"/>
      <c r="EV37" s="375"/>
      <c r="EW37" s="375"/>
      <c r="EX37" s="375"/>
      <c r="EY37" s="375"/>
      <c r="EZ37" s="375"/>
      <c r="FA37" s="375"/>
      <c r="FB37" s="375"/>
      <c r="FC37" s="375"/>
      <c r="FD37" s="375"/>
      <c r="FE37" s="375"/>
      <c r="FF37" s="375"/>
      <c r="FG37" s="375"/>
      <c r="FH37" s="375"/>
      <c r="FI37" s="375"/>
      <c r="FJ37" s="375"/>
      <c r="FK37" s="375"/>
      <c r="FL37" s="375"/>
      <c r="FM37" s="375"/>
      <c r="FN37" s="375"/>
      <c r="FO37" s="375"/>
      <c r="FP37" s="375"/>
      <c r="FQ37" s="375"/>
      <c r="FR37" s="375"/>
      <c r="FS37" s="375"/>
      <c r="FT37" s="375"/>
      <c r="FU37" s="375"/>
      <c r="FV37" s="375"/>
      <c r="FW37" s="375"/>
      <c r="FX37" s="375"/>
      <c r="FY37" s="375"/>
      <c r="FZ37" s="375"/>
      <c r="GA37" s="375"/>
      <c r="GB37" s="375"/>
      <c r="GC37" s="375"/>
      <c r="GD37" s="375"/>
      <c r="GE37" s="375"/>
      <c r="GF37" s="375"/>
      <c r="GG37" s="375"/>
      <c r="GH37" s="375"/>
      <c r="GI37" s="375"/>
      <c r="GJ37" s="375"/>
      <c r="GK37" s="375"/>
      <c r="GL37" s="375"/>
      <c r="GM37" s="375"/>
      <c r="GN37" s="375"/>
      <c r="GO37" s="375"/>
      <c r="GP37" s="375"/>
      <c r="GQ37" s="375"/>
      <c r="GR37" s="375"/>
    </row>
    <row r="38" spans="1:200" s="61" customFormat="1" ht="15.75" customHeight="1" x14ac:dyDescent="0.3">
      <c r="A38" s="280"/>
      <c r="B38" s="281"/>
      <c r="C38" s="282"/>
      <c r="D38" s="282">
        <v>1</v>
      </c>
      <c r="E38" s="4">
        <v>28</v>
      </c>
      <c r="F38" s="281"/>
      <c r="G38" s="282"/>
      <c r="H38" s="282">
        <v>1</v>
      </c>
      <c r="I38" s="280"/>
      <c r="J38" s="280"/>
      <c r="K38" s="280"/>
      <c r="L38" s="280"/>
      <c r="M38" s="4">
        <v>28</v>
      </c>
      <c r="N38" s="62" t="s">
        <v>85</v>
      </c>
      <c r="O38" s="62">
        <v>0</v>
      </c>
      <c r="P38" s="62">
        <v>0</v>
      </c>
      <c r="Q38" s="60">
        <f t="shared" si="23"/>
        <v>0</v>
      </c>
      <c r="R38" s="60">
        <f t="shared" si="24"/>
        <v>0</v>
      </c>
      <c r="S38" s="60">
        <f t="shared" si="25"/>
        <v>0</v>
      </c>
      <c r="T38" s="60"/>
      <c r="U38" s="60"/>
      <c r="V38" s="64">
        <f t="shared" si="67"/>
        <v>0</v>
      </c>
      <c r="W38" s="64"/>
      <c r="X38" s="65">
        <v>0</v>
      </c>
      <c r="Y38" s="64"/>
      <c r="Z38" s="73"/>
      <c r="AA38" s="64">
        <f t="shared" si="68"/>
        <v>0</v>
      </c>
      <c r="AB38" s="64"/>
      <c r="AC38" s="65">
        <v>0</v>
      </c>
      <c r="AD38" s="64"/>
      <c r="AE38" s="73"/>
      <c r="AF38" s="64">
        <f t="shared" si="69"/>
        <v>0</v>
      </c>
      <c r="AG38" s="64"/>
      <c r="AH38" s="65">
        <v>0</v>
      </c>
      <c r="AI38" s="64"/>
      <c r="AJ38" s="73"/>
      <c r="AK38" s="64">
        <f t="shared" si="70"/>
        <v>85</v>
      </c>
      <c r="AL38" s="64"/>
      <c r="AM38" s="65">
        <v>85</v>
      </c>
      <c r="AN38" s="64"/>
      <c r="AO38" s="73"/>
      <c r="AP38" s="64"/>
      <c r="AQ38" s="64">
        <f t="shared" si="71"/>
        <v>0</v>
      </c>
      <c r="AR38" s="64"/>
      <c r="AS38" s="65"/>
      <c r="AT38" s="64"/>
      <c r="AU38" s="64"/>
      <c r="AV38" s="64">
        <f t="shared" si="9"/>
        <v>0</v>
      </c>
      <c r="AW38" s="64">
        <f t="shared" si="10"/>
        <v>0</v>
      </c>
      <c r="AX38" s="64">
        <f t="shared" si="11"/>
        <v>0</v>
      </c>
      <c r="AY38" s="64">
        <f t="shared" si="12"/>
        <v>0</v>
      </c>
      <c r="AZ38" s="64" t="e">
        <f>#REF!-AU38</f>
        <v>#REF!</v>
      </c>
      <c r="BA38" s="64">
        <f t="shared" si="72"/>
        <v>0</v>
      </c>
      <c r="BB38" s="64"/>
      <c r="BC38" s="65"/>
      <c r="BD38" s="64"/>
      <c r="BE38" s="64"/>
      <c r="BF38" s="64">
        <f t="shared" si="73"/>
        <v>0</v>
      </c>
      <c r="BG38" s="64"/>
      <c r="BH38" s="65"/>
      <c r="BI38" s="64"/>
      <c r="BJ38" s="64"/>
      <c r="BK38" s="64">
        <f t="shared" si="74"/>
        <v>0</v>
      </c>
      <c r="BL38" s="64"/>
      <c r="BM38" s="74"/>
      <c r="BN38" s="64"/>
      <c r="BO38" s="64"/>
      <c r="BP38" s="64">
        <f t="shared" si="75"/>
        <v>0</v>
      </c>
      <c r="BQ38" s="64"/>
      <c r="BR38" s="74"/>
      <c r="BS38" s="64"/>
      <c r="BT38" s="64"/>
      <c r="BU38" s="64">
        <f t="shared" si="76"/>
        <v>0</v>
      </c>
      <c r="BV38" s="25"/>
      <c r="BW38" s="25"/>
      <c r="BX38" s="25"/>
      <c r="BY38" s="64"/>
      <c r="BZ38" s="60">
        <f t="shared" si="77"/>
        <v>0</v>
      </c>
      <c r="CA38" s="64">
        <f t="shared" si="13"/>
        <v>0</v>
      </c>
      <c r="CB38" s="64">
        <f t="shared" si="14"/>
        <v>0</v>
      </c>
      <c r="CC38" s="64">
        <f t="shared" si="15"/>
        <v>0</v>
      </c>
      <c r="CD38" s="64">
        <f t="shared" si="16"/>
        <v>0</v>
      </c>
      <c r="CE38" s="64">
        <f t="shared" si="78"/>
        <v>0</v>
      </c>
      <c r="CF38" s="64">
        <f t="shared" si="17"/>
        <v>0</v>
      </c>
      <c r="CG38" s="64">
        <f t="shared" si="18"/>
        <v>0</v>
      </c>
      <c r="CH38" s="64">
        <f t="shared" si="19"/>
        <v>0</v>
      </c>
      <c r="CI38" s="64">
        <f t="shared" si="20"/>
        <v>0</v>
      </c>
      <c r="CJ38" s="64">
        <f t="shared" si="79"/>
        <v>0</v>
      </c>
      <c r="CK38" s="66"/>
      <c r="CL38" s="67"/>
      <c r="CM38" s="67"/>
      <c r="CN38" s="64">
        <f t="shared" si="80"/>
        <v>0</v>
      </c>
      <c r="CO38" s="64"/>
      <c r="CP38" s="65"/>
      <c r="CQ38" s="64"/>
      <c r="CR38" s="64"/>
      <c r="CS38" s="64">
        <f t="shared" si="81"/>
        <v>0</v>
      </c>
      <c r="CT38" s="64"/>
      <c r="CU38" s="65"/>
      <c r="CV38" s="64"/>
      <c r="CW38" s="64"/>
      <c r="CX38" s="64">
        <f t="shared" si="82"/>
        <v>0</v>
      </c>
      <c r="CY38" s="64">
        <f t="shared" si="83"/>
        <v>0</v>
      </c>
      <c r="CZ38" s="64">
        <f t="shared" si="83"/>
        <v>0</v>
      </c>
      <c r="DA38" s="64">
        <f t="shared" si="83"/>
        <v>0</v>
      </c>
      <c r="DB38" s="64">
        <f t="shared" si="83"/>
        <v>0</v>
      </c>
      <c r="DC38" s="64"/>
      <c r="DD38" s="64"/>
      <c r="DE38" s="64"/>
      <c r="DF38" s="64">
        <f t="shared" si="84"/>
        <v>0</v>
      </c>
      <c r="DH38" s="64">
        <f t="shared" si="85"/>
        <v>0</v>
      </c>
      <c r="DI38" s="64">
        <f t="shared" si="86"/>
        <v>0</v>
      </c>
      <c r="DK38" s="64"/>
      <c r="DL38" s="64"/>
      <c r="DN38" s="64"/>
      <c r="DQ38" s="64">
        <f t="shared" si="87"/>
        <v>0</v>
      </c>
      <c r="DR38" s="64"/>
      <c r="DS38" s="74"/>
      <c r="DT38" s="64"/>
      <c r="DU38" s="64"/>
      <c r="DV38" s="64">
        <f t="shared" si="88"/>
        <v>0</v>
      </c>
      <c r="DW38" s="64"/>
      <c r="DX38" s="64"/>
      <c r="DY38" s="64"/>
      <c r="DZ38" s="64"/>
      <c r="EA38" s="375"/>
      <c r="EB38" s="375"/>
      <c r="EC38" s="375"/>
      <c r="ED38" s="375"/>
      <c r="EE38" s="375"/>
      <c r="EF38" s="375"/>
      <c r="EG38" s="375"/>
      <c r="EH38" s="375"/>
      <c r="EI38" s="375"/>
      <c r="EJ38" s="375"/>
      <c r="EK38" s="375"/>
      <c r="EL38" s="375"/>
      <c r="EM38" s="375"/>
      <c r="EN38" s="375"/>
      <c r="EO38" s="375"/>
      <c r="EP38" s="375"/>
      <c r="EQ38" s="375"/>
      <c r="ER38" s="375"/>
      <c r="ES38" s="375"/>
      <c r="ET38" s="375"/>
      <c r="EU38" s="375"/>
      <c r="EV38" s="375"/>
      <c r="EW38" s="375"/>
      <c r="EX38" s="375"/>
      <c r="EY38" s="375"/>
      <c r="EZ38" s="375"/>
      <c r="FA38" s="375"/>
      <c r="FB38" s="375"/>
      <c r="FC38" s="375"/>
      <c r="FD38" s="375"/>
      <c r="FE38" s="375"/>
      <c r="FF38" s="375"/>
      <c r="FG38" s="375"/>
      <c r="FH38" s="375"/>
      <c r="FI38" s="375"/>
      <c r="FJ38" s="375"/>
      <c r="FK38" s="375"/>
      <c r="FL38" s="375"/>
      <c r="FM38" s="375"/>
      <c r="FN38" s="375"/>
      <c r="FO38" s="375"/>
      <c r="FP38" s="375"/>
      <c r="FQ38" s="375"/>
      <c r="FR38" s="375"/>
      <c r="FS38" s="375"/>
      <c r="FT38" s="375"/>
      <c r="FU38" s="375"/>
      <c r="FV38" s="375"/>
      <c r="FW38" s="375"/>
      <c r="FX38" s="375"/>
      <c r="FY38" s="375"/>
      <c r="FZ38" s="375"/>
      <c r="GA38" s="375"/>
      <c r="GB38" s="375"/>
      <c r="GC38" s="375"/>
      <c r="GD38" s="375"/>
      <c r="GE38" s="375"/>
      <c r="GF38" s="375"/>
      <c r="GG38" s="375"/>
      <c r="GH38" s="375"/>
      <c r="GI38" s="375"/>
      <c r="GJ38" s="375"/>
      <c r="GK38" s="375"/>
      <c r="GL38" s="375"/>
      <c r="GM38" s="375"/>
      <c r="GN38" s="375"/>
      <c r="GO38" s="375"/>
      <c r="GP38" s="375"/>
      <c r="GQ38" s="375"/>
      <c r="GR38" s="375"/>
    </row>
    <row r="39" spans="1:200" s="48" customFormat="1" ht="24" customHeight="1" x14ac:dyDescent="0.3">
      <c r="A39" s="276"/>
      <c r="B39" s="277"/>
      <c r="C39" s="278"/>
      <c r="D39" s="278"/>
      <c r="E39" s="279"/>
      <c r="F39" s="277"/>
      <c r="G39" s="278"/>
      <c r="H39" s="278"/>
      <c r="I39" s="476" t="s">
        <v>263</v>
      </c>
      <c r="J39" s="477"/>
      <c r="K39" s="477"/>
      <c r="L39" s="477"/>
      <c r="M39" s="279"/>
      <c r="N39" s="42" t="s">
        <v>15</v>
      </c>
      <c r="O39" s="42"/>
      <c r="P39" s="42"/>
      <c r="Q39" s="43">
        <f t="shared" si="23"/>
        <v>0</v>
      </c>
      <c r="R39" s="43">
        <f t="shared" si="24"/>
        <v>652.80254000000241</v>
      </c>
      <c r="S39" s="43">
        <f t="shared" si="25"/>
        <v>706.20200000000114</v>
      </c>
      <c r="T39" s="43">
        <f>T40+T41+T42+T43+T44+T45+T46+T47+T48+T49+T50+T51+T52+T53+T54+T55+T56</f>
        <v>15</v>
      </c>
      <c r="U39" s="43">
        <f>U40+U41+U42+U43+U44+U45+U46+U47+U48+U49+U50+U51+U52+U53+U54+U55+U56</f>
        <v>27</v>
      </c>
      <c r="V39" s="43">
        <f t="shared" ref="V39:Z39" si="89">SUM(V40:V56)-V41</f>
        <v>58281.524000000005</v>
      </c>
      <c r="W39" s="43">
        <f t="shared" si="89"/>
        <v>24000</v>
      </c>
      <c r="X39" s="43">
        <f t="shared" si="89"/>
        <v>14818.014999999999</v>
      </c>
      <c r="Y39" s="43">
        <f t="shared" si="89"/>
        <v>19463.509000000002</v>
      </c>
      <c r="Z39" s="43">
        <f t="shared" si="89"/>
        <v>0</v>
      </c>
      <c r="AA39" s="43">
        <f t="shared" ref="AA39:AE39" si="90">SUM(AA40:AA56)-AA41</f>
        <v>61570.353000000003</v>
      </c>
      <c r="AB39" s="43">
        <f t="shared" si="90"/>
        <v>24000</v>
      </c>
      <c r="AC39" s="43">
        <f t="shared" si="90"/>
        <v>14979.9</v>
      </c>
      <c r="AD39" s="43">
        <f t="shared" si="90"/>
        <v>22590.453000000001</v>
      </c>
      <c r="AE39" s="43">
        <f t="shared" si="90"/>
        <v>0</v>
      </c>
      <c r="AF39" s="43">
        <f t="shared" ref="AF39:AJ39" si="91">SUM(AF40:AF56)-AF41</f>
        <v>32817.512999999999</v>
      </c>
      <c r="AG39" s="43">
        <f t="shared" si="91"/>
        <v>0</v>
      </c>
      <c r="AH39" s="43">
        <f t="shared" si="91"/>
        <v>14979.9</v>
      </c>
      <c r="AI39" s="43">
        <f t="shared" si="91"/>
        <v>17837.613000000001</v>
      </c>
      <c r="AJ39" s="43">
        <f t="shared" si="91"/>
        <v>0</v>
      </c>
      <c r="AK39" s="45">
        <f t="shared" ref="AK39:AO39" si="92">SUM(AK40:AK56)-AK41</f>
        <v>24350.613000000001</v>
      </c>
      <c r="AL39" s="43">
        <f t="shared" si="92"/>
        <v>0</v>
      </c>
      <c r="AM39" s="43">
        <f t="shared" si="92"/>
        <v>6513</v>
      </c>
      <c r="AN39" s="43">
        <f t="shared" si="92"/>
        <v>17837.613000000001</v>
      </c>
      <c r="AO39" s="43">
        <f t="shared" si="92"/>
        <v>0</v>
      </c>
      <c r="AP39" s="44"/>
      <c r="AQ39" s="43">
        <f>SUM(AQ40:AQ56)-AQ41</f>
        <v>58281.524000000005</v>
      </c>
      <c r="AR39" s="43">
        <f>SUM(AR40:AR56)-AR41</f>
        <v>24000</v>
      </c>
      <c r="AS39" s="43">
        <f>SUM(AS40:AS56)-AS41</f>
        <v>14818.014999999999</v>
      </c>
      <c r="AT39" s="43">
        <f>SUM(AT40:AT56)-AT41</f>
        <v>19463.509000000002</v>
      </c>
      <c r="AU39" s="43">
        <f>SUM(AU40:AU56)-AU41</f>
        <v>0</v>
      </c>
      <c r="AV39" s="43">
        <f t="shared" si="9"/>
        <v>0</v>
      </c>
      <c r="AW39" s="43">
        <f t="shared" si="10"/>
        <v>0</v>
      </c>
      <c r="AX39" s="43">
        <f t="shared" si="11"/>
        <v>0</v>
      </c>
      <c r="AY39" s="43">
        <f t="shared" si="12"/>
        <v>0</v>
      </c>
      <c r="AZ39" s="43" t="e">
        <f t="shared" ref="AZ39:BE39" si="93">SUM(AZ40:AZ56)-AZ41</f>
        <v>#REF!</v>
      </c>
      <c r="BA39" s="43">
        <f t="shared" si="93"/>
        <v>40010.564320000005</v>
      </c>
      <c r="BB39" s="43">
        <f t="shared" si="93"/>
        <v>5729.0403200000001</v>
      </c>
      <c r="BC39" s="43">
        <f t="shared" si="93"/>
        <v>14818.014999999999</v>
      </c>
      <c r="BD39" s="43">
        <f t="shared" si="93"/>
        <v>19463.509000000002</v>
      </c>
      <c r="BE39" s="43">
        <f t="shared" si="93"/>
        <v>0</v>
      </c>
      <c r="BF39" s="43">
        <f t="shared" ref="BF39:CJ39" si="94">SUM(BF40:BF56)-BF41</f>
        <v>0</v>
      </c>
      <c r="BG39" s="43">
        <f t="shared" si="94"/>
        <v>0</v>
      </c>
      <c r="BH39" s="43">
        <f t="shared" si="94"/>
        <v>0</v>
      </c>
      <c r="BI39" s="43">
        <f t="shared" si="94"/>
        <v>0</v>
      </c>
      <c r="BJ39" s="43">
        <f t="shared" si="94"/>
        <v>0</v>
      </c>
      <c r="BK39" s="43">
        <f t="shared" si="94"/>
        <v>40010.564320000005</v>
      </c>
      <c r="BL39" s="43">
        <f t="shared" si="94"/>
        <v>5729.0403200000001</v>
      </c>
      <c r="BM39" s="43">
        <f t="shared" si="94"/>
        <v>14818.014999999999</v>
      </c>
      <c r="BN39" s="43">
        <f t="shared" si="94"/>
        <v>19463.509000000002</v>
      </c>
      <c r="BO39" s="43">
        <f t="shared" si="94"/>
        <v>0</v>
      </c>
      <c r="BP39" s="43">
        <f t="shared" si="94"/>
        <v>38651.559779999996</v>
      </c>
      <c r="BQ39" s="43">
        <f t="shared" si="94"/>
        <v>5729.0403200000001</v>
      </c>
      <c r="BR39" s="43">
        <f t="shared" si="94"/>
        <v>14165.212459999997</v>
      </c>
      <c r="BS39" s="43">
        <f t="shared" si="94"/>
        <v>18757.307000000001</v>
      </c>
      <c r="BT39" s="43">
        <f t="shared" si="94"/>
        <v>0</v>
      </c>
      <c r="BU39" s="45">
        <f t="shared" si="94"/>
        <v>12958.191920000001</v>
      </c>
      <c r="BV39" s="43">
        <f t="shared" si="94"/>
        <v>79.128619999999998</v>
      </c>
      <c r="BW39" s="43">
        <f t="shared" si="94"/>
        <v>6626.622879999999</v>
      </c>
      <c r="BX39" s="43">
        <f t="shared" si="94"/>
        <v>6252.4404200000008</v>
      </c>
      <c r="BY39" s="43">
        <f t="shared" si="94"/>
        <v>0</v>
      </c>
      <c r="BZ39" s="43">
        <f t="shared" si="94"/>
        <v>51609.751700000001</v>
      </c>
      <c r="CA39" s="43">
        <f t="shared" si="13"/>
        <v>51609.751699999993</v>
      </c>
      <c r="CB39" s="43">
        <f t="shared" si="14"/>
        <v>5808.1689400000005</v>
      </c>
      <c r="CC39" s="43">
        <f t="shared" si="15"/>
        <v>20791.835339999998</v>
      </c>
      <c r="CD39" s="43">
        <f t="shared" si="16"/>
        <v>25009.74742</v>
      </c>
      <c r="CE39" s="43">
        <f t="shared" si="94"/>
        <v>0</v>
      </c>
      <c r="CF39" s="43">
        <f t="shared" si="17"/>
        <v>1359.0045400000035</v>
      </c>
      <c r="CG39" s="43">
        <f t="shared" si="18"/>
        <v>0</v>
      </c>
      <c r="CH39" s="43">
        <f t="shared" si="19"/>
        <v>652.80254000000241</v>
      </c>
      <c r="CI39" s="43">
        <f t="shared" si="20"/>
        <v>706.20200000000114</v>
      </c>
      <c r="CJ39" s="43">
        <f t="shared" si="94"/>
        <v>0</v>
      </c>
      <c r="CK39" s="46">
        <f>CL39+CN39-BF39</f>
        <v>40010.564319999998</v>
      </c>
      <c r="CL39" s="47">
        <f t="shared" ref="CL39:DF39" si="95">SUM(CL40:CL56)-CL41</f>
        <v>40010.564319999998</v>
      </c>
      <c r="CM39" s="47">
        <f t="shared" si="95"/>
        <v>40010.564319999998</v>
      </c>
      <c r="CN39" s="43">
        <f t="shared" si="95"/>
        <v>0</v>
      </c>
      <c r="CO39" s="43">
        <f t="shared" si="95"/>
        <v>0</v>
      </c>
      <c r="CP39" s="43">
        <f t="shared" si="95"/>
        <v>0</v>
      </c>
      <c r="CQ39" s="43">
        <f t="shared" si="95"/>
        <v>0</v>
      </c>
      <c r="CR39" s="43">
        <f t="shared" si="95"/>
        <v>0</v>
      </c>
      <c r="CS39" s="43">
        <f t="shared" si="95"/>
        <v>0</v>
      </c>
      <c r="CT39" s="43">
        <f t="shared" si="95"/>
        <v>0</v>
      </c>
      <c r="CU39" s="43">
        <f t="shared" si="95"/>
        <v>0</v>
      </c>
      <c r="CV39" s="43">
        <f t="shared" si="95"/>
        <v>0</v>
      </c>
      <c r="CW39" s="43">
        <f t="shared" si="95"/>
        <v>0</v>
      </c>
      <c r="CX39" s="43">
        <f t="shared" si="95"/>
        <v>0</v>
      </c>
      <c r="CY39" s="43">
        <f t="shared" si="95"/>
        <v>0</v>
      </c>
      <c r="CZ39" s="43">
        <f t="shared" si="95"/>
        <v>0</v>
      </c>
      <c r="DA39" s="43">
        <f t="shared" si="95"/>
        <v>0</v>
      </c>
      <c r="DB39" s="43">
        <f t="shared" si="95"/>
        <v>0</v>
      </c>
      <c r="DC39" s="43">
        <f t="shared" si="95"/>
        <v>0</v>
      </c>
      <c r="DD39" s="43">
        <f t="shared" si="95"/>
        <v>0</v>
      </c>
      <c r="DE39" s="43">
        <f t="shared" si="95"/>
        <v>0</v>
      </c>
      <c r="DF39" s="43">
        <f t="shared" si="95"/>
        <v>1359.0045400000031</v>
      </c>
      <c r="DH39" s="43">
        <f>SUM(DH40:DH56)-DH41</f>
        <v>40010.564320000005</v>
      </c>
      <c r="DI39" s="43">
        <f>SUM(DI40:DI56)-DI41</f>
        <v>38651.559779999996</v>
      </c>
      <c r="DK39" s="43">
        <f>SUM(DK40:DK56)-DK41</f>
        <v>38651.559779999996</v>
      </c>
      <c r="DL39" s="43">
        <f>SUM(DL40:DL56)-DL41</f>
        <v>1359.0045400000033</v>
      </c>
      <c r="DN39" s="43">
        <f>SUM(DN40:DN56)-DN41</f>
        <v>1359.0045400000017</v>
      </c>
      <c r="DO39" s="49">
        <f>DF39-DN39</f>
        <v>0</v>
      </c>
      <c r="DP39" s="49"/>
      <c r="DQ39" s="43">
        <f>SUM(DQ40:DQ56)-DQ41</f>
        <v>36112.70278</v>
      </c>
      <c r="DR39" s="43">
        <f t="shared" ref="DR39:DU39" si="96">SUM(DR40:DR56)-DR41</f>
        <v>5729.0403200000001</v>
      </c>
      <c r="DS39" s="43">
        <f t="shared" si="96"/>
        <v>14165.212459999997</v>
      </c>
      <c r="DT39" s="43">
        <f t="shared" si="96"/>
        <v>16218.449999999999</v>
      </c>
      <c r="DU39" s="43">
        <f t="shared" si="96"/>
        <v>0</v>
      </c>
      <c r="DV39" s="43">
        <f>SUM(DV40:DV56)-DV41</f>
        <v>8438.6948499999999</v>
      </c>
      <c r="DW39" s="43">
        <f t="shared" ref="DW39:DZ39" si="97">SUM(DW40:DW56)-DW41</f>
        <v>79.128619999999998</v>
      </c>
      <c r="DX39" s="43">
        <f t="shared" si="97"/>
        <v>2953.4123300000001</v>
      </c>
      <c r="DY39" s="43">
        <f t="shared" si="97"/>
        <v>5406.1539000000002</v>
      </c>
      <c r="DZ39" s="43">
        <f t="shared" si="97"/>
        <v>0</v>
      </c>
      <c r="EA39" s="372"/>
      <c r="EB39" s="372"/>
      <c r="EC39" s="372"/>
      <c r="ED39" s="372"/>
      <c r="EE39" s="372"/>
      <c r="EF39" s="372"/>
      <c r="EG39" s="372"/>
      <c r="EH39" s="372"/>
      <c r="EI39" s="372"/>
      <c r="EJ39" s="372"/>
      <c r="EK39" s="372"/>
      <c r="EL39" s="372"/>
      <c r="EM39" s="372"/>
      <c r="EN39" s="372"/>
      <c r="EO39" s="372"/>
      <c r="EP39" s="372"/>
      <c r="EQ39" s="372"/>
      <c r="ER39" s="372"/>
      <c r="ES39" s="372"/>
      <c r="ET39" s="372"/>
      <c r="EU39" s="372"/>
      <c r="EV39" s="372"/>
      <c r="EW39" s="372"/>
      <c r="EX39" s="372"/>
      <c r="EY39" s="372"/>
      <c r="EZ39" s="372"/>
      <c r="FA39" s="372"/>
      <c r="FB39" s="372"/>
      <c r="FC39" s="372"/>
      <c r="FD39" s="372"/>
      <c r="FE39" s="372"/>
      <c r="FF39" s="372"/>
      <c r="FG39" s="372"/>
      <c r="FH39" s="372"/>
      <c r="FI39" s="372"/>
      <c r="FJ39" s="372"/>
      <c r="FK39" s="372"/>
      <c r="FL39" s="372"/>
      <c r="FM39" s="372"/>
      <c r="FN39" s="372"/>
      <c r="FO39" s="372"/>
      <c r="FP39" s="372"/>
      <c r="FQ39" s="372"/>
      <c r="FR39" s="372"/>
      <c r="FS39" s="372"/>
      <c r="FT39" s="372"/>
      <c r="FU39" s="372"/>
      <c r="FV39" s="372"/>
      <c r="FW39" s="372"/>
      <c r="FX39" s="372"/>
      <c r="FY39" s="372"/>
      <c r="FZ39" s="372"/>
      <c r="GA39" s="372"/>
      <c r="GB39" s="372"/>
      <c r="GC39" s="372"/>
      <c r="GD39" s="372"/>
      <c r="GE39" s="372"/>
      <c r="GF39" s="372"/>
      <c r="GG39" s="372"/>
      <c r="GH39" s="372"/>
      <c r="GI39" s="372"/>
      <c r="GJ39" s="372"/>
      <c r="GK39" s="372"/>
      <c r="GL39" s="372"/>
      <c r="GM39" s="372"/>
      <c r="GN39" s="372"/>
      <c r="GO39" s="372"/>
      <c r="GP39" s="372"/>
      <c r="GQ39" s="372"/>
      <c r="GR39" s="372"/>
    </row>
    <row r="40" spans="1:200" s="96" customFormat="1" ht="15" customHeight="1" x14ac:dyDescent="0.3">
      <c r="A40" s="289"/>
      <c r="B40" s="290">
        <v>1</v>
      </c>
      <c r="C40" s="282"/>
      <c r="D40" s="282"/>
      <c r="E40" s="4">
        <v>29</v>
      </c>
      <c r="F40" s="290"/>
      <c r="G40" s="282"/>
      <c r="H40" s="282"/>
      <c r="I40" s="4"/>
      <c r="J40" s="283"/>
      <c r="K40" s="285"/>
      <c r="L40" s="286"/>
      <c r="M40" s="4"/>
      <c r="N40" s="79" t="s">
        <v>15</v>
      </c>
      <c r="O40" s="69">
        <v>0</v>
      </c>
      <c r="P40" s="63">
        <v>0</v>
      </c>
      <c r="Q40" s="64">
        <f t="shared" si="23"/>
        <v>0</v>
      </c>
      <c r="R40" s="64">
        <f t="shared" si="24"/>
        <v>0</v>
      </c>
      <c r="S40" s="64">
        <f t="shared" si="25"/>
        <v>0</v>
      </c>
      <c r="T40" s="90"/>
      <c r="U40" s="90"/>
      <c r="V40" s="80">
        <f t="shared" ref="V40:V56" si="98">W40+X40+Y40+Z40</f>
        <v>0</v>
      </c>
      <c r="W40" s="91"/>
      <c r="X40" s="65">
        <v>0</v>
      </c>
      <c r="Y40" s="91"/>
      <c r="Z40" s="71"/>
      <c r="AA40" s="80">
        <f t="shared" ref="AA40:AA56" si="99">AB40+AC40+AD40+AE40</f>
        <v>0</v>
      </c>
      <c r="AB40" s="91"/>
      <c r="AC40" s="65">
        <v>0</v>
      </c>
      <c r="AD40" s="91"/>
      <c r="AE40" s="71"/>
      <c r="AF40" s="80">
        <f t="shared" ref="AF40:AF56" si="100">AG40+AH40+AI40+AJ40</f>
        <v>0</v>
      </c>
      <c r="AG40" s="91"/>
      <c r="AH40" s="65">
        <v>0</v>
      </c>
      <c r="AI40" s="91"/>
      <c r="AJ40" s="71"/>
      <c r="AK40" s="80">
        <f t="shared" ref="AK40:AK56" si="101">AL40+AM40+AN40+AO40</f>
        <v>10</v>
      </c>
      <c r="AL40" s="91"/>
      <c r="AM40" s="65">
        <v>10</v>
      </c>
      <c r="AN40" s="91"/>
      <c r="AO40" s="91"/>
      <c r="AP40" s="91"/>
      <c r="AQ40" s="64">
        <f t="shared" si="71"/>
        <v>0</v>
      </c>
      <c r="AR40" s="91"/>
      <c r="AS40" s="91"/>
      <c r="AT40" s="91"/>
      <c r="AU40" s="91"/>
      <c r="AV40" s="64">
        <f t="shared" si="9"/>
        <v>0</v>
      </c>
      <c r="AW40" s="64">
        <f t="shared" si="10"/>
        <v>0</v>
      </c>
      <c r="AX40" s="64">
        <f t="shared" si="11"/>
        <v>0</v>
      </c>
      <c r="AY40" s="64">
        <f t="shared" si="12"/>
        <v>0</v>
      </c>
      <c r="AZ40" s="64" t="e">
        <f>#REF!-AU40</f>
        <v>#REF!</v>
      </c>
      <c r="BA40" s="64">
        <f t="shared" ref="BA40:BA56" si="102">BB40+BC40+BD40+BE40</f>
        <v>0</v>
      </c>
      <c r="BB40" s="91"/>
      <c r="BC40" s="91"/>
      <c r="BD40" s="91"/>
      <c r="BE40" s="91"/>
      <c r="BF40" s="64">
        <f t="shared" ref="BF40:BF56" si="103">BG40+BH40+BI40+BJ40</f>
        <v>0</v>
      </c>
      <c r="BG40" s="91"/>
      <c r="BH40" s="91"/>
      <c r="BI40" s="91"/>
      <c r="BJ40" s="91"/>
      <c r="BK40" s="64">
        <f t="shared" ref="BK40:BK56" si="104">BL40+BM40+BN40+BO40</f>
        <v>0</v>
      </c>
      <c r="BL40" s="91"/>
      <c r="BM40" s="92"/>
      <c r="BN40" s="92"/>
      <c r="BO40" s="92"/>
      <c r="BP40" s="64">
        <f t="shared" ref="BP40:BP56" si="105">BQ40+BR40+BS40+BT40</f>
        <v>0</v>
      </c>
      <c r="BQ40" s="92"/>
      <c r="BR40" s="92"/>
      <c r="BS40" s="92"/>
      <c r="BT40" s="92"/>
      <c r="BU40" s="64">
        <f t="shared" ref="BU40:BU56" si="106">BV40+BW40+BX40+BY40</f>
        <v>0</v>
      </c>
      <c r="BV40" s="93"/>
      <c r="BW40" s="93"/>
      <c r="BX40" s="93"/>
      <c r="BY40" s="91"/>
      <c r="BZ40" s="60">
        <f t="shared" ref="BZ40:BZ56" si="107">CA40</f>
        <v>0</v>
      </c>
      <c r="CA40" s="64">
        <f t="shared" si="13"/>
        <v>0</v>
      </c>
      <c r="CB40" s="64">
        <f t="shared" si="14"/>
        <v>0</v>
      </c>
      <c r="CC40" s="64">
        <f t="shared" si="15"/>
        <v>0</v>
      </c>
      <c r="CD40" s="64">
        <f t="shared" si="16"/>
        <v>0</v>
      </c>
      <c r="CE40" s="64">
        <f t="shared" ref="CE40:CE56" si="108">BT40+BY40</f>
        <v>0</v>
      </c>
      <c r="CF40" s="64">
        <f t="shared" si="17"/>
        <v>0</v>
      </c>
      <c r="CG40" s="64">
        <f t="shared" si="18"/>
        <v>0</v>
      </c>
      <c r="CH40" s="64">
        <f t="shared" si="19"/>
        <v>0</v>
      </c>
      <c r="CI40" s="64">
        <f t="shared" si="20"/>
        <v>0</v>
      </c>
      <c r="CJ40" s="64">
        <f t="shared" ref="CJ40:CJ56" si="109">BO40-BT40</f>
        <v>0</v>
      </c>
      <c r="CK40" s="94"/>
      <c r="CL40" s="95">
        <f>CK40</f>
        <v>0</v>
      </c>
      <c r="CM40" s="95">
        <f>CL40</f>
        <v>0</v>
      </c>
      <c r="CN40" s="64">
        <f t="shared" ref="CN40:CN56" si="110">CO40+CP40+CQ40+CR40</f>
        <v>0</v>
      </c>
      <c r="CO40" s="91"/>
      <c r="CP40" s="91"/>
      <c r="CQ40" s="91"/>
      <c r="CR40" s="91"/>
      <c r="CS40" s="64">
        <f t="shared" ref="CS40:CS56" si="111">CT40+CU40+CV40+CW40</f>
        <v>0</v>
      </c>
      <c r="CT40" s="91"/>
      <c r="CU40" s="91"/>
      <c r="CV40" s="91"/>
      <c r="CW40" s="91"/>
      <c r="CX40" s="64">
        <f t="shared" ref="CX40:CX56" si="112">CY40+CZ40+DA40+DB40</f>
        <v>0</v>
      </c>
      <c r="CY40" s="64">
        <f t="shared" ref="CY40:DB56" si="113">CO40-CT40</f>
        <v>0</v>
      </c>
      <c r="CZ40" s="64">
        <f t="shared" si="113"/>
        <v>0</v>
      </c>
      <c r="DA40" s="64">
        <f t="shared" si="113"/>
        <v>0</v>
      </c>
      <c r="DB40" s="64">
        <f t="shared" si="113"/>
        <v>0</v>
      </c>
      <c r="DC40" s="91"/>
      <c r="DD40" s="91"/>
      <c r="DE40" s="91"/>
      <c r="DF40" s="64">
        <f t="shared" ref="DF40:DF56" si="114">CF40+CX40+DE40</f>
        <v>0</v>
      </c>
      <c r="DG40" s="61"/>
      <c r="DH40" s="64">
        <f t="shared" ref="DH40:DH56" si="115">BK40+CN40+DC40</f>
        <v>0</v>
      </c>
      <c r="DI40" s="64">
        <f t="shared" ref="DI40:DI56" si="116">BP40+CS40+DD40</f>
        <v>0</v>
      </c>
      <c r="DK40" s="64">
        <f t="shared" ref="DK40:DK41" si="117">DI40</f>
        <v>0</v>
      </c>
      <c r="DL40" s="64">
        <f t="shared" ref="DL40:DL41" si="118">DF40</f>
        <v>0</v>
      </c>
      <c r="DN40" s="64">
        <f>CM40-DK40</f>
        <v>0</v>
      </c>
      <c r="DQ40" s="64">
        <f t="shared" ref="DQ40:DQ56" si="119">DR40+DS40+DT40+DU40</f>
        <v>0</v>
      </c>
      <c r="DR40" s="92"/>
      <c r="DS40" s="92"/>
      <c r="DT40" s="92"/>
      <c r="DU40" s="92"/>
      <c r="DV40" s="64">
        <f t="shared" ref="DV40:DV56" si="120">DW40+DX40+DY40+DZ40</f>
        <v>0</v>
      </c>
      <c r="DW40" s="91"/>
      <c r="DX40" s="91"/>
      <c r="DY40" s="91"/>
      <c r="DZ40" s="91"/>
      <c r="EA40" s="376"/>
      <c r="EB40" s="376"/>
      <c r="EC40" s="376"/>
      <c r="ED40" s="376"/>
      <c r="EE40" s="376"/>
      <c r="EF40" s="376"/>
      <c r="EG40" s="376"/>
      <c r="EH40" s="376"/>
      <c r="EI40" s="376"/>
      <c r="EJ40" s="376"/>
      <c r="EK40" s="376"/>
      <c r="EL40" s="376"/>
      <c r="EM40" s="376"/>
      <c r="EN40" s="376"/>
      <c r="EO40" s="376"/>
      <c r="EP40" s="376"/>
      <c r="EQ40" s="376"/>
      <c r="ER40" s="376"/>
      <c r="ES40" s="376"/>
      <c r="ET40" s="376"/>
      <c r="EU40" s="376"/>
      <c r="EV40" s="376"/>
      <c r="EW40" s="376"/>
      <c r="EX40" s="376"/>
      <c r="EY40" s="376"/>
      <c r="EZ40" s="376"/>
      <c r="FA40" s="376"/>
      <c r="FB40" s="376"/>
      <c r="FC40" s="376"/>
      <c r="FD40" s="376"/>
      <c r="FE40" s="376"/>
      <c r="FF40" s="376"/>
      <c r="FG40" s="376"/>
      <c r="FH40" s="376"/>
      <c r="FI40" s="376"/>
      <c r="FJ40" s="376"/>
      <c r="FK40" s="376"/>
      <c r="FL40" s="376"/>
      <c r="FM40" s="376"/>
      <c r="FN40" s="376"/>
      <c r="FO40" s="376"/>
      <c r="FP40" s="376"/>
      <c r="FQ40" s="376"/>
      <c r="FR40" s="376"/>
      <c r="FS40" s="376"/>
      <c r="FT40" s="376"/>
      <c r="FU40" s="376"/>
      <c r="FV40" s="376"/>
      <c r="FW40" s="376"/>
      <c r="FX40" s="376"/>
      <c r="FY40" s="376"/>
      <c r="FZ40" s="376"/>
      <c r="GA40" s="376"/>
      <c r="GB40" s="376"/>
      <c r="GC40" s="376"/>
      <c r="GD40" s="376"/>
      <c r="GE40" s="376"/>
      <c r="GF40" s="376"/>
      <c r="GG40" s="376"/>
      <c r="GH40" s="376"/>
      <c r="GI40" s="376"/>
      <c r="GJ40" s="376"/>
      <c r="GK40" s="376"/>
      <c r="GL40" s="376"/>
      <c r="GM40" s="376"/>
      <c r="GN40" s="376"/>
      <c r="GO40" s="376"/>
      <c r="GP40" s="376"/>
      <c r="GQ40" s="376"/>
      <c r="GR40" s="376"/>
    </row>
    <row r="41" spans="1:200" s="96" customFormat="1" ht="15.75" hidden="1" customHeight="1" x14ac:dyDescent="0.3">
      <c r="A41" s="289"/>
      <c r="B41" s="290"/>
      <c r="C41" s="282"/>
      <c r="D41" s="282"/>
      <c r="E41" s="4"/>
      <c r="F41" s="290"/>
      <c r="G41" s="282"/>
      <c r="H41" s="282"/>
      <c r="I41" s="474"/>
      <c r="J41" s="475"/>
      <c r="K41" s="475"/>
      <c r="L41" s="288"/>
      <c r="M41" s="4"/>
      <c r="N41" s="371" t="s">
        <v>249</v>
      </c>
      <c r="O41" s="69">
        <v>0</v>
      </c>
      <c r="P41" s="63">
        <v>0</v>
      </c>
      <c r="Q41" s="64">
        <f t="shared" si="23"/>
        <v>0</v>
      </c>
      <c r="R41" s="64">
        <f t="shared" si="24"/>
        <v>0</v>
      </c>
      <c r="S41" s="64">
        <f t="shared" si="25"/>
        <v>0</v>
      </c>
      <c r="T41" s="69"/>
      <c r="U41" s="69"/>
      <c r="V41" s="80">
        <f t="shared" si="98"/>
        <v>0</v>
      </c>
      <c r="W41" s="91"/>
      <c r="X41" s="65"/>
      <c r="Y41" s="91"/>
      <c r="Z41" s="71"/>
      <c r="AA41" s="80">
        <f t="shared" si="99"/>
        <v>0</v>
      </c>
      <c r="AB41" s="91"/>
      <c r="AC41" s="65"/>
      <c r="AD41" s="91"/>
      <c r="AE41" s="71"/>
      <c r="AF41" s="80">
        <f t="shared" si="100"/>
        <v>0</v>
      </c>
      <c r="AG41" s="91"/>
      <c r="AH41" s="65"/>
      <c r="AI41" s="91"/>
      <c r="AJ41" s="71"/>
      <c r="AK41" s="80">
        <f t="shared" si="101"/>
        <v>0</v>
      </c>
      <c r="AL41" s="91"/>
      <c r="AM41" s="65"/>
      <c r="AN41" s="91"/>
      <c r="AO41" s="91"/>
      <c r="AP41" s="91"/>
      <c r="AQ41" s="64">
        <f t="shared" si="71"/>
        <v>0</v>
      </c>
      <c r="AR41" s="91"/>
      <c r="AS41" s="91"/>
      <c r="AT41" s="91"/>
      <c r="AU41" s="91"/>
      <c r="AV41" s="64">
        <f t="shared" si="9"/>
        <v>0</v>
      </c>
      <c r="AW41" s="64">
        <f t="shared" si="10"/>
        <v>0</v>
      </c>
      <c r="AX41" s="64">
        <f t="shared" si="11"/>
        <v>0</v>
      </c>
      <c r="AY41" s="64">
        <f t="shared" si="12"/>
        <v>0</v>
      </c>
      <c r="AZ41" s="64" t="e">
        <f>#REF!-AU41</f>
        <v>#REF!</v>
      </c>
      <c r="BA41" s="64">
        <f t="shared" si="102"/>
        <v>0</v>
      </c>
      <c r="BB41" s="91"/>
      <c r="BC41" s="91"/>
      <c r="BD41" s="91"/>
      <c r="BE41" s="91"/>
      <c r="BF41" s="64">
        <f t="shared" si="103"/>
        <v>0</v>
      </c>
      <c r="BG41" s="91"/>
      <c r="BH41" s="91"/>
      <c r="BI41" s="91"/>
      <c r="BJ41" s="91"/>
      <c r="BK41" s="64">
        <f t="shared" si="104"/>
        <v>0</v>
      </c>
      <c r="BL41" s="91"/>
      <c r="BM41" s="92"/>
      <c r="BN41" s="92"/>
      <c r="BO41" s="92"/>
      <c r="BP41" s="64">
        <f t="shared" si="105"/>
        <v>0</v>
      </c>
      <c r="BQ41" s="92"/>
      <c r="BR41" s="92"/>
      <c r="BS41" s="92"/>
      <c r="BT41" s="92"/>
      <c r="BU41" s="64">
        <f t="shared" si="106"/>
        <v>0</v>
      </c>
      <c r="BV41" s="93"/>
      <c r="BW41" s="93"/>
      <c r="BX41" s="93"/>
      <c r="BY41" s="91"/>
      <c r="BZ41" s="60">
        <f t="shared" si="107"/>
        <v>0</v>
      </c>
      <c r="CA41" s="64">
        <f t="shared" si="13"/>
        <v>0</v>
      </c>
      <c r="CB41" s="64">
        <f t="shared" si="14"/>
        <v>0</v>
      </c>
      <c r="CC41" s="64">
        <f t="shared" si="15"/>
        <v>0</v>
      </c>
      <c r="CD41" s="64">
        <f t="shared" si="16"/>
        <v>0</v>
      </c>
      <c r="CE41" s="64">
        <f t="shared" si="108"/>
        <v>0</v>
      </c>
      <c r="CF41" s="64">
        <f t="shared" si="17"/>
        <v>0</v>
      </c>
      <c r="CG41" s="64">
        <f t="shared" si="18"/>
        <v>0</v>
      </c>
      <c r="CH41" s="64">
        <f t="shared" si="19"/>
        <v>0</v>
      </c>
      <c r="CI41" s="64">
        <f t="shared" si="20"/>
        <v>0</v>
      </c>
      <c r="CJ41" s="64">
        <f t="shared" si="109"/>
        <v>0</v>
      </c>
      <c r="CK41" s="94"/>
      <c r="CL41" s="95"/>
      <c r="CM41" s="95"/>
      <c r="CN41" s="64">
        <f t="shared" si="110"/>
        <v>0</v>
      </c>
      <c r="CO41" s="91"/>
      <c r="CP41" s="91"/>
      <c r="CQ41" s="91"/>
      <c r="CR41" s="91"/>
      <c r="CS41" s="64">
        <f t="shared" si="111"/>
        <v>0</v>
      </c>
      <c r="CT41" s="91"/>
      <c r="CU41" s="91"/>
      <c r="CV41" s="91"/>
      <c r="CW41" s="91"/>
      <c r="CX41" s="64">
        <f t="shared" si="112"/>
        <v>0</v>
      </c>
      <c r="CY41" s="64">
        <f t="shared" si="113"/>
        <v>0</v>
      </c>
      <c r="CZ41" s="64">
        <f t="shared" si="113"/>
        <v>0</v>
      </c>
      <c r="DA41" s="64">
        <f t="shared" si="113"/>
        <v>0</v>
      </c>
      <c r="DB41" s="64">
        <f t="shared" si="113"/>
        <v>0</v>
      </c>
      <c r="DC41" s="91"/>
      <c r="DD41" s="91"/>
      <c r="DE41" s="91"/>
      <c r="DF41" s="64">
        <f t="shared" si="114"/>
        <v>0</v>
      </c>
      <c r="DG41" s="61"/>
      <c r="DH41" s="64">
        <f t="shared" si="115"/>
        <v>0</v>
      </c>
      <c r="DI41" s="64">
        <f t="shared" si="116"/>
        <v>0</v>
      </c>
      <c r="DK41" s="64">
        <f t="shared" si="117"/>
        <v>0</v>
      </c>
      <c r="DL41" s="64">
        <f t="shared" si="118"/>
        <v>0</v>
      </c>
      <c r="DN41" s="91"/>
      <c r="DQ41" s="64">
        <f t="shared" si="119"/>
        <v>0</v>
      </c>
      <c r="DR41" s="92"/>
      <c r="DS41" s="92"/>
      <c r="DT41" s="92"/>
      <c r="DU41" s="92"/>
      <c r="DV41" s="64">
        <f t="shared" si="120"/>
        <v>0</v>
      </c>
      <c r="DW41" s="91"/>
      <c r="DX41" s="91"/>
      <c r="DY41" s="91"/>
      <c r="DZ41" s="91"/>
      <c r="EA41" s="376"/>
      <c r="EB41" s="376"/>
      <c r="EC41" s="376"/>
      <c r="ED41" s="376"/>
      <c r="EE41" s="376"/>
      <c r="EF41" s="376"/>
      <c r="EG41" s="376"/>
      <c r="EH41" s="376"/>
      <c r="EI41" s="376"/>
      <c r="EJ41" s="376"/>
      <c r="EK41" s="376"/>
      <c r="EL41" s="376"/>
      <c r="EM41" s="376"/>
      <c r="EN41" s="376"/>
      <c r="EO41" s="376"/>
      <c r="EP41" s="376"/>
      <c r="EQ41" s="376"/>
      <c r="ER41" s="376"/>
      <c r="ES41" s="376"/>
      <c r="ET41" s="376"/>
      <c r="EU41" s="376"/>
      <c r="EV41" s="376"/>
      <c r="EW41" s="376"/>
      <c r="EX41" s="376"/>
      <c r="EY41" s="376"/>
      <c r="EZ41" s="376"/>
      <c r="FA41" s="376"/>
      <c r="FB41" s="376"/>
      <c r="FC41" s="376"/>
      <c r="FD41" s="376"/>
      <c r="FE41" s="376"/>
      <c r="FF41" s="376"/>
      <c r="FG41" s="376"/>
      <c r="FH41" s="376"/>
      <c r="FI41" s="376"/>
      <c r="FJ41" s="376"/>
      <c r="FK41" s="376"/>
      <c r="FL41" s="376"/>
      <c r="FM41" s="376"/>
      <c r="FN41" s="376"/>
      <c r="FO41" s="376"/>
      <c r="FP41" s="376"/>
      <c r="FQ41" s="376"/>
      <c r="FR41" s="376"/>
      <c r="FS41" s="376"/>
      <c r="FT41" s="376"/>
      <c r="FU41" s="376"/>
      <c r="FV41" s="376"/>
      <c r="FW41" s="376"/>
      <c r="FX41" s="376"/>
      <c r="FY41" s="376"/>
      <c r="FZ41" s="376"/>
      <c r="GA41" s="376"/>
      <c r="GB41" s="376"/>
      <c r="GC41" s="376"/>
      <c r="GD41" s="376"/>
      <c r="GE41" s="376"/>
      <c r="GF41" s="376"/>
      <c r="GG41" s="376"/>
      <c r="GH41" s="376"/>
      <c r="GI41" s="376"/>
      <c r="GJ41" s="376"/>
      <c r="GK41" s="376"/>
      <c r="GL41" s="376"/>
      <c r="GM41" s="376"/>
      <c r="GN41" s="376"/>
      <c r="GO41" s="376"/>
      <c r="GP41" s="376"/>
      <c r="GQ41" s="376"/>
      <c r="GR41" s="376"/>
    </row>
    <row r="42" spans="1:200" s="61" customFormat="1" ht="15.75" customHeight="1" x14ac:dyDescent="0.3">
      <c r="A42" s="280"/>
      <c r="B42" s="281"/>
      <c r="C42" s="282"/>
      <c r="D42" s="282">
        <v>1</v>
      </c>
      <c r="E42" s="4">
        <v>30</v>
      </c>
      <c r="F42" s="281"/>
      <c r="G42" s="282"/>
      <c r="H42" s="282">
        <v>1</v>
      </c>
      <c r="I42" s="466"/>
      <c r="J42" s="467"/>
      <c r="K42" s="467"/>
      <c r="L42" s="467"/>
      <c r="M42" s="4">
        <v>29</v>
      </c>
      <c r="N42" s="62" t="s">
        <v>86</v>
      </c>
      <c r="O42" s="62" t="s">
        <v>448</v>
      </c>
      <c r="P42" s="62" t="s">
        <v>450</v>
      </c>
      <c r="Q42" s="60">
        <f t="shared" si="23"/>
        <v>0</v>
      </c>
      <c r="R42" s="60">
        <f t="shared" si="24"/>
        <v>0</v>
      </c>
      <c r="S42" s="60">
        <f t="shared" si="25"/>
        <v>0</v>
      </c>
      <c r="T42" s="60">
        <v>1</v>
      </c>
      <c r="U42" s="60">
        <v>1</v>
      </c>
      <c r="V42" s="80">
        <f t="shared" si="98"/>
        <v>577.29999999999995</v>
      </c>
      <c r="W42" s="64"/>
      <c r="X42" s="65">
        <v>577.29999999999995</v>
      </c>
      <c r="Y42" s="64"/>
      <c r="Z42" s="60"/>
      <c r="AA42" s="80">
        <f t="shared" si="99"/>
        <v>577.29999999999995</v>
      </c>
      <c r="AB42" s="64"/>
      <c r="AC42" s="65">
        <v>577.29999999999995</v>
      </c>
      <c r="AD42" s="64"/>
      <c r="AE42" s="60"/>
      <c r="AF42" s="80">
        <f t="shared" si="100"/>
        <v>577.29999999999995</v>
      </c>
      <c r="AG42" s="64"/>
      <c r="AH42" s="65">
        <v>577.29999999999995</v>
      </c>
      <c r="AI42" s="64"/>
      <c r="AJ42" s="60"/>
      <c r="AK42" s="80">
        <f t="shared" si="101"/>
        <v>251</v>
      </c>
      <c r="AL42" s="64"/>
      <c r="AM42" s="65">
        <v>251</v>
      </c>
      <c r="AN42" s="64"/>
      <c r="AO42" s="64"/>
      <c r="AP42" s="64" t="s">
        <v>348</v>
      </c>
      <c r="AQ42" s="64">
        <f t="shared" si="71"/>
        <v>577.29999999999995</v>
      </c>
      <c r="AR42" s="64"/>
      <c r="AS42" s="65">
        <f>251+326.3</f>
        <v>577.29999999999995</v>
      </c>
      <c r="AT42" s="64"/>
      <c r="AU42" s="64"/>
      <c r="AV42" s="64">
        <f t="shared" si="9"/>
        <v>0</v>
      </c>
      <c r="AW42" s="64">
        <f t="shared" si="10"/>
        <v>0</v>
      </c>
      <c r="AX42" s="64">
        <f t="shared" si="11"/>
        <v>0</v>
      </c>
      <c r="AY42" s="64">
        <f t="shared" si="12"/>
        <v>0</v>
      </c>
      <c r="AZ42" s="64" t="e">
        <f>#REF!-AU42</f>
        <v>#REF!</v>
      </c>
      <c r="BA42" s="64">
        <f t="shared" si="102"/>
        <v>577.29999999999995</v>
      </c>
      <c r="BB42" s="64"/>
      <c r="BC42" s="65">
        <f>251+326.3</f>
        <v>577.29999999999995</v>
      </c>
      <c r="BD42" s="64"/>
      <c r="BE42" s="64"/>
      <c r="BF42" s="64">
        <f t="shared" si="103"/>
        <v>0</v>
      </c>
      <c r="BG42" s="64"/>
      <c r="BH42" s="73"/>
      <c r="BI42" s="64"/>
      <c r="BJ42" s="64"/>
      <c r="BK42" s="64">
        <f t="shared" si="104"/>
        <v>577.29999999999995</v>
      </c>
      <c r="BL42" s="64"/>
      <c r="BM42" s="65">
        <f>251+326.3</f>
        <v>577.29999999999995</v>
      </c>
      <c r="BN42" s="64"/>
      <c r="BO42" s="64"/>
      <c r="BP42" s="64">
        <f t="shared" si="105"/>
        <v>577.29999999999995</v>
      </c>
      <c r="BQ42" s="64"/>
      <c r="BR42" s="74">
        <v>577.29999999999995</v>
      </c>
      <c r="BS42" s="64"/>
      <c r="BT42" s="64"/>
      <c r="BU42" s="64">
        <f t="shared" si="106"/>
        <v>496.22505999999998</v>
      </c>
      <c r="BV42" s="25"/>
      <c r="BW42" s="25">
        <v>496.22505999999998</v>
      </c>
      <c r="BX42" s="25"/>
      <c r="BY42" s="64"/>
      <c r="BZ42" s="60">
        <f t="shared" si="107"/>
        <v>1073.5250599999999</v>
      </c>
      <c r="CA42" s="64">
        <f t="shared" si="13"/>
        <v>1073.5250599999999</v>
      </c>
      <c r="CB42" s="64">
        <f t="shared" si="14"/>
        <v>0</v>
      </c>
      <c r="CC42" s="64">
        <f t="shared" si="15"/>
        <v>1073.5250599999999</v>
      </c>
      <c r="CD42" s="64">
        <f t="shared" si="16"/>
        <v>0</v>
      </c>
      <c r="CE42" s="64">
        <f t="shared" si="108"/>
        <v>0</v>
      </c>
      <c r="CF42" s="64">
        <f t="shared" si="17"/>
        <v>0</v>
      </c>
      <c r="CG42" s="64">
        <f t="shared" si="18"/>
        <v>0</v>
      </c>
      <c r="CH42" s="64">
        <f t="shared" si="19"/>
        <v>0</v>
      </c>
      <c r="CI42" s="64">
        <f t="shared" si="20"/>
        <v>0</v>
      </c>
      <c r="CJ42" s="64">
        <f t="shared" si="109"/>
        <v>0</v>
      </c>
      <c r="CK42" s="66"/>
      <c r="CL42" s="67"/>
      <c r="CM42" s="67"/>
      <c r="CN42" s="64">
        <f t="shared" si="110"/>
        <v>0</v>
      </c>
      <c r="CO42" s="64"/>
      <c r="CP42" s="73"/>
      <c r="CQ42" s="64"/>
      <c r="CR42" s="64"/>
      <c r="CS42" s="64">
        <f t="shared" si="111"/>
        <v>0</v>
      </c>
      <c r="CT42" s="64"/>
      <c r="CU42" s="73"/>
      <c r="CV42" s="64"/>
      <c r="CW42" s="64"/>
      <c r="CX42" s="64">
        <f t="shared" si="112"/>
        <v>0</v>
      </c>
      <c r="CY42" s="64">
        <f t="shared" si="113"/>
        <v>0</v>
      </c>
      <c r="CZ42" s="64">
        <f t="shared" si="113"/>
        <v>0</v>
      </c>
      <c r="DA42" s="64">
        <f t="shared" si="113"/>
        <v>0</v>
      </c>
      <c r="DB42" s="64">
        <f t="shared" si="113"/>
        <v>0</v>
      </c>
      <c r="DC42" s="64"/>
      <c r="DD42" s="64"/>
      <c r="DE42" s="64"/>
      <c r="DF42" s="64">
        <f t="shared" si="114"/>
        <v>0</v>
      </c>
      <c r="DH42" s="64">
        <f t="shared" si="115"/>
        <v>577.29999999999995</v>
      </c>
      <c r="DI42" s="64">
        <f t="shared" si="116"/>
        <v>577.29999999999995</v>
      </c>
      <c r="DK42" s="64"/>
      <c r="DL42" s="64"/>
      <c r="DN42" s="64"/>
      <c r="DQ42" s="64">
        <f t="shared" si="119"/>
        <v>577.29999999999995</v>
      </c>
      <c r="DR42" s="64"/>
      <c r="DS42" s="74">
        <v>577.29999999999995</v>
      </c>
      <c r="DT42" s="64"/>
      <c r="DU42" s="64"/>
      <c r="DV42" s="64">
        <f t="shared" si="120"/>
        <v>496.22505999999998</v>
      </c>
      <c r="DW42" s="64"/>
      <c r="DX42" s="64">
        <v>496.22505999999998</v>
      </c>
      <c r="DY42" s="64"/>
      <c r="DZ42" s="64"/>
      <c r="EA42" s="375"/>
      <c r="EB42" s="375"/>
      <c r="EC42" s="375"/>
      <c r="ED42" s="375"/>
      <c r="EE42" s="375"/>
      <c r="EF42" s="375"/>
      <c r="EG42" s="375"/>
      <c r="EH42" s="375"/>
      <c r="EI42" s="375"/>
      <c r="EJ42" s="375"/>
      <c r="EK42" s="375"/>
      <c r="EL42" s="375"/>
      <c r="EM42" s="375"/>
      <c r="EN42" s="375"/>
      <c r="EO42" s="375"/>
      <c r="EP42" s="375"/>
      <c r="EQ42" s="375"/>
      <c r="ER42" s="375"/>
      <c r="ES42" s="375"/>
      <c r="ET42" s="375"/>
      <c r="EU42" s="375"/>
      <c r="EV42" s="375"/>
      <c r="EW42" s="375"/>
      <c r="EX42" s="375"/>
      <c r="EY42" s="375"/>
      <c r="EZ42" s="375"/>
      <c r="FA42" s="375"/>
      <c r="FB42" s="375"/>
      <c r="FC42" s="375"/>
      <c r="FD42" s="375"/>
      <c r="FE42" s="375"/>
      <c r="FF42" s="375"/>
      <c r="FG42" s="375"/>
      <c r="FH42" s="375"/>
      <c r="FI42" s="375"/>
      <c r="FJ42" s="375"/>
      <c r="FK42" s="375"/>
      <c r="FL42" s="375"/>
      <c r="FM42" s="375"/>
      <c r="FN42" s="375"/>
      <c r="FO42" s="375"/>
      <c r="FP42" s="375"/>
      <c r="FQ42" s="375"/>
      <c r="FR42" s="375"/>
      <c r="FS42" s="375"/>
      <c r="FT42" s="375"/>
      <c r="FU42" s="375"/>
      <c r="FV42" s="375"/>
      <c r="FW42" s="375"/>
      <c r="FX42" s="375"/>
      <c r="FY42" s="375"/>
      <c r="FZ42" s="375"/>
      <c r="GA42" s="375"/>
      <c r="GB42" s="375"/>
      <c r="GC42" s="375"/>
      <c r="GD42" s="375"/>
      <c r="GE42" s="375"/>
      <c r="GF42" s="375"/>
      <c r="GG42" s="375"/>
      <c r="GH42" s="375"/>
      <c r="GI42" s="375"/>
      <c r="GJ42" s="375"/>
      <c r="GK42" s="375"/>
      <c r="GL42" s="375"/>
      <c r="GM42" s="375"/>
      <c r="GN42" s="375"/>
      <c r="GO42" s="375"/>
      <c r="GP42" s="375"/>
      <c r="GQ42" s="375"/>
      <c r="GR42" s="375"/>
    </row>
    <row r="43" spans="1:200" s="61" customFormat="1" ht="15.75" customHeight="1" x14ac:dyDescent="0.3">
      <c r="A43" s="280"/>
      <c r="B43" s="281"/>
      <c r="C43" s="282">
        <v>1</v>
      </c>
      <c r="D43" s="282"/>
      <c r="E43" s="4">
        <v>31</v>
      </c>
      <c r="F43" s="281"/>
      <c r="G43" s="282">
        <v>1</v>
      </c>
      <c r="H43" s="282">
        <v>1</v>
      </c>
      <c r="I43" s="4"/>
      <c r="J43" s="283"/>
      <c r="K43" s="291"/>
      <c r="L43" s="286"/>
      <c r="M43" s="4">
        <v>30</v>
      </c>
      <c r="N43" s="62" t="s">
        <v>26</v>
      </c>
      <c r="O43" s="62" t="s">
        <v>450</v>
      </c>
      <c r="P43" s="62" t="s">
        <v>448</v>
      </c>
      <c r="Q43" s="60">
        <f t="shared" si="23"/>
        <v>0</v>
      </c>
      <c r="R43" s="60">
        <f t="shared" si="24"/>
        <v>30.928190000000086</v>
      </c>
      <c r="S43" s="60">
        <f t="shared" si="25"/>
        <v>0</v>
      </c>
      <c r="T43" s="60">
        <v>1</v>
      </c>
      <c r="U43" s="60">
        <v>1</v>
      </c>
      <c r="V43" s="80">
        <f t="shared" si="98"/>
        <v>3155.6</v>
      </c>
      <c r="W43" s="64"/>
      <c r="X43" s="65">
        <v>3155.6</v>
      </c>
      <c r="Y43" s="64"/>
      <c r="Z43" s="73"/>
      <c r="AA43" s="80">
        <f t="shared" si="99"/>
        <v>3155.6</v>
      </c>
      <c r="AB43" s="64"/>
      <c r="AC43" s="65">
        <v>3155.6</v>
      </c>
      <c r="AD43" s="64"/>
      <c r="AE43" s="73"/>
      <c r="AF43" s="80">
        <f t="shared" si="100"/>
        <v>3155.6</v>
      </c>
      <c r="AG43" s="64"/>
      <c r="AH43" s="65">
        <v>3155.6</v>
      </c>
      <c r="AI43" s="64"/>
      <c r="AJ43" s="73"/>
      <c r="AK43" s="80">
        <f t="shared" si="101"/>
        <v>1362</v>
      </c>
      <c r="AL43" s="64"/>
      <c r="AM43" s="65">
        <v>1362</v>
      </c>
      <c r="AN43" s="64"/>
      <c r="AO43" s="73"/>
      <c r="AP43" s="64" t="s">
        <v>464</v>
      </c>
      <c r="AQ43" s="64">
        <f t="shared" si="71"/>
        <v>3155.6</v>
      </c>
      <c r="AR43" s="64"/>
      <c r="AS43" s="65">
        <v>3155.6</v>
      </c>
      <c r="AT43" s="64"/>
      <c r="AU43" s="73"/>
      <c r="AV43" s="64">
        <f t="shared" si="9"/>
        <v>0</v>
      </c>
      <c r="AW43" s="64">
        <f t="shared" si="10"/>
        <v>0</v>
      </c>
      <c r="AX43" s="64">
        <f t="shared" si="11"/>
        <v>0</v>
      </c>
      <c r="AY43" s="64">
        <f t="shared" si="12"/>
        <v>0</v>
      </c>
      <c r="AZ43" s="64" t="e">
        <f>#REF!-AU43</f>
        <v>#REF!</v>
      </c>
      <c r="BA43" s="64">
        <f t="shared" si="102"/>
        <v>3155.6</v>
      </c>
      <c r="BB43" s="64"/>
      <c r="BC43" s="65">
        <v>3155.6</v>
      </c>
      <c r="BD43" s="64"/>
      <c r="BE43" s="73"/>
      <c r="BF43" s="64">
        <f t="shared" si="103"/>
        <v>0</v>
      </c>
      <c r="BG43" s="64"/>
      <c r="BH43" s="65"/>
      <c r="BI43" s="64"/>
      <c r="BJ43" s="73"/>
      <c r="BK43" s="64">
        <f t="shared" si="104"/>
        <v>3155.6</v>
      </c>
      <c r="BL43" s="64"/>
      <c r="BM43" s="65">
        <v>3155.6</v>
      </c>
      <c r="BN43" s="64"/>
      <c r="BO43" s="74"/>
      <c r="BP43" s="64">
        <f t="shared" si="105"/>
        <v>3124.6718099999998</v>
      </c>
      <c r="BQ43" s="64"/>
      <c r="BR43" s="74">
        <v>3124.6718099999998</v>
      </c>
      <c r="BS43" s="64"/>
      <c r="BT43" s="74"/>
      <c r="BU43" s="64">
        <f t="shared" si="106"/>
        <v>1041.558</v>
      </c>
      <c r="BV43" s="64"/>
      <c r="BW43" s="64">
        <v>1041.558</v>
      </c>
      <c r="BX43" s="64"/>
      <c r="BY43" s="64"/>
      <c r="BZ43" s="60">
        <f t="shared" si="107"/>
        <v>4166.2298099999998</v>
      </c>
      <c r="CA43" s="64">
        <f t="shared" si="13"/>
        <v>4166.2298099999998</v>
      </c>
      <c r="CB43" s="64">
        <f t="shared" si="14"/>
        <v>0</v>
      </c>
      <c r="CC43" s="64">
        <f t="shared" si="15"/>
        <v>4166.2298099999998</v>
      </c>
      <c r="CD43" s="64">
        <f t="shared" si="16"/>
        <v>0</v>
      </c>
      <c r="CE43" s="64">
        <f t="shared" si="108"/>
        <v>0</v>
      </c>
      <c r="CF43" s="64">
        <f t="shared" si="17"/>
        <v>30.928190000000086</v>
      </c>
      <c r="CG43" s="64">
        <f t="shared" si="18"/>
        <v>0</v>
      </c>
      <c r="CH43" s="64">
        <f t="shared" si="19"/>
        <v>30.928190000000086</v>
      </c>
      <c r="CI43" s="64">
        <f t="shared" si="20"/>
        <v>0</v>
      </c>
      <c r="CJ43" s="64">
        <f t="shared" si="109"/>
        <v>0</v>
      </c>
      <c r="CK43" s="66"/>
      <c r="CL43" s="76">
        <f>BA43+BA48+BA54</f>
        <v>24905.309000000001</v>
      </c>
      <c r="CM43" s="76">
        <f>CL43+CN43-BF54</f>
        <v>24905.309000000001</v>
      </c>
      <c r="CN43" s="64">
        <f t="shared" si="110"/>
        <v>0</v>
      </c>
      <c r="CO43" s="64"/>
      <c r="CP43" s="65"/>
      <c r="CQ43" s="64"/>
      <c r="CR43" s="73"/>
      <c r="CS43" s="64">
        <f t="shared" si="111"/>
        <v>0</v>
      </c>
      <c r="CT43" s="64"/>
      <c r="CU43" s="65"/>
      <c r="CV43" s="64"/>
      <c r="CW43" s="73"/>
      <c r="CX43" s="64">
        <f t="shared" si="112"/>
        <v>0</v>
      </c>
      <c r="CY43" s="64">
        <f t="shared" si="113"/>
        <v>0</v>
      </c>
      <c r="CZ43" s="64">
        <f t="shared" si="113"/>
        <v>0</v>
      </c>
      <c r="DA43" s="64">
        <f t="shared" si="113"/>
        <v>0</v>
      </c>
      <c r="DB43" s="64">
        <f t="shared" si="113"/>
        <v>0</v>
      </c>
      <c r="DC43" s="64"/>
      <c r="DD43" s="64"/>
      <c r="DE43" s="64"/>
      <c r="DF43" s="64">
        <f t="shared" si="114"/>
        <v>30.928190000000086</v>
      </c>
      <c r="DH43" s="64">
        <f t="shared" si="115"/>
        <v>3155.6</v>
      </c>
      <c r="DI43" s="64">
        <f t="shared" si="116"/>
        <v>3124.6718099999998</v>
      </c>
      <c r="DK43" s="77">
        <f>DI43+DI48+DI54</f>
        <v>24129.272809999999</v>
      </c>
      <c r="DL43" s="77">
        <f>DF43+DF48+DF54</f>
        <v>776.03619000000322</v>
      </c>
      <c r="DN43" s="64">
        <f>CM43-DK43</f>
        <v>776.03619000000253</v>
      </c>
      <c r="DQ43" s="64">
        <f t="shared" si="119"/>
        <v>3124.6718099999998</v>
      </c>
      <c r="DR43" s="64"/>
      <c r="DS43" s="74">
        <v>3124.6718099999998</v>
      </c>
      <c r="DT43" s="64"/>
      <c r="DU43" s="74"/>
      <c r="DV43" s="64">
        <f t="shared" si="120"/>
        <v>1041.558</v>
      </c>
      <c r="DW43" s="64"/>
      <c r="DX43" s="64">
        <v>1041.558</v>
      </c>
      <c r="DY43" s="64"/>
      <c r="DZ43" s="64"/>
      <c r="EA43" s="375"/>
      <c r="EB43" s="375"/>
      <c r="EC43" s="375"/>
      <c r="ED43" s="375"/>
      <c r="EE43" s="375"/>
      <c r="EF43" s="375"/>
      <c r="EG43" s="375"/>
      <c r="EH43" s="375"/>
      <c r="EI43" s="375"/>
      <c r="EJ43" s="375"/>
      <c r="EK43" s="375"/>
      <c r="EL43" s="375"/>
      <c r="EM43" s="375"/>
      <c r="EN43" s="375"/>
      <c r="EO43" s="375"/>
      <c r="EP43" s="375"/>
      <c r="EQ43" s="375"/>
      <c r="ER43" s="375"/>
      <c r="ES43" s="375"/>
      <c r="ET43" s="375"/>
      <c r="EU43" s="375"/>
      <c r="EV43" s="375"/>
      <c r="EW43" s="375"/>
      <c r="EX43" s="375"/>
      <c r="EY43" s="375"/>
      <c r="EZ43" s="375"/>
      <c r="FA43" s="375"/>
      <c r="FB43" s="375"/>
      <c r="FC43" s="375"/>
      <c r="FD43" s="375"/>
      <c r="FE43" s="375"/>
      <c r="FF43" s="375"/>
      <c r="FG43" s="375"/>
      <c r="FH43" s="375"/>
      <c r="FI43" s="375"/>
      <c r="FJ43" s="375"/>
      <c r="FK43" s="375"/>
      <c r="FL43" s="375"/>
      <c r="FM43" s="375"/>
      <c r="FN43" s="375"/>
      <c r="FO43" s="375"/>
      <c r="FP43" s="375"/>
      <c r="FQ43" s="375"/>
      <c r="FR43" s="375"/>
      <c r="FS43" s="375"/>
      <c r="FT43" s="375"/>
      <c r="FU43" s="375"/>
      <c r="FV43" s="375"/>
      <c r="FW43" s="375"/>
      <c r="FX43" s="375"/>
      <c r="FY43" s="375"/>
      <c r="FZ43" s="375"/>
      <c r="GA43" s="375"/>
      <c r="GB43" s="375"/>
      <c r="GC43" s="375"/>
      <c r="GD43" s="375"/>
      <c r="GE43" s="375"/>
      <c r="GF43" s="375"/>
      <c r="GG43" s="375"/>
      <c r="GH43" s="375"/>
      <c r="GI43" s="375"/>
      <c r="GJ43" s="375"/>
      <c r="GK43" s="375"/>
      <c r="GL43" s="375"/>
      <c r="GM43" s="375"/>
      <c r="GN43" s="375"/>
      <c r="GO43" s="375"/>
      <c r="GP43" s="375"/>
      <c r="GQ43" s="375"/>
      <c r="GR43" s="375"/>
    </row>
    <row r="44" spans="1:200" s="61" customFormat="1" ht="15.75" customHeight="1" x14ac:dyDescent="0.3">
      <c r="A44" s="280"/>
      <c r="B44" s="281"/>
      <c r="C44" s="282"/>
      <c r="D44" s="282">
        <v>1</v>
      </c>
      <c r="E44" s="4">
        <v>32</v>
      </c>
      <c r="F44" s="281"/>
      <c r="G44" s="282"/>
      <c r="H44" s="282"/>
      <c r="I44" s="474"/>
      <c r="J44" s="475"/>
      <c r="K44" s="475"/>
      <c r="L44" s="288"/>
      <c r="M44" s="4">
        <v>31</v>
      </c>
      <c r="N44" s="62" t="s">
        <v>87</v>
      </c>
      <c r="O44" s="62" t="s">
        <v>448</v>
      </c>
      <c r="P44" s="62" t="s">
        <v>450</v>
      </c>
      <c r="Q44" s="60">
        <f t="shared" si="23"/>
        <v>0</v>
      </c>
      <c r="R44" s="60">
        <f t="shared" si="24"/>
        <v>0</v>
      </c>
      <c r="S44" s="60">
        <f t="shared" si="25"/>
        <v>0</v>
      </c>
      <c r="T44" s="60">
        <v>1</v>
      </c>
      <c r="U44" s="60">
        <v>1</v>
      </c>
      <c r="V44" s="80">
        <f t="shared" si="98"/>
        <v>185.06899999999999</v>
      </c>
      <c r="W44" s="64"/>
      <c r="X44" s="65">
        <v>185.06899999999999</v>
      </c>
      <c r="Y44" s="64"/>
      <c r="Z44" s="60"/>
      <c r="AA44" s="80">
        <f t="shared" si="99"/>
        <v>285.2</v>
      </c>
      <c r="AB44" s="64"/>
      <c r="AC44" s="65">
        <v>285.2</v>
      </c>
      <c r="AD44" s="64"/>
      <c r="AE44" s="60"/>
      <c r="AF44" s="80">
        <f t="shared" si="100"/>
        <v>285.2</v>
      </c>
      <c r="AG44" s="64"/>
      <c r="AH44" s="65">
        <v>285.2</v>
      </c>
      <c r="AI44" s="64"/>
      <c r="AJ44" s="60"/>
      <c r="AK44" s="80">
        <f t="shared" si="101"/>
        <v>124</v>
      </c>
      <c r="AL44" s="64"/>
      <c r="AM44" s="65">
        <v>124</v>
      </c>
      <c r="AN44" s="64"/>
      <c r="AO44" s="64"/>
      <c r="AP44" s="64" t="s">
        <v>426</v>
      </c>
      <c r="AQ44" s="64">
        <f t="shared" si="71"/>
        <v>185.06900000000002</v>
      </c>
      <c r="AR44" s="64"/>
      <c r="AS44" s="65">
        <f>124+61.069</f>
        <v>185.06900000000002</v>
      </c>
      <c r="AT44" s="64"/>
      <c r="AU44" s="64"/>
      <c r="AV44" s="64">
        <f t="shared" si="9"/>
        <v>0</v>
      </c>
      <c r="AW44" s="64">
        <f t="shared" si="10"/>
        <v>0</v>
      </c>
      <c r="AX44" s="64">
        <f t="shared" si="11"/>
        <v>0</v>
      </c>
      <c r="AY44" s="64">
        <f t="shared" si="12"/>
        <v>0</v>
      </c>
      <c r="AZ44" s="64" t="e">
        <f>#REF!-AU44</f>
        <v>#REF!</v>
      </c>
      <c r="BA44" s="64">
        <f t="shared" si="102"/>
        <v>185.06900000000002</v>
      </c>
      <c r="BB44" s="64"/>
      <c r="BC44" s="65">
        <f>124+61.069</f>
        <v>185.06900000000002</v>
      </c>
      <c r="BD44" s="64"/>
      <c r="BE44" s="64"/>
      <c r="BF44" s="64">
        <f t="shared" si="103"/>
        <v>0</v>
      </c>
      <c r="BG44" s="64"/>
      <c r="BH44" s="65"/>
      <c r="BI44" s="64"/>
      <c r="BJ44" s="64"/>
      <c r="BK44" s="64">
        <f t="shared" si="104"/>
        <v>185.06900000000002</v>
      </c>
      <c r="BL44" s="64"/>
      <c r="BM44" s="65">
        <f>124+61.069</f>
        <v>185.06900000000002</v>
      </c>
      <c r="BN44" s="64"/>
      <c r="BO44" s="64"/>
      <c r="BP44" s="64">
        <f t="shared" si="105"/>
        <v>185.06899999999999</v>
      </c>
      <c r="BQ44" s="64"/>
      <c r="BR44" s="74">
        <v>185.06899999999999</v>
      </c>
      <c r="BS44" s="64"/>
      <c r="BT44" s="64"/>
      <c r="BU44" s="64">
        <f t="shared" si="106"/>
        <v>61.690420000000003</v>
      </c>
      <c r="BV44" s="64"/>
      <c r="BW44" s="64">
        <v>61.690420000000003</v>
      </c>
      <c r="BX44" s="64"/>
      <c r="BY44" s="64"/>
      <c r="BZ44" s="60">
        <f t="shared" si="107"/>
        <v>246.75941999999998</v>
      </c>
      <c r="CA44" s="64">
        <f t="shared" si="13"/>
        <v>246.75941999999998</v>
      </c>
      <c r="CB44" s="64">
        <f t="shared" si="14"/>
        <v>0</v>
      </c>
      <c r="CC44" s="64">
        <f t="shared" si="15"/>
        <v>246.75941999999998</v>
      </c>
      <c r="CD44" s="64">
        <f t="shared" si="16"/>
        <v>0</v>
      </c>
      <c r="CE44" s="64">
        <f t="shared" si="108"/>
        <v>0</v>
      </c>
      <c r="CF44" s="64">
        <f t="shared" si="17"/>
        <v>0</v>
      </c>
      <c r="CG44" s="64">
        <f t="shared" si="18"/>
        <v>0</v>
      </c>
      <c r="CH44" s="64">
        <f t="shared" si="19"/>
        <v>0</v>
      </c>
      <c r="CI44" s="64">
        <f t="shared" si="20"/>
        <v>0</v>
      </c>
      <c r="CJ44" s="64">
        <f t="shared" si="109"/>
        <v>0</v>
      </c>
      <c r="CK44" s="66"/>
      <c r="CL44" s="67">
        <f>BA42+BA44+BA45+BA46+BA47+BA49+BA50+BA51+BA52+BA53+BA55+BA56</f>
        <v>15105.255319999998</v>
      </c>
      <c r="CM44" s="67">
        <f>CL44+CN46+CN51-BF47-BF49-BF53</f>
        <v>15105.255319999998</v>
      </c>
      <c r="CN44" s="64">
        <f t="shared" si="110"/>
        <v>0</v>
      </c>
      <c r="CO44" s="64"/>
      <c r="CP44" s="65"/>
      <c r="CQ44" s="64"/>
      <c r="CR44" s="64"/>
      <c r="CS44" s="64">
        <f t="shared" si="111"/>
        <v>0</v>
      </c>
      <c r="CT44" s="64"/>
      <c r="CU44" s="65"/>
      <c r="CV44" s="64"/>
      <c r="CW44" s="64"/>
      <c r="CX44" s="64">
        <f t="shared" si="112"/>
        <v>0</v>
      </c>
      <c r="CY44" s="64">
        <f t="shared" si="113"/>
        <v>0</v>
      </c>
      <c r="CZ44" s="64">
        <f t="shared" si="113"/>
        <v>0</v>
      </c>
      <c r="DA44" s="64">
        <f t="shared" si="113"/>
        <v>0</v>
      </c>
      <c r="DB44" s="64">
        <f t="shared" si="113"/>
        <v>0</v>
      </c>
      <c r="DC44" s="64"/>
      <c r="DD44" s="64"/>
      <c r="DE44" s="64"/>
      <c r="DF44" s="64">
        <f t="shared" si="114"/>
        <v>0</v>
      </c>
      <c r="DH44" s="64">
        <f t="shared" si="115"/>
        <v>185.06900000000002</v>
      </c>
      <c r="DI44" s="64">
        <f t="shared" si="116"/>
        <v>185.06899999999999</v>
      </c>
      <c r="DK44" s="64">
        <f>DI42+DI44+DI45+DI46+DI47+DI49+DI50+DI51+DI52+DI53+DI55+DI56</f>
        <v>14522.286969999999</v>
      </c>
      <c r="DL44" s="64">
        <f>DF42+DF44+DF45+DF46+DF47+DF49+DF50+DF51+DF52+DF53+DF55+DF56</f>
        <v>582.9683500000001</v>
      </c>
      <c r="DN44" s="64">
        <f>CM44-DK44</f>
        <v>582.96834999999919</v>
      </c>
      <c r="DQ44" s="64">
        <f t="shared" si="119"/>
        <v>185.06899999999999</v>
      </c>
      <c r="DR44" s="64"/>
      <c r="DS44" s="74">
        <v>185.06899999999999</v>
      </c>
      <c r="DT44" s="64"/>
      <c r="DU44" s="64"/>
      <c r="DV44" s="64">
        <f t="shared" si="120"/>
        <v>61.690420000000003</v>
      </c>
      <c r="DW44" s="64"/>
      <c r="DX44" s="64">
        <v>61.690420000000003</v>
      </c>
      <c r="DY44" s="64"/>
      <c r="DZ44" s="64"/>
      <c r="EA44" s="375"/>
      <c r="EB44" s="375"/>
      <c r="EC44" s="375"/>
      <c r="ED44" s="375"/>
      <c r="EE44" s="375"/>
      <c r="EF44" s="375"/>
      <c r="EG44" s="375"/>
      <c r="EH44" s="375"/>
      <c r="EI44" s="375"/>
      <c r="EJ44" s="375"/>
      <c r="EK44" s="375"/>
      <c r="EL44" s="375"/>
      <c r="EM44" s="375"/>
      <c r="EN44" s="375"/>
      <c r="EO44" s="375"/>
      <c r="EP44" s="375"/>
      <c r="EQ44" s="375"/>
      <c r="ER44" s="375"/>
      <c r="ES44" s="375"/>
      <c r="ET44" s="375"/>
      <c r="EU44" s="375"/>
      <c r="EV44" s="375"/>
      <c r="EW44" s="375"/>
      <c r="EX44" s="375"/>
      <c r="EY44" s="375"/>
      <c r="EZ44" s="375"/>
      <c r="FA44" s="375"/>
      <c r="FB44" s="375"/>
      <c r="FC44" s="375"/>
      <c r="FD44" s="375"/>
      <c r="FE44" s="375"/>
      <c r="FF44" s="375"/>
      <c r="FG44" s="375"/>
      <c r="FH44" s="375"/>
      <c r="FI44" s="375"/>
      <c r="FJ44" s="375"/>
      <c r="FK44" s="375"/>
      <c r="FL44" s="375"/>
      <c r="FM44" s="375"/>
      <c r="FN44" s="375"/>
      <c r="FO44" s="375"/>
      <c r="FP44" s="375"/>
      <c r="FQ44" s="375"/>
      <c r="FR44" s="375"/>
      <c r="FS44" s="375"/>
      <c r="FT44" s="375"/>
      <c r="FU44" s="375"/>
      <c r="FV44" s="375"/>
      <c r="FW44" s="375"/>
      <c r="FX44" s="375"/>
      <c r="FY44" s="375"/>
      <c r="FZ44" s="375"/>
      <c r="GA44" s="375"/>
      <c r="GB44" s="375"/>
      <c r="GC44" s="375"/>
      <c r="GD44" s="375"/>
      <c r="GE44" s="375"/>
      <c r="GF44" s="375"/>
      <c r="GG44" s="375"/>
      <c r="GH44" s="375"/>
      <c r="GI44" s="375"/>
      <c r="GJ44" s="375"/>
      <c r="GK44" s="375"/>
      <c r="GL44" s="375"/>
      <c r="GM44" s="375"/>
      <c r="GN44" s="375"/>
      <c r="GO44" s="375"/>
      <c r="GP44" s="375"/>
      <c r="GQ44" s="375"/>
      <c r="GR44" s="375"/>
    </row>
    <row r="45" spans="1:200" s="61" customFormat="1" ht="15.75" customHeight="1" x14ac:dyDescent="0.3">
      <c r="A45" s="280"/>
      <c r="B45" s="281"/>
      <c r="C45" s="282"/>
      <c r="D45" s="282">
        <v>1</v>
      </c>
      <c r="E45" s="4">
        <v>33</v>
      </c>
      <c r="F45" s="281"/>
      <c r="G45" s="282"/>
      <c r="H45" s="282"/>
      <c r="I45" s="466"/>
      <c r="J45" s="467"/>
      <c r="K45" s="467"/>
      <c r="L45" s="467"/>
      <c r="M45" s="4">
        <v>32</v>
      </c>
      <c r="N45" s="62" t="s">
        <v>198</v>
      </c>
      <c r="O45" s="62" t="s">
        <v>448</v>
      </c>
      <c r="P45" s="62" t="s">
        <v>448</v>
      </c>
      <c r="Q45" s="60">
        <f t="shared" si="23"/>
        <v>0</v>
      </c>
      <c r="R45" s="60">
        <f t="shared" si="24"/>
        <v>90.259999999999991</v>
      </c>
      <c r="S45" s="60">
        <f t="shared" si="25"/>
        <v>0</v>
      </c>
      <c r="T45" s="60">
        <v>1</v>
      </c>
      <c r="U45" s="60">
        <v>2</v>
      </c>
      <c r="V45" s="80">
        <f t="shared" si="98"/>
        <v>662.74599999999998</v>
      </c>
      <c r="W45" s="64"/>
      <c r="X45" s="65">
        <v>662.74599999999998</v>
      </c>
      <c r="Y45" s="64"/>
      <c r="Z45" s="60"/>
      <c r="AA45" s="80">
        <f t="shared" si="99"/>
        <v>724.5</v>
      </c>
      <c r="AB45" s="64"/>
      <c r="AC45" s="65">
        <v>724.5</v>
      </c>
      <c r="AD45" s="64"/>
      <c r="AE45" s="60"/>
      <c r="AF45" s="80">
        <f t="shared" si="100"/>
        <v>724.5</v>
      </c>
      <c r="AG45" s="64"/>
      <c r="AH45" s="65">
        <v>724.5</v>
      </c>
      <c r="AI45" s="64"/>
      <c r="AJ45" s="60"/>
      <c r="AK45" s="80">
        <f t="shared" si="101"/>
        <v>315</v>
      </c>
      <c r="AL45" s="64"/>
      <c r="AM45" s="65">
        <v>315</v>
      </c>
      <c r="AN45" s="64"/>
      <c r="AO45" s="64"/>
      <c r="AP45" s="64" t="s">
        <v>537</v>
      </c>
      <c r="AQ45" s="64">
        <f t="shared" si="71"/>
        <v>662.74600000000009</v>
      </c>
      <c r="AR45" s="64"/>
      <c r="AS45" s="65">
        <f>314.6+348.146</f>
        <v>662.74600000000009</v>
      </c>
      <c r="AT45" s="64"/>
      <c r="AU45" s="64"/>
      <c r="AV45" s="64">
        <f t="shared" si="9"/>
        <v>0</v>
      </c>
      <c r="AW45" s="64">
        <f t="shared" si="10"/>
        <v>0</v>
      </c>
      <c r="AX45" s="64">
        <f t="shared" si="11"/>
        <v>0</v>
      </c>
      <c r="AY45" s="64">
        <f t="shared" si="12"/>
        <v>0</v>
      </c>
      <c r="AZ45" s="64" t="e">
        <f>#REF!-AU45</f>
        <v>#REF!</v>
      </c>
      <c r="BA45" s="64">
        <f t="shared" si="102"/>
        <v>662.74600000000009</v>
      </c>
      <c r="BB45" s="64"/>
      <c r="BC45" s="65">
        <f>314.6+348.146</f>
        <v>662.74600000000009</v>
      </c>
      <c r="BD45" s="64"/>
      <c r="BE45" s="64"/>
      <c r="BF45" s="64">
        <f t="shared" si="103"/>
        <v>0</v>
      </c>
      <c r="BG45" s="64"/>
      <c r="BH45" s="64"/>
      <c r="BI45" s="64"/>
      <c r="BJ45" s="64"/>
      <c r="BK45" s="64">
        <f t="shared" si="104"/>
        <v>662.74600000000009</v>
      </c>
      <c r="BL45" s="64"/>
      <c r="BM45" s="65">
        <f>314.6+348.146</f>
        <v>662.74600000000009</v>
      </c>
      <c r="BN45" s="64"/>
      <c r="BO45" s="64"/>
      <c r="BP45" s="64">
        <f t="shared" si="105"/>
        <v>572.4860000000001</v>
      </c>
      <c r="BQ45" s="64"/>
      <c r="BR45" s="64">
        <f>314.6+257.886</f>
        <v>572.4860000000001</v>
      </c>
      <c r="BS45" s="64"/>
      <c r="BT45" s="64"/>
      <c r="BU45" s="64">
        <f t="shared" si="106"/>
        <v>311.28868</v>
      </c>
      <c r="BV45" s="64"/>
      <c r="BW45" s="64">
        <f>104.97968+206.309</f>
        <v>311.28868</v>
      </c>
      <c r="BX45" s="64"/>
      <c r="BY45" s="64"/>
      <c r="BZ45" s="60">
        <f t="shared" si="107"/>
        <v>883.7746800000001</v>
      </c>
      <c r="CA45" s="64">
        <f t="shared" si="13"/>
        <v>883.7746800000001</v>
      </c>
      <c r="CB45" s="64">
        <f t="shared" si="14"/>
        <v>0</v>
      </c>
      <c r="CC45" s="64">
        <f t="shared" si="15"/>
        <v>883.7746800000001</v>
      </c>
      <c r="CD45" s="64">
        <f t="shared" si="16"/>
        <v>0</v>
      </c>
      <c r="CE45" s="64">
        <f t="shared" si="108"/>
        <v>0</v>
      </c>
      <c r="CF45" s="64">
        <f t="shared" si="17"/>
        <v>90.259999999999991</v>
      </c>
      <c r="CG45" s="64">
        <f t="shared" si="18"/>
        <v>0</v>
      </c>
      <c r="CH45" s="64">
        <f t="shared" si="19"/>
        <v>90.259999999999991</v>
      </c>
      <c r="CI45" s="64">
        <f t="shared" si="20"/>
        <v>0</v>
      </c>
      <c r="CJ45" s="64">
        <f t="shared" si="109"/>
        <v>0</v>
      </c>
      <c r="CK45" s="66"/>
      <c r="CL45" s="67"/>
      <c r="CM45" s="67"/>
      <c r="CN45" s="64">
        <f t="shared" si="110"/>
        <v>0</v>
      </c>
      <c r="CO45" s="64"/>
      <c r="CP45" s="64"/>
      <c r="CQ45" s="64"/>
      <c r="CR45" s="64"/>
      <c r="CS45" s="64">
        <f t="shared" si="111"/>
        <v>0</v>
      </c>
      <c r="CT45" s="64"/>
      <c r="CU45" s="64"/>
      <c r="CV45" s="64"/>
      <c r="CW45" s="64"/>
      <c r="CX45" s="64">
        <f t="shared" si="112"/>
        <v>0</v>
      </c>
      <c r="CY45" s="64">
        <f t="shared" si="113"/>
        <v>0</v>
      </c>
      <c r="CZ45" s="64">
        <f t="shared" si="113"/>
        <v>0</v>
      </c>
      <c r="DA45" s="64">
        <f t="shared" si="113"/>
        <v>0</v>
      </c>
      <c r="DB45" s="64">
        <f t="shared" si="113"/>
        <v>0</v>
      </c>
      <c r="DC45" s="64"/>
      <c r="DD45" s="64"/>
      <c r="DE45" s="64"/>
      <c r="DF45" s="64">
        <f t="shared" si="114"/>
        <v>90.259999999999991</v>
      </c>
      <c r="DH45" s="64">
        <f t="shared" si="115"/>
        <v>662.74600000000009</v>
      </c>
      <c r="DI45" s="64">
        <f t="shared" si="116"/>
        <v>572.4860000000001</v>
      </c>
      <c r="DK45" s="64"/>
      <c r="DL45" s="64"/>
      <c r="DN45" s="64"/>
      <c r="DQ45" s="64">
        <f t="shared" si="119"/>
        <v>572.4860000000001</v>
      </c>
      <c r="DR45" s="64"/>
      <c r="DS45" s="64">
        <f>314.6+257.886</f>
        <v>572.4860000000001</v>
      </c>
      <c r="DT45" s="64"/>
      <c r="DU45" s="64"/>
      <c r="DV45" s="64">
        <f t="shared" si="120"/>
        <v>0</v>
      </c>
      <c r="DW45" s="64"/>
      <c r="DX45" s="64"/>
      <c r="DY45" s="64"/>
      <c r="DZ45" s="64"/>
      <c r="EA45" s="375"/>
      <c r="EB45" s="375"/>
      <c r="EC45" s="375"/>
      <c r="ED45" s="375"/>
      <c r="EE45" s="375"/>
      <c r="EF45" s="375"/>
      <c r="EG45" s="375"/>
      <c r="EH45" s="375"/>
      <c r="EI45" s="375"/>
      <c r="EJ45" s="375"/>
      <c r="EK45" s="375"/>
      <c r="EL45" s="375"/>
      <c r="EM45" s="375"/>
      <c r="EN45" s="375"/>
      <c r="EO45" s="375"/>
      <c r="EP45" s="375"/>
      <c r="EQ45" s="375"/>
      <c r="ER45" s="375"/>
      <c r="ES45" s="375"/>
      <c r="ET45" s="375"/>
      <c r="EU45" s="375"/>
      <c r="EV45" s="375"/>
      <c r="EW45" s="375"/>
      <c r="EX45" s="375"/>
      <c r="EY45" s="375"/>
      <c r="EZ45" s="375"/>
      <c r="FA45" s="375"/>
      <c r="FB45" s="375"/>
      <c r="FC45" s="375"/>
      <c r="FD45" s="375"/>
      <c r="FE45" s="375"/>
      <c r="FF45" s="375"/>
      <c r="FG45" s="375"/>
      <c r="FH45" s="375"/>
      <c r="FI45" s="375"/>
      <c r="FJ45" s="375"/>
      <c r="FK45" s="375"/>
      <c r="FL45" s="375"/>
      <c r="FM45" s="375"/>
      <c r="FN45" s="375"/>
      <c r="FO45" s="375"/>
      <c r="FP45" s="375"/>
      <c r="FQ45" s="375"/>
      <c r="FR45" s="375"/>
      <c r="FS45" s="375"/>
      <c r="FT45" s="375"/>
      <c r="FU45" s="375"/>
      <c r="FV45" s="375"/>
      <c r="FW45" s="375"/>
      <c r="FX45" s="375"/>
      <c r="FY45" s="375"/>
      <c r="FZ45" s="375"/>
      <c r="GA45" s="375"/>
      <c r="GB45" s="375"/>
      <c r="GC45" s="375"/>
      <c r="GD45" s="375"/>
      <c r="GE45" s="375"/>
      <c r="GF45" s="375"/>
      <c r="GG45" s="375"/>
      <c r="GH45" s="375"/>
      <c r="GI45" s="375"/>
      <c r="GJ45" s="375"/>
      <c r="GK45" s="375"/>
      <c r="GL45" s="375"/>
      <c r="GM45" s="375"/>
      <c r="GN45" s="375"/>
      <c r="GO45" s="375"/>
      <c r="GP45" s="375"/>
      <c r="GQ45" s="375"/>
      <c r="GR45" s="375"/>
    </row>
    <row r="46" spans="1:200" s="61" customFormat="1" ht="15.75" customHeight="1" x14ac:dyDescent="0.3">
      <c r="A46" s="280"/>
      <c r="B46" s="281"/>
      <c r="C46" s="282"/>
      <c r="D46" s="282">
        <v>1</v>
      </c>
      <c r="E46" s="4">
        <v>34</v>
      </c>
      <c r="F46" s="281"/>
      <c r="G46" s="282"/>
      <c r="H46" s="282">
        <v>1</v>
      </c>
      <c r="I46" s="4"/>
      <c r="J46" s="283"/>
      <c r="K46" s="285"/>
      <c r="L46" s="286"/>
      <c r="M46" s="4">
        <v>33</v>
      </c>
      <c r="N46" s="62" t="s">
        <v>88</v>
      </c>
      <c r="O46" s="62" t="s">
        <v>448</v>
      </c>
      <c r="P46" s="62" t="s">
        <v>448</v>
      </c>
      <c r="Q46" s="60">
        <f t="shared" si="23"/>
        <v>0</v>
      </c>
      <c r="R46" s="60">
        <f t="shared" si="24"/>
        <v>0</v>
      </c>
      <c r="S46" s="60">
        <f t="shared" si="25"/>
        <v>0</v>
      </c>
      <c r="T46" s="60">
        <v>1</v>
      </c>
      <c r="U46" s="60">
        <v>1</v>
      </c>
      <c r="V46" s="80">
        <f t="shared" si="98"/>
        <v>381.8</v>
      </c>
      <c r="W46" s="64"/>
      <c r="X46" s="65">
        <v>381.8</v>
      </c>
      <c r="Y46" s="64"/>
      <c r="Z46" s="73"/>
      <c r="AA46" s="80">
        <f t="shared" si="99"/>
        <v>381.8</v>
      </c>
      <c r="AB46" s="64"/>
      <c r="AC46" s="65">
        <v>381.8</v>
      </c>
      <c r="AD46" s="64"/>
      <c r="AE46" s="73"/>
      <c r="AF46" s="80">
        <f t="shared" si="100"/>
        <v>381.8</v>
      </c>
      <c r="AG46" s="64"/>
      <c r="AH46" s="65">
        <v>381.8</v>
      </c>
      <c r="AI46" s="64"/>
      <c r="AJ46" s="73"/>
      <c r="AK46" s="80">
        <f t="shared" si="101"/>
        <v>166</v>
      </c>
      <c r="AL46" s="64"/>
      <c r="AM46" s="65">
        <v>166</v>
      </c>
      <c r="AN46" s="64"/>
      <c r="AO46" s="73"/>
      <c r="AP46" s="64" t="s">
        <v>378</v>
      </c>
      <c r="AQ46" s="64">
        <f t="shared" si="71"/>
        <v>381.8</v>
      </c>
      <c r="AR46" s="64"/>
      <c r="AS46" s="65">
        <f>166+215.8</f>
        <v>381.8</v>
      </c>
      <c r="AT46" s="64"/>
      <c r="AU46" s="73"/>
      <c r="AV46" s="64">
        <f t="shared" si="9"/>
        <v>0</v>
      </c>
      <c r="AW46" s="64">
        <f t="shared" si="10"/>
        <v>0</v>
      </c>
      <c r="AX46" s="64">
        <f t="shared" si="11"/>
        <v>0</v>
      </c>
      <c r="AY46" s="64">
        <f t="shared" si="12"/>
        <v>0</v>
      </c>
      <c r="AZ46" s="64" t="e">
        <f>#REF!-AU46</f>
        <v>#REF!</v>
      </c>
      <c r="BA46" s="64">
        <f t="shared" si="102"/>
        <v>381.8</v>
      </c>
      <c r="BB46" s="64"/>
      <c r="BC46" s="65">
        <f>166+215.8</f>
        <v>381.8</v>
      </c>
      <c r="BD46" s="64"/>
      <c r="BE46" s="73"/>
      <c r="BF46" s="64">
        <f t="shared" si="103"/>
        <v>0</v>
      </c>
      <c r="BG46" s="64"/>
      <c r="BH46" s="65"/>
      <c r="BI46" s="64"/>
      <c r="BJ46" s="73"/>
      <c r="BK46" s="64">
        <f t="shared" si="104"/>
        <v>381.8</v>
      </c>
      <c r="BL46" s="64"/>
      <c r="BM46" s="65">
        <f>166+215.8</f>
        <v>381.8</v>
      </c>
      <c r="BN46" s="64"/>
      <c r="BO46" s="74"/>
      <c r="BP46" s="64">
        <f t="shared" si="105"/>
        <v>381.8</v>
      </c>
      <c r="BQ46" s="64"/>
      <c r="BR46" s="74">
        <f>166+215.8</f>
        <v>381.8</v>
      </c>
      <c r="BS46" s="64"/>
      <c r="BT46" s="74"/>
      <c r="BU46" s="64">
        <f t="shared" si="106"/>
        <v>141.89699999999999</v>
      </c>
      <c r="BV46" s="64"/>
      <c r="BW46" s="64">
        <f>60+81.897</f>
        <v>141.89699999999999</v>
      </c>
      <c r="BX46" s="64"/>
      <c r="BY46" s="64"/>
      <c r="BZ46" s="60">
        <f t="shared" si="107"/>
        <v>523.697</v>
      </c>
      <c r="CA46" s="64">
        <f t="shared" si="13"/>
        <v>523.697</v>
      </c>
      <c r="CB46" s="64">
        <f t="shared" si="14"/>
        <v>0</v>
      </c>
      <c r="CC46" s="64">
        <f t="shared" si="15"/>
        <v>523.697</v>
      </c>
      <c r="CD46" s="64">
        <f t="shared" si="16"/>
        <v>0</v>
      </c>
      <c r="CE46" s="64">
        <f t="shared" si="108"/>
        <v>0</v>
      </c>
      <c r="CF46" s="64">
        <f t="shared" si="17"/>
        <v>0</v>
      </c>
      <c r="CG46" s="64">
        <f t="shared" si="18"/>
        <v>0</v>
      </c>
      <c r="CH46" s="64">
        <f t="shared" si="19"/>
        <v>0</v>
      </c>
      <c r="CI46" s="64">
        <f t="shared" si="20"/>
        <v>0</v>
      </c>
      <c r="CJ46" s="64">
        <f t="shared" si="109"/>
        <v>0</v>
      </c>
      <c r="CK46" s="66"/>
      <c r="CL46" s="67"/>
      <c r="CM46" s="67"/>
      <c r="CN46" s="64">
        <f t="shared" si="110"/>
        <v>0</v>
      </c>
      <c r="CO46" s="64"/>
      <c r="CP46" s="65"/>
      <c r="CQ46" s="64"/>
      <c r="CR46" s="73"/>
      <c r="CS46" s="64">
        <f t="shared" si="111"/>
        <v>0</v>
      </c>
      <c r="CT46" s="64"/>
      <c r="CU46" s="65"/>
      <c r="CV46" s="64"/>
      <c r="CW46" s="73"/>
      <c r="CX46" s="64">
        <f t="shared" si="112"/>
        <v>0</v>
      </c>
      <c r="CY46" s="64">
        <f t="shared" si="113"/>
        <v>0</v>
      </c>
      <c r="CZ46" s="64">
        <f t="shared" si="113"/>
        <v>0</v>
      </c>
      <c r="DA46" s="64">
        <f t="shared" si="113"/>
        <v>0</v>
      </c>
      <c r="DB46" s="64">
        <f t="shared" si="113"/>
        <v>0</v>
      </c>
      <c r="DC46" s="64"/>
      <c r="DD46" s="64"/>
      <c r="DE46" s="64"/>
      <c r="DF46" s="64">
        <f t="shared" si="114"/>
        <v>0</v>
      </c>
      <c r="DH46" s="64">
        <f t="shared" si="115"/>
        <v>381.8</v>
      </c>
      <c r="DI46" s="64">
        <f t="shared" si="116"/>
        <v>381.8</v>
      </c>
      <c r="DK46" s="64"/>
      <c r="DL46" s="64"/>
      <c r="DN46" s="64"/>
      <c r="DQ46" s="64">
        <f t="shared" si="119"/>
        <v>381.8</v>
      </c>
      <c r="DR46" s="64"/>
      <c r="DS46" s="74">
        <f>166+215.8</f>
        <v>381.8</v>
      </c>
      <c r="DT46" s="64"/>
      <c r="DU46" s="74"/>
      <c r="DV46" s="64">
        <f t="shared" si="120"/>
        <v>0</v>
      </c>
      <c r="DW46" s="64"/>
      <c r="DX46" s="64"/>
      <c r="DY46" s="64"/>
      <c r="DZ46" s="64"/>
      <c r="EA46" s="375"/>
      <c r="EB46" s="375"/>
      <c r="EC46" s="375"/>
      <c r="ED46" s="375"/>
      <c r="EE46" s="375"/>
      <c r="EF46" s="375"/>
      <c r="EG46" s="375"/>
      <c r="EH46" s="375"/>
      <c r="EI46" s="375"/>
      <c r="EJ46" s="375"/>
      <c r="EK46" s="375"/>
      <c r="EL46" s="375"/>
      <c r="EM46" s="375"/>
      <c r="EN46" s="375"/>
      <c r="EO46" s="375"/>
      <c r="EP46" s="375"/>
      <c r="EQ46" s="375"/>
      <c r="ER46" s="375"/>
      <c r="ES46" s="375"/>
      <c r="ET46" s="375"/>
      <c r="EU46" s="375"/>
      <c r="EV46" s="375"/>
      <c r="EW46" s="375"/>
      <c r="EX46" s="375"/>
      <c r="EY46" s="375"/>
      <c r="EZ46" s="375"/>
      <c r="FA46" s="375"/>
      <c r="FB46" s="375"/>
      <c r="FC46" s="375"/>
      <c r="FD46" s="375"/>
      <c r="FE46" s="375"/>
      <c r="FF46" s="375"/>
      <c r="FG46" s="375"/>
      <c r="FH46" s="375"/>
      <c r="FI46" s="375"/>
      <c r="FJ46" s="375"/>
      <c r="FK46" s="375"/>
      <c r="FL46" s="375"/>
      <c r="FM46" s="375"/>
      <c r="FN46" s="375"/>
      <c r="FO46" s="375"/>
      <c r="FP46" s="375"/>
      <c r="FQ46" s="375"/>
      <c r="FR46" s="375"/>
      <c r="FS46" s="375"/>
      <c r="FT46" s="375"/>
      <c r="FU46" s="375"/>
      <c r="FV46" s="375"/>
      <c r="FW46" s="375"/>
      <c r="FX46" s="375"/>
      <c r="FY46" s="375"/>
      <c r="FZ46" s="375"/>
      <c r="GA46" s="375"/>
      <c r="GB46" s="375"/>
      <c r="GC46" s="375"/>
      <c r="GD46" s="375"/>
      <c r="GE46" s="375"/>
      <c r="GF46" s="375"/>
      <c r="GG46" s="375"/>
      <c r="GH46" s="375"/>
      <c r="GI46" s="375"/>
      <c r="GJ46" s="375"/>
      <c r="GK46" s="375"/>
      <c r="GL46" s="375"/>
      <c r="GM46" s="375"/>
      <c r="GN46" s="375"/>
      <c r="GO46" s="375"/>
      <c r="GP46" s="375"/>
      <c r="GQ46" s="375"/>
      <c r="GR46" s="375"/>
    </row>
    <row r="47" spans="1:200" s="61" customFormat="1" ht="16.2" customHeight="1" x14ac:dyDescent="0.3">
      <c r="A47" s="280"/>
      <c r="B47" s="281"/>
      <c r="C47" s="282"/>
      <c r="D47" s="282">
        <v>1</v>
      </c>
      <c r="E47" s="4">
        <v>35</v>
      </c>
      <c r="F47" s="281"/>
      <c r="G47" s="282"/>
      <c r="H47" s="282">
        <v>1</v>
      </c>
      <c r="I47" s="474" t="s">
        <v>270</v>
      </c>
      <c r="J47" s="475"/>
      <c r="K47" s="475"/>
      <c r="L47" s="288">
        <f>L46</f>
        <v>0</v>
      </c>
      <c r="M47" s="4">
        <v>34</v>
      </c>
      <c r="N47" s="62" t="s">
        <v>89</v>
      </c>
      <c r="O47" s="62" t="s">
        <v>450</v>
      </c>
      <c r="P47" s="62" t="s">
        <v>450</v>
      </c>
      <c r="Q47" s="60">
        <f t="shared" si="23"/>
        <v>0</v>
      </c>
      <c r="R47" s="60">
        <f t="shared" si="24"/>
        <v>0</v>
      </c>
      <c r="S47" s="60">
        <f t="shared" si="25"/>
        <v>0</v>
      </c>
      <c r="T47" s="60">
        <v>1</v>
      </c>
      <c r="U47" s="60">
        <v>2</v>
      </c>
      <c r="V47" s="80">
        <f t="shared" si="98"/>
        <v>963.7</v>
      </c>
      <c r="W47" s="64"/>
      <c r="X47" s="65">
        <v>963.7</v>
      </c>
      <c r="Y47" s="64"/>
      <c r="Z47" s="73"/>
      <c r="AA47" s="80">
        <f t="shared" si="99"/>
        <v>963.7</v>
      </c>
      <c r="AB47" s="64"/>
      <c r="AC47" s="65">
        <v>963.7</v>
      </c>
      <c r="AD47" s="64"/>
      <c r="AE47" s="73"/>
      <c r="AF47" s="80">
        <f t="shared" si="100"/>
        <v>963.7</v>
      </c>
      <c r="AG47" s="64"/>
      <c r="AH47" s="65">
        <v>963.7</v>
      </c>
      <c r="AI47" s="64"/>
      <c r="AJ47" s="73"/>
      <c r="AK47" s="80">
        <f t="shared" si="101"/>
        <v>419</v>
      </c>
      <c r="AL47" s="64"/>
      <c r="AM47" s="65">
        <v>419</v>
      </c>
      <c r="AN47" s="64"/>
      <c r="AO47" s="73"/>
      <c r="AP47" s="64" t="s">
        <v>547</v>
      </c>
      <c r="AQ47" s="64">
        <f t="shared" si="71"/>
        <v>963.7</v>
      </c>
      <c r="AR47" s="64"/>
      <c r="AS47" s="65">
        <f>419+544.7</f>
        <v>963.7</v>
      </c>
      <c r="AT47" s="64"/>
      <c r="AU47" s="64"/>
      <c r="AV47" s="64">
        <f t="shared" si="9"/>
        <v>0</v>
      </c>
      <c r="AW47" s="64">
        <f t="shared" si="10"/>
        <v>0</v>
      </c>
      <c r="AX47" s="64">
        <f t="shared" si="11"/>
        <v>0</v>
      </c>
      <c r="AY47" s="64">
        <f t="shared" si="12"/>
        <v>0</v>
      </c>
      <c r="AZ47" s="64" t="e">
        <f>#REF!-AU47</f>
        <v>#REF!</v>
      </c>
      <c r="BA47" s="64">
        <f t="shared" si="102"/>
        <v>963.7</v>
      </c>
      <c r="BB47" s="64"/>
      <c r="BC47" s="65">
        <f>419+544.7</f>
        <v>963.7</v>
      </c>
      <c r="BD47" s="64"/>
      <c r="BE47" s="64"/>
      <c r="BF47" s="64">
        <f t="shared" si="103"/>
        <v>0</v>
      </c>
      <c r="BG47" s="64"/>
      <c r="BH47" s="64"/>
      <c r="BI47" s="64"/>
      <c r="BJ47" s="64"/>
      <c r="BK47" s="64">
        <f t="shared" si="104"/>
        <v>963.7</v>
      </c>
      <c r="BL47" s="64"/>
      <c r="BM47" s="65">
        <f>419+544.7</f>
        <v>963.7</v>
      </c>
      <c r="BN47" s="64"/>
      <c r="BO47" s="64"/>
      <c r="BP47" s="64">
        <f t="shared" si="105"/>
        <v>963.7</v>
      </c>
      <c r="BQ47" s="64"/>
      <c r="BR47" s="64">
        <f>419+544.7</f>
        <v>963.7</v>
      </c>
      <c r="BS47" s="64"/>
      <c r="BT47" s="64"/>
      <c r="BU47" s="64">
        <f t="shared" si="106"/>
        <v>363.54863999999998</v>
      </c>
      <c r="BV47" s="64"/>
      <c r="BW47" s="64">
        <f>196.85684+166.6918</f>
        <v>363.54863999999998</v>
      </c>
      <c r="BX47" s="64"/>
      <c r="BY47" s="64"/>
      <c r="BZ47" s="60">
        <f t="shared" si="107"/>
        <v>1327.24864</v>
      </c>
      <c r="CA47" s="64">
        <f t="shared" si="13"/>
        <v>1327.24864</v>
      </c>
      <c r="CB47" s="64">
        <f t="shared" si="14"/>
        <v>0</v>
      </c>
      <c r="CC47" s="64">
        <f t="shared" si="15"/>
        <v>1327.24864</v>
      </c>
      <c r="CD47" s="64">
        <f t="shared" si="16"/>
        <v>0</v>
      </c>
      <c r="CE47" s="64">
        <f t="shared" si="108"/>
        <v>0</v>
      </c>
      <c r="CF47" s="64">
        <f t="shared" si="17"/>
        <v>0</v>
      </c>
      <c r="CG47" s="64">
        <f t="shared" si="18"/>
        <v>0</v>
      </c>
      <c r="CH47" s="64">
        <f t="shared" si="19"/>
        <v>0</v>
      </c>
      <c r="CI47" s="64">
        <f t="shared" si="20"/>
        <v>0</v>
      </c>
      <c r="CJ47" s="64">
        <f t="shared" si="109"/>
        <v>0</v>
      </c>
      <c r="CK47" s="66"/>
      <c r="CL47" s="67"/>
      <c r="CM47" s="67"/>
      <c r="CN47" s="64">
        <f t="shared" si="110"/>
        <v>0</v>
      </c>
      <c r="CO47" s="64"/>
      <c r="CP47" s="64"/>
      <c r="CQ47" s="64"/>
      <c r="CR47" s="64"/>
      <c r="CS47" s="64">
        <f t="shared" si="111"/>
        <v>0</v>
      </c>
      <c r="CT47" s="64"/>
      <c r="CU47" s="64"/>
      <c r="CV47" s="64"/>
      <c r="CW47" s="64"/>
      <c r="CX47" s="64">
        <f t="shared" si="112"/>
        <v>0</v>
      </c>
      <c r="CY47" s="64">
        <f t="shared" si="113"/>
        <v>0</v>
      </c>
      <c r="CZ47" s="64">
        <f t="shared" si="113"/>
        <v>0</v>
      </c>
      <c r="DA47" s="64">
        <f t="shared" si="113"/>
        <v>0</v>
      </c>
      <c r="DB47" s="64">
        <f t="shared" si="113"/>
        <v>0</v>
      </c>
      <c r="DC47" s="64"/>
      <c r="DD47" s="64"/>
      <c r="DE47" s="64"/>
      <c r="DF47" s="64">
        <f t="shared" si="114"/>
        <v>0</v>
      </c>
      <c r="DH47" s="64">
        <f t="shared" si="115"/>
        <v>963.7</v>
      </c>
      <c r="DI47" s="64">
        <f t="shared" si="116"/>
        <v>963.7</v>
      </c>
      <c r="DK47" s="64"/>
      <c r="DL47" s="64"/>
      <c r="DN47" s="64"/>
      <c r="DQ47" s="64">
        <f t="shared" si="119"/>
        <v>963.7</v>
      </c>
      <c r="DR47" s="64"/>
      <c r="DS47" s="64">
        <f>419+544.7</f>
        <v>963.7</v>
      </c>
      <c r="DT47" s="64"/>
      <c r="DU47" s="64"/>
      <c r="DV47" s="64">
        <f t="shared" si="120"/>
        <v>0</v>
      </c>
      <c r="DW47" s="64"/>
      <c r="DX47" s="64"/>
      <c r="DY47" s="64"/>
      <c r="DZ47" s="64"/>
      <c r="EA47" s="375"/>
      <c r="EB47" s="375"/>
      <c r="EC47" s="375"/>
      <c r="ED47" s="375"/>
      <c r="EE47" s="375"/>
      <c r="EF47" s="375"/>
      <c r="EG47" s="375"/>
      <c r="EH47" s="375"/>
      <c r="EI47" s="375"/>
      <c r="EJ47" s="375"/>
      <c r="EK47" s="375"/>
      <c r="EL47" s="375"/>
      <c r="EM47" s="375"/>
      <c r="EN47" s="375"/>
      <c r="EO47" s="375"/>
      <c r="EP47" s="375"/>
      <c r="EQ47" s="375"/>
      <c r="ER47" s="375"/>
      <c r="ES47" s="375"/>
      <c r="ET47" s="375"/>
      <c r="EU47" s="375"/>
      <c r="EV47" s="375"/>
      <c r="EW47" s="375"/>
      <c r="EX47" s="375"/>
      <c r="EY47" s="375"/>
      <c r="EZ47" s="375"/>
      <c r="FA47" s="375"/>
      <c r="FB47" s="375"/>
      <c r="FC47" s="375"/>
      <c r="FD47" s="375"/>
      <c r="FE47" s="375"/>
      <c r="FF47" s="375"/>
      <c r="FG47" s="375"/>
      <c r="FH47" s="375"/>
      <c r="FI47" s="375"/>
      <c r="FJ47" s="375"/>
      <c r="FK47" s="375"/>
      <c r="FL47" s="375"/>
      <c r="FM47" s="375"/>
      <c r="FN47" s="375"/>
      <c r="FO47" s="375"/>
      <c r="FP47" s="375"/>
      <c r="FQ47" s="375"/>
      <c r="FR47" s="375"/>
      <c r="FS47" s="375"/>
      <c r="FT47" s="375"/>
      <c r="FU47" s="375"/>
      <c r="FV47" s="375"/>
      <c r="FW47" s="375"/>
      <c r="FX47" s="375"/>
      <c r="FY47" s="375"/>
      <c r="FZ47" s="375"/>
      <c r="GA47" s="375"/>
      <c r="GB47" s="375"/>
      <c r="GC47" s="375"/>
      <c r="GD47" s="375"/>
      <c r="GE47" s="375"/>
      <c r="GF47" s="375"/>
      <c r="GG47" s="375"/>
      <c r="GH47" s="375"/>
      <c r="GI47" s="375"/>
      <c r="GJ47" s="375"/>
      <c r="GK47" s="375"/>
      <c r="GL47" s="375"/>
      <c r="GM47" s="375"/>
      <c r="GN47" s="375"/>
      <c r="GO47" s="375"/>
      <c r="GP47" s="375"/>
      <c r="GQ47" s="375"/>
      <c r="GR47" s="375"/>
    </row>
    <row r="48" spans="1:200" s="61" customFormat="1" ht="15.75" customHeight="1" x14ac:dyDescent="0.3">
      <c r="A48" s="280"/>
      <c r="B48" s="281"/>
      <c r="C48" s="282">
        <v>1</v>
      </c>
      <c r="D48" s="282"/>
      <c r="E48" s="4">
        <v>36</v>
      </c>
      <c r="F48" s="281"/>
      <c r="G48" s="282">
        <v>1</v>
      </c>
      <c r="H48" s="282">
        <v>1</v>
      </c>
      <c r="I48" s="280"/>
      <c r="J48" s="280"/>
      <c r="K48" s="280"/>
      <c r="L48" s="280"/>
      <c r="M48" s="4">
        <v>35</v>
      </c>
      <c r="N48" s="62" t="s">
        <v>34</v>
      </c>
      <c r="O48" s="62" t="s">
        <v>450</v>
      </c>
      <c r="P48" s="62" t="s">
        <v>448</v>
      </c>
      <c r="Q48" s="60">
        <f t="shared" si="23"/>
        <v>0</v>
      </c>
      <c r="R48" s="60">
        <f t="shared" si="24"/>
        <v>0</v>
      </c>
      <c r="S48" s="60">
        <f t="shared" si="25"/>
        <v>91.988999999999578</v>
      </c>
      <c r="T48" s="60">
        <v>1</v>
      </c>
      <c r="U48" s="60">
        <v>2</v>
      </c>
      <c r="V48" s="80">
        <f t="shared" si="98"/>
        <v>5689.2120000000004</v>
      </c>
      <c r="W48" s="64"/>
      <c r="X48" s="65">
        <v>736</v>
      </c>
      <c r="Y48" s="64">
        <v>4953.2120000000004</v>
      </c>
      <c r="Z48" s="73"/>
      <c r="AA48" s="80">
        <f t="shared" si="99"/>
        <v>5736</v>
      </c>
      <c r="AB48" s="64"/>
      <c r="AC48" s="65">
        <v>736</v>
      </c>
      <c r="AD48" s="64">
        <v>5000</v>
      </c>
      <c r="AE48" s="73"/>
      <c r="AF48" s="80">
        <f t="shared" si="100"/>
        <v>736</v>
      </c>
      <c r="AG48" s="64"/>
      <c r="AH48" s="65">
        <v>736</v>
      </c>
      <c r="AI48" s="64"/>
      <c r="AJ48" s="73"/>
      <c r="AK48" s="80">
        <f t="shared" si="101"/>
        <v>320</v>
      </c>
      <c r="AL48" s="64"/>
      <c r="AM48" s="65">
        <v>320</v>
      </c>
      <c r="AN48" s="64"/>
      <c r="AO48" s="73"/>
      <c r="AP48" s="64" t="s">
        <v>444</v>
      </c>
      <c r="AQ48" s="64">
        <f t="shared" si="71"/>
        <v>5689.2119999999995</v>
      </c>
      <c r="AR48" s="64"/>
      <c r="AS48" s="65">
        <v>736</v>
      </c>
      <c r="AT48" s="64">
        <f>4456+497.212</f>
        <v>4953.2119999999995</v>
      </c>
      <c r="AU48" s="73"/>
      <c r="AV48" s="64">
        <f t="shared" si="9"/>
        <v>0</v>
      </c>
      <c r="AW48" s="64">
        <f t="shared" si="10"/>
        <v>0</v>
      </c>
      <c r="AX48" s="64">
        <f t="shared" si="11"/>
        <v>0</v>
      </c>
      <c r="AY48" s="64">
        <f t="shared" si="12"/>
        <v>0</v>
      </c>
      <c r="AZ48" s="64" t="e">
        <f>#REF!-AU48</f>
        <v>#REF!</v>
      </c>
      <c r="BA48" s="64">
        <f t="shared" si="102"/>
        <v>5689.2119999999995</v>
      </c>
      <c r="BB48" s="64"/>
      <c r="BC48" s="65">
        <v>736</v>
      </c>
      <c r="BD48" s="64">
        <f>4456+497.212</f>
        <v>4953.2119999999995</v>
      </c>
      <c r="BE48" s="73"/>
      <c r="BF48" s="64">
        <f t="shared" si="103"/>
        <v>0</v>
      </c>
      <c r="BG48" s="64"/>
      <c r="BH48" s="64"/>
      <c r="BI48" s="64"/>
      <c r="BJ48" s="73"/>
      <c r="BK48" s="64">
        <f t="shared" si="104"/>
        <v>5689.2119999999995</v>
      </c>
      <c r="BL48" s="64"/>
      <c r="BM48" s="65">
        <v>736</v>
      </c>
      <c r="BN48" s="64">
        <f>4456+497.212</f>
        <v>4953.2119999999995</v>
      </c>
      <c r="BO48" s="74"/>
      <c r="BP48" s="64">
        <f t="shared" si="105"/>
        <v>5597.223</v>
      </c>
      <c r="BQ48" s="64"/>
      <c r="BR48" s="64">
        <v>736</v>
      </c>
      <c r="BS48" s="64">
        <f>2322.366+813.302+1725.555</f>
        <v>4861.223</v>
      </c>
      <c r="BT48" s="74"/>
      <c r="BU48" s="64">
        <f t="shared" si="106"/>
        <v>2175.9289100000001</v>
      </c>
      <c r="BV48" s="64"/>
      <c r="BW48" s="64">
        <v>555.51958000000002</v>
      </c>
      <c r="BX48" s="64">
        <f>774.12281+271.10091+575.18561</f>
        <v>1620.40933</v>
      </c>
      <c r="BY48" s="64"/>
      <c r="BZ48" s="60">
        <f t="shared" si="107"/>
        <v>7773.1519100000005</v>
      </c>
      <c r="CA48" s="64">
        <f t="shared" si="13"/>
        <v>7773.1519100000005</v>
      </c>
      <c r="CB48" s="64">
        <f t="shared" si="14"/>
        <v>0</v>
      </c>
      <c r="CC48" s="64">
        <f t="shared" si="15"/>
        <v>1291.5195800000001</v>
      </c>
      <c r="CD48" s="64">
        <f t="shared" si="16"/>
        <v>6481.6323300000004</v>
      </c>
      <c r="CE48" s="64">
        <f t="shared" si="108"/>
        <v>0</v>
      </c>
      <c r="CF48" s="64">
        <f t="shared" si="17"/>
        <v>91.988999999999578</v>
      </c>
      <c r="CG48" s="64">
        <f t="shared" si="18"/>
        <v>0</v>
      </c>
      <c r="CH48" s="64">
        <f t="shared" si="19"/>
        <v>0</v>
      </c>
      <c r="CI48" s="64">
        <f t="shared" si="20"/>
        <v>91.988999999999578</v>
      </c>
      <c r="CJ48" s="64">
        <f t="shared" si="109"/>
        <v>0</v>
      </c>
      <c r="CK48" s="66"/>
      <c r="CL48" s="67"/>
      <c r="CM48" s="67"/>
      <c r="CN48" s="64">
        <f t="shared" si="110"/>
        <v>0</v>
      </c>
      <c r="CO48" s="64"/>
      <c r="CP48" s="64"/>
      <c r="CQ48" s="64"/>
      <c r="CR48" s="73"/>
      <c r="CS48" s="64">
        <f t="shared" si="111"/>
        <v>0</v>
      </c>
      <c r="CT48" s="64"/>
      <c r="CU48" s="64"/>
      <c r="CV48" s="64"/>
      <c r="CW48" s="73"/>
      <c r="CX48" s="64">
        <f t="shared" si="112"/>
        <v>0</v>
      </c>
      <c r="CY48" s="64">
        <f t="shared" si="113"/>
        <v>0</v>
      </c>
      <c r="CZ48" s="64">
        <f t="shared" si="113"/>
        <v>0</v>
      </c>
      <c r="DA48" s="64">
        <f t="shared" si="113"/>
        <v>0</v>
      </c>
      <c r="DB48" s="64">
        <f t="shared" si="113"/>
        <v>0</v>
      </c>
      <c r="DC48" s="64"/>
      <c r="DD48" s="64"/>
      <c r="DE48" s="64">
        <f>DC48-DD48</f>
        <v>0</v>
      </c>
      <c r="DF48" s="64">
        <f t="shared" si="114"/>
        <v>91.988999999999578</v>
      </c>
      <c r="DH48" s="64">
        <f t="shared" si="115"/>
        <v>5689.2119999999995</v>
      </c>
      <c r="DI48" s="64">
        <f t="shared" si="116"/>
        <v>5597.223</v>
      </c>
      <c r="DK48" s="64"/>
      <c r="DL48" s="64"/>
      <c r="DN48" s="64"/>
      <c r="DQ48" s="64">
        <f t="shared" si="119"/>
        <v>3058.366</v>
      </c>
      <c r="DR48" s="64"/>
      <c r="DS48" s="64">
        <v>736</v>
      </c>
      <c r="DT48" s="64">
        <v>2322.366</v>
      </c>
      <c r="DU48" s="74"/>
      <c r="DV48" s="64">
        <f t="shared" si="120"/>
        <v>1329.64239</v>
      </c>
      <c r="DW48" s="64"/>
      <c r="DX48" s="64">
        <v>555.51958000000002</v>
      </c>
      <c r="DY48" s="64">
        <v>774.12280999999996</v>
      </c>
      <c r="DZ48" s="64"/>
      <c r="EA48" s="375"/>
      <c r="EB48" s="375"/>
      <c r="EC48" s="375"/>
      <c r="ED48" s="375"/>
      <c r="EE48" s="375"/>
      <c r="EF48" s="375"/>
      <c r="EG48" s="375"/>
      <c r="EH48" s="375"/>
      <c r="EI48" s="375"/>
      <c r="EJ48" s="375"/>
      <c r="EK48" s="375"/>
      <c r="EL48" s="375"/>
      <c r="EM48" s="375"/>
      <c r="EN48" s="375"/>
      <c r="EO48" s="375"/>
      <c r="EP48" s="375"/>
      <c r="EQ48" s="375"/>
      <c r="ER48" s="375"/>
      <c r="ES48" s="375"/>
      <c r="ET48" s="375"/>
      <c r="EU48" s="375"/>
      <c r="EV48" s="375"/>
      <c r="EW48" s="375"/>
      <c r="EX48" s="375"/>
      <c r="EY48" s="375"/>
      <c r="EZ48" s="375"/>
      <c r="FA48" s="375"/>
      <c r="FB48" s="375"/>
      <c r="FC48" s="375"/>
      <c r="FD48" s="375"/>
      <c r="FE48" s="375"/>
      <c r="FF48" s="375"/>
      <c r="FG48" s="375"/>
      <c r="FH48" s="375"/>
      <c r="FI48" s="375"/>
      <c r="FJ48" s="375"/>
      <c r="FK48" s="375"/>
      <c r="FL48" s="375"/>
      <c r="FM48" s="375"/>
      <c r="FN48" s="375"/>
      <c r="FO48" s="375"/>
      <c r="FP48" s="375"/>
      <c r="FQ48" s="375"/>
      <c r="FR48" s="375"/>
      <c r="FS48" s="375"/>
      <c r="FT48" s="375"/>
      <c r="FU48" s="375"/>
      <c r="FV48" s="375"/>
      <c r="FW48" s="375"/>
      <c r="FX48" s="375"/>
      <c r="FY48" s="375"/>
      <c r="FZ48" s="375"/>
      <c r="GA48" s="375"/>
      <c r="GB48" s="375"/>
      <c r="GC48" s="375"/>
      <c r="GD48" s="375"/>
      <c r="GE48" s="375"/>
      <c r="GF48" s="375"/>
      <c r="GG48" s="375"/>
      <c r="GH48" s="375"/>
      <c r="GI48" s="375"/>
      <c r="GJ48" s="375"/>
      <c r="GK48" s="375"/>
      <c r="GL48" s="375"/>
      <c r="GM48" s="375"/>
      <c r="GN48" s="375"/>
      <c r="GO48" s="375"/>
      <c r="GP48" s="375"/>
      <c r="GQ48" s="375"/>
      <c r="GR48" s="375"/>
    </row>
    <row r="49" spans="1:200" s="61" customFormat="1" ht="15.75" customHeight="1" x14ac:dyDescent="0.3">
      <c r="A49" s="280"/>
      <c r="B49" s="281"/>
      <c r="C49" s="282"/>
      <c r="D49" s="282">
        <v>1</v>
      </c>
      <c r="E49" s="4">
        <v>37</v>
      </c>
      <c r="F49" s="281"/>
      <c r="G49" s="282"/>
      <c r="H49" s="282">
        <v>1</v>
      </c>
      <c r="I49" s="280"/>
      <c r="J49" s="280"/>
      <c r="K49" s="280"/>
      <c r="L49" s="280"/>
      <c r="M49" s="4">
        <v>36</v>
      </c>
      <c r="N49" s="62" t="s">
        <v>90</v>
      </c>
      <c r="O49" s="62" t="s">
        <v>448</v>
      </c>
      <c r="P49" s="62" t="s">
        <v>451</v>
      </c>
      <c r="Q49" s="60">
        <f t="shared" si="23"/>
        <v>0</v>
      </c>
      <c r="R49" s="60">
        <f t="shared" si="24"/>
        <v>43.11200000000008</v>
      </c>
      <c r="S49" s="60">
        <f t="shared" si="25"/>
        <v>0</v>
      </c>
      <c r="T49" s="60">
        <v>1</v>
      </c>
      <c r="U49" s="60">
        <v>3</v>
      </c>
      <c r="V49" s="80">
        <f t="shared" si="98"/>
        <v>2421.9</v>
      </c>
      <c r="W49" s="64"/>
      <c r="X49" s="65">
        <v>2421.9</v>
      </c>
      <c r="Y49" s="64"/>
      <c r="Z49" s="73"/>
      <c r="AA49" s="80">
        <f t="shared" si="99"/>
        <v>2421.9</v>
      </c>
      <c r="AB49" s="64"/>
      <c r="AC49" s="65">
        <v>2421.9</v>
      </c>
      <c r="AD49" s="64"/>
      <c r="AE49" s="73"/>
      <c r="AF49" s="80">
        <f t="shared" si="100"/>
        <v>2421.9</v>
      </c>
      <c r="AG49" s="64"/>
      <c r="AH49" s="65">
        <v>2421.9</v>
      </c>
      <c r="AI49" s="64"/>
      <c r="AJ49" s="73"/>
      <c r="AK49" s="80">
        <f t="shared" si="101"/>
        <v>1053</v>
      </c>
      <c r="AL49" s="64"/>
      <c r="AM49" s="65">
        <v>1053</v>
      </c>
      <c r="AN49" s="64"/>
      <c r="AO49" s="73"/>
      <c r="AP49" s="64" t="s">
        <v>548</v>
      </c>
      <c r="AQ49" s="64">
        <f t="shared" si="71"/>
        <v>2421.9</v>
      </c>
      <c r="AR49" s="64"/>
      <c r="AS49" s="65">
        <f>1053+1368.9</f>
        <v>2421.9</v>
      </c>
      <c r="AT49" s="64"/>
      <c r="AU49" s="64"/>
      <c r="AV49" s="64">
        <f t="shared" si="9"/>
        <v>0</v>
      </c>
      <c r="AW49" s="64">
        <f t="shared" si="10"/>
        <v>0</v>
      </c>
      <c r="AX49" s="64">
        <f t="shared" si="11"/>
        <v>0</v>
      </c>
      <c r="AY49" s="64">
        <f t="shared" si="12"/>
        <v>0</v>
      </c>
      <c r="AZ49" s="64" t="e">
        <f>#REF!-AU49</f>
        <v>#REF!</v>
      </c>
      <c r="BA49" s="64">
        <f t="shared" si="102"/>
        <v>2421.9</v>
      </c>
      <c r="BB49" s="64"/>
      <c r="BC49" s="65">
        <f>1053+1368.9</f>
        <v>2421.9</v>
      </c>
      <c r="BD49" s="64"/>
      <c r="BE49" s="64"/>
      <c r="BF49" s="64">
        <f t="shared" si="103"/>
        <v>0</v>
      </c>
      <c r="BG49" s="64"/>
      <c r="BH49" s="65"/>
      <c r="BI49" s="64"/>
      <c r="BJ49" s="64"/>
      <c r="BK49" s="64">
        <f t="shared" si="104"/>
        <v>2421.9</v>
      </c>
      <c r="BL49" s="64"/>
      <c r="BM49" s="65">
        <f>1053+1368.9</f>
        <v>2421.9</v>
      </c>
      <c r="BN49" s="64"/>
      <c r="BO49" s="64"/>
      <c r="BP49" s="64">
        <f t="shared" si="105"/>
        <v>2378.788</v>
      </c>
      <c r="BQ49" s="64"/>
      <c r="BR49" s="74">
        <f>930+796+548.756+104.032</f>
        <v>2378.788</v>
      </c>
      <c r="BS49" s="64"/>
      <c r="BT49" s="64"/>
      <c r="BU49" s="64">
        <f t="shared" si="106"/>
        <v>868.27536999999984</v>
      </c>
      <c r="BV49" s="64"/>
      <c r="BW49" s="64">
        <f>311.20998+265.43379+108.7121+182.9195</f>
        <v>868.27536999999984</v>
      </c>
      <c r="BX49" s="64"/>
      <c r="BY49" s="64"/>
      <c r="BZ49" s="60">
        <f t="shared" si="107"/>
        <v>3247.0633699999998</v>
      </c>
      <c r="CA49" s="64">
        <f t="shared" si="13"/>
        <v>3247.0633699999998</v>
      </c>
      <c r="CB49" s="64">
        <f t="shared" si="14"/>
        <v>0</v>
      </c>
      <c r="CC49" s="64">
        <f t="shared" si="15"/>
        <v>3247.0633699999998</v>
      </c>
      <c r="CD49" s="64">
        <f t="shared" si="16"/>
        <v>0</v>
      </c>
      <c r="CE49" s="64">
        <f t="shared" si="108"/>
        <v>0</v>
      </c>
      <c r="CF49" s="64">
        <f t="shared" si="17"/>
        <v>43.11200000000008</v>
      </c>
      <c r="CG49" s="64">
        <f t="shared" si="18"/>
        <v>0</v>
      </c>
      <c r="CH49" s="64">
        <f t="shared" si="19"/>
        <v>43.11200000000008</v>
      </c>
      <c r="CI49" s="64">
        <f t="shared" si="20"/>
        <v>0</v>
      </c>
      <c r="CJ49" s="64">
        <f t="shared" si="109"/>
        <v>0</v>
      </c>
      <c r="CK49" s="66"/>
      <c r="CL49" s="67"/>
      <c r="CM49" s="67"/>
      <c r="CN49" s="64">
        <f t="shared" si="110"/>
        <v>0</v>
      </c>
      <c r="CO49" s="64"/>
      <c r="CP49" s="65"/>
      <c r="CQ49" s="64"/>
      <c r="CR49" s="64"/>
      <c r="CS49" s="64">
        <f t="shared" si="111"/>
        <v>0</v>
      </c>
      <c r="CT49" s="64"/>
      <c r="CU49" s="65"/>
      <c r="CV49" s="64"/>
      <c r="CW49" s="64"/>
      <c r="CX49" s="64">
        <f t="shared" si="112"/>
        <v>0</v>
      </c>
      <c r="CY49" s="64">
        <f t="shared" si="113"/>
        <v>0</v>
      </c>
      <c r="CZ49" s="64">
        <f t="shared" si="113"/>
        <v>0</v>
      </c>
      <c r="DA49" s="64">
        <f t="shared" si="113"/>
        <v>0</v>
      </c>
      <c r="DB49" s="64">
        <f t="shared" si="113"/>
        <v>0</v>
      </c>
      <c r="DC49" s="64"/>
      <c r="DD49" s="64"/>
      <c r="DE49" s="64"/>
      <c r="DF49" s="64">
        <f t="shared" si="114"/>
        <v>43.11200000000008</v>
      </c>
      <c r="DH49" s="64">
        <f t="shared" si="115"/>
        <v>2421.9</v>
      </c>
      <c r="DI49" s="64">
        <f t="shared" si="116"/>
        <v>2378.788</v>
      </c>
      <c r="DK49" s="64"/>
      <c r="DL49" s="64"/>
      <c r="DN49" s="64"/>
      <c r="DQ49" s="64">
        <f t="shared" si="119"/>
        <v>2378.788</v>
      </c>
      <c r="DR49" s="64"/>
      <c r="DS49" s="74">
        <f>930+796+548.756+104.032</f>
        <v>2378.788</v>
      </c>
      <c r="DT49" s="64"/>
      <c r="DU49" s="64"/>
      <c r="DV49" s="64">
        <f t="shared" si="120"/>
        <v>576.64377000000002</v>
      </c>
      <c r="DW49" s="64"/>
      <c r="DX49" s="64">
        <v>576.64377000000002</v>
      </c>
      <c r="DY49" s="64"/>
      <c r="DZ49" s="64"/>
      <c r="EA49" s="375"/>
      <c r="EB49" s="375"/>
      <c r="EC49" s="375"/>
      <c r="ED49" s="375"/>
      <c r="EE49" s="375"/>
      <c r="EF49" s="375"/>
      <c r="EG49" s="375"/>
      <c r="EH49" s="375"/>
      <c r="EI49" s="375"/>
      <c r="EJ49" s="375"/>
      <c r="EK49" s="375"/>
      <c r="EL49" s="375"/>
      <c r="EM49" s="375"/>
      <c r="EN49" s="375"/>
      <c r="EO49" s="375"/>
      <c r="EP49" s="375"/>
      <c r="EQ49" s="375"/>
      <c r="ER49" s="375"/>
      <c r="ES49" s="375"/>
      <c r="ET49" s="375"/>
      <c r="EU49" s="375"/>
      <c r="EV49" s="375"/>
      <c r="EW49" s="375"/>
      <c r="EX49" s="375"/>
      <c r="EY49" s="375"/>
      <c r="EZ49" s="375"/>
      <c r="FA49" s="375"/>
      <c r="FB49" s="375"/>
      <c r="FC49" s="375"/>
      <c r="FD49" s="375"/>
      <c r="FE49" s="375"/>
      <c r="FF49" s="375"/>
      <c r="FG49" s="375"/>
      <c r="FH49" s="375"/>
      <c r="FI49" s="375"/>
      <c r="FJ49" s="375"/>
      <c r="FK49" s="375"/>
      <c r="FL49" s="375"/>
      <c r="FM49" s="375"/>
      <c r="FN49" s="375"/>
      <c r="FO49" s="375"/>
      <c r="FP49" s="375"/>
      <c r="FQ49" s="375"/>
      <c r="FR49" s="375"/>
      <c r="FS49" s="375"/>
      <c r="FT49" s="375"/>
      <c r="FU49" s="375"/>
      <c r="FV49" s="375"/>
      <c r="FW49" s="375"/>
      <c r="FX49" s="375"/>
      <c r="FY49" s="375"/>
      <c r="FZ49" s="375"/>
      <c r="GA49" s="375"/>
      <c r="GB49" s="375"/>
      <c r="GC49" s="375"/>
      <c r="GD49" s="375"/>
      <c r="GE49" s="375"/>
      <c r="GF49" s="375"/>
      <c r="GG49" s="375"/>
      <c r="GH49" s="375"/>
      <c r="GI49" s="375"/>
      <c r="GJ49" s="375"/>
      <c r="GK49" s="375"/>
      <c r="GL49" s="375"/>
      <c r="GM49" s="375"/>
      <c r="GN49" s="375"/>
      <c r="GO49" s="375"/>
      <c r="GP49" s="375"/>
      <c r="GQ49" s="375"/>
      <c r="GR49" s="375"/>
    </row>
    <row r="50" spans="1:200" s="61" customFormat="1" ht="15.75" customHeight="1" x14ac:dyDescent="0.3">
      <c r="A50" s="280"/>
      <c r="B50" s="281"/>
      <c r="C50" s="282"/>
      <c r="D50" s="282">
        <v>1</v>
      </c>
      <c r="E50" s="4">
        <v>38</v>
      </c>
      <c r="F50" s="281"/>
      <c r="G50" s="282"/>
      <c r="H50" s="282"/>
      <c r="I50" s="280"/>
      <c r="J50" s="280"/>
      <c r="K50" s="280"/>
      <c r="L50" s="280"/>
      <c r="M50" s="4">
        <v>37</v>
      </c>
      <c r="N50" s="62" t="s">
        <v>199</v>
      </c>
      <c r="O50" s="62" t="s">
        <v>448</v>
      </c>
      <c r="P50" s="62" t="s">
        <v>448</v>
      </c>
      <c r="Q50" s="60">
        <f t="shared" si="23"/>
        <v>0</v>
      </c>
      <c r="R50" s="60">
        <f t="shared" si="24"/>
        <v>0</v>
      </c>
      <c r="S50" s="60">
        <f t="shared" si="25"/>
        <v>0</v>
      </c>
      <c r="T50" s="60">
        <v>1</v>
      </c>
      <c r="U50" s="60">
        <v>2</v>
      </c>
      <c r="V50" s="80">
        <f t="shared" si="98"/>
        <v>1267.3</v>
      </c>
      <c r="W50" s="64"/>
      <c r="X50" s="65">
        <v>1267.3</v>
      </c>
      <c r="Y50" s="64"/>
      <c r="Z50" s="60"/>
      <c r="AA50" s="80">
        <f t="shared" si="99"/>
        <v>1267.3</v>
      </c>
      <c r="AB50" s="64"/>
      <c r="AC50" s="65">
        <v>1267.3</v>
      </c>
      <c r="AD50" s="64"/>
      <c r="AE50" s="60"/>
      <c r="AF50" s="80">
        <f t="shared" si="100"/>
        <v>1267.3</v>
      </c>
      <c r="AG50" s="64"/>
      <c r="AH50" s="65">
        <v>1267.3</v>
      </c>
      <c r="AI50" s="64"/>
      <c r="AJ50" s="60"/>
      <c r="AK50" s="80">
        <f t="shared" si="101"/>
        <v>551</v>
      </c>
      <c r="AL50" s="64"/>
      <c r="AM50" s="65">
        <v>551</v>
      </c>
      <c r="AN50" s="64"/>
      <c r="AO50" s="64"/>
      <c r="AP50" s="64" t="s">
        <v>512</v>
      </c>
      <c r="AQ50" s="64">
        <f t="shared" si="71"/>
        <v>1267.3</v>
      </c>
      <c r="AR50" s="64"/>
      <c r="AS50" s="65">
        <f>551+716.3</f>
        <v>1267.3</v>
      </c>
      <c r="AT50" s="64"/>
      <c r="AU50" s="64"/>
      <c r="AV50" s="64">
        <f t="shared" si="9"/>
        <v>0</v>
      </c>
      <c r="AW50" s="64">
        <f t="shared" si="10"/>
        <v>0</v>
      </c>
      <c r="AX50" s="64">
        <f t="shared" si="11"/>
        <v>0</v>
      </c>
      <c r="AY50" s="64">
        <f t="shared" si="12"/>
        <v>0</v>
      </c>
      <c r="AZ50" s="64" t="e">
        <f>#REF!-AU50</f>
        <v>#REF!</v>
      </c>
      <c r="BA50" s="64">
        <f t="shared" si="102"/>
        <v>1267.3</v>
      </c>
      <c r="BB50" s="64"/>
      <c r="BC50" s="65">
        <f>551+716.3</f>
        <v>1267.3</v>
      </c>
      <c r="BD50" s="64"/>
      <c r="BE50" s="64"/>
      <c r="BF50" s="64">
        <f t="shared" si="103"/>
        <v>0</v>
      </c>
      <c r="BG50" s="64"/>
      <c r="BH50" s="64"/>
      <c r="BI50" s="64"/>
      <c r="BJ50" s="64"/>
      <c r="BK50" s="64">
        <f t="shared" si="104"/>
        <v>1267.3</v>
      </c>
      <c r="BL50" s="64"/>
      <c r="BM50" s="65">
        <f>551+716.3</f>
        <v>1267.3</v>
      </c>
      <c r="BN50" s="64"/>
      <c r="BO50" s="64"/>
      <c r="BP50" s="64">
        <f t="shared" si="105"/>
        <v>1267.3</v>
      </c>
      <c r="BQ50" s="64"/>
      <c r="BR50" s="64">
        <f>551+716.3</f>
        <v>1267.3</v>
      </c>
      <c r="BS50" s="64"/>
      <c r="BT50" s="64"/>
      <c r="BU50" s="64">
        <f t="shared" si="106"/>
        <v>1393.9484400000001</v>
      </c>
      <c r="BV50" s="64"/>
      <c r="BW50" s="64">
        <f>1146.933+247.01544</f>
        <v>1393.9484400000001</v>
      </c>
      <c r="BX50" s="64"/>
      <c r="BY50" s="64"/>
      <c r="BZ50" s="60">
        <f t="shared" si="107"/>
        <v>2661.2484400000003</v>
      </c>
      <c r="CA50" s="64">
        <f t="shared" si="13"/>
        <v>2661.2484400000003</v>
      </c>
      <c r="CB50" s="64">
        <f t="shared" si="14"/>
        <v>0</v>
      </c>
      <c r="CC50" s="64">
        <f t="shared" si="15"/>
        <v>2661.2484400000003</v>
      </c>
      <c r="CD50" s="64">
        <f t="shared" si="16"/>
        <v>0</v>
      </c>
      <c r="CE50" s="64">
        <f t="shared" si="108"/>
        <v>0</v>
      </c>
      <c r="CF50" s="64">
        <f t="shared" si="17"/>
        <v>0</v>
      </c>
      <c r="CG50" s="64">
        <f t="shared" si="18"/>
        <v>0</v>
      </c>
      <c r="CH50" s="64">
        <f t="shared" si="19"/>
        <v>0</v>
      </c>
      <c r="CI50" s="64">
        <f t="shared" si="20"/>
        <v>0</v>
      </c>
      <c r="CJ50" s="64">
        <f t="shared" si="109"/>
        <v>0</v>
      </c>
      <c r="CK50" s="66"/>
      <c r="CL50" s="67"/>
      <c r="CM50" s="67"/>
      <c r="CN50" s="64">
        <f t="shared" si="110"/>
        <v>0</v>
      </c>
      <c r="CO50" s="64"/>
      <c r="CP50" s="64"/>
      <c r="CQ50" s="64"/>
      <c r="CR50" s="64"/>
      <c r="CS50" s="64">
        <f t="shared" si="111"/>
        <v>0</v>
      </c>
      <c r="CT50" s="64"/>
      <c r="CU50" s="64"/>
      <c r="CV50" s="64"/>
      <c r="CW50" s="64"/>
      <c r="CX50" s="64">
        <f t="shared" si="112"/>
        <v>0</v>
      </c>
      <c r="CY50" s="64">
        <f t="shared" si="113"/>
        <v>0</v>
      </c>
      <c r="CZ50" s="64">
        <f t="shared" si="113"/>
        <v>0</v>
      </c>
      <c r="DA50" s="64">
        <f t="shared" si="113"/>
        <v>0</v>
      </c>
      <c r="DB50" s="64">
        <f t="shared" si="113"/>
        <v>0</v>
      </c>
      <c r="DC50" s="64"/>
      <c r="DD50" s="64"/>
      <c r="DE50" s="64"/>
      <c r="DF50" s="64">
        <f t="shared" si="114"/>
        <v>0</v>
      </c>
      <c r="DH50" s="64">
        <f t="shared" si="115"/>
        <v>1267.3</v>
      </c>
      <c r="DI50" s="64">
        <f t="shared" si="116"/>
        <v>1267.3</v>
      </c>
      <c r="DK50" s="64"/>
      <c r="DL50" s="64"/>
      <c r="DN50" s="64"/>
      <c r="DQ50" s="64">
        <f t="shared" si="119"/>
        <v>1267.3</v>
      </c>
      <c r="DR50" s="64"/>
      <c r="DS50" s="64">
        <f>551+716.3</f>
        <v>1267.3</v>
      </c>
      <c r="DT50" s="64"/>
      <c r="DU50" s="64"/>
      <c r="DV50" s="64">
        <f t="shared" si="120"/>
        <v>0</v>
      </c>
      <c r="DW50" s="64"/>
      <c r="DX50" s="64"/>
      <c r="DY50" s="64"/>
      <c r="DZ50" s="64"/>
      <c r="EA50" s="375"/>
      <c r="EB50" s="375"/>
      <c r="EC50" s="375"/>
      <c r="ED50" s="375"/>
      <c r="EE50" s="375"/>
      <c r="EF50" s="375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  <c r="EV50" s="375"/>
      <c r="EW50" s="375"/>
      <c r="EX50" s="375"/>
      <c r="EY50" s="375"/>
      <c r="EZ50" s="375"/>
      <c r="FA50" s="375"/>
      <c r="FB50" s="375"/>
      <c r="FC50" s="375"/>
      <c r="FD50" s="375"/>
      <c r="FE50" s="375"/>
      <c r="FF50" s="375"/>
      <c r="FG50" s="375"/>
      <c r="FH50" s="375"/>
      <c r="FI50" s="375"/>
      <c r="FJ50" s="375"/>
      <c r="FK50" s="375"/>
      <c r="FL50" s="375"/>
      <c r="FM50" s="375"/>
      <c r="FN50" s="375"/>
      <c r="FO50" s="375"/>
      <c r="FP50" s="375"/>
      <c r="FQ50" s="375"/>
      <c r="FR50" s="375"/>
      <c r="FS50" s="375"/>
      <c r="FT50" s="375"/>
      <c r="FU50" s="375"/>
      <c r="FV50" s="375"/>
      <c r="FW50" s="375"/>
      <c r="FX50" s="375"/>
      <c r="FY50" s="375"/>
      <c r="FZ50" s="375"/>
      <c r="GA50" s="375"/>
      <c r="GB50" s="375"/>
      <c r="GC50" s="375"/>
      <c r="GD50" s="375"/>
      <c r="GE50" s="375"/>
      <c r="GF50" s="375"/>
      <c r="GG50" s="375"/>
      <c r="GH50" s="375"/>
      <c r="GI50" s="375"/>
      <c r="GJ50" s="375"/>
      <c r="GK50" s="375"/>
      <c r="GL50" s="375"/>
      <c r="GM50" s="375"/>
      <c r="GN50" s="375"/>
      <c r="GO50" s="375"/>
      <c r="GP50" s="375"/>
      <c r="GQ50" s="375"/>
      <c r="GR50" s="375"/>
    </row>
    <row r="51" spans="1:200" s="61" customFormat="1" ht="15.75" customHeight="1" x14ac:dyDescent="0.3">
      <c r="A51" s="280"/>
      <c r="B51" s="281"/>
      <c r="C51" s="282"/>
      <c r="D51" s="282">
        <v>1</v>
      </c>
      <c r="E51" s="4">
        <v>39</v>
      </c>
      <c r="F51" s="281"/>
      <c r="G51" s="282"/>
      <c r="H51" s="282">
        <v>1</v>
      </c>
      <c r="I51" s="280"/>
      <c r="J51" s="280"/>
      <c r="K51" s="280"/>
      <c r="L51" s="280"/>
      <c r="M51" s="4">
        <v>38</v>
      </c>
      <c r="N51" s="62" t="s">
        <v>91</v>
      </c>
      <c r="O51" s="62" t="s">
        <v>448</v>
      </c>
      <c r="P51" s="62" t="s">
        <v>450</v>
      </c>
      <c r="Q51" s="60">
        <f t="shared" si="23"/>
        <v>0</v>
      </c>
      <c r="R51" s="60">
        <f t="shared" si="24"/>
        <v>0.1220299999999952</v>
      </c>
      <c r="S51" s="60">
        <f t="shared" si="25"/>
        <v>0</v>
      </c>
      <c r="T51" s="60">
        <v>1</v>
      </c>
      <c r="U51" s="60">
        <v>2</v>
      </c>
      <c r="V51" s="80">
        <f t="shared" si="98"/>
        <v>24828</v>
      </c>
      <c r="W51" s="73">
        <v>24000</v>
      </c>
      <c r="X51" s="65">
        <v>828</v>
      </c>
      <c r="Y51" s="64"/>
      <c r="Z51" s="60"/>
      <c r="AA51" s="80">
        <f t="shared" si="99"/>
        <v>24828</v>
      </c>
      <c r="AB51" s="73">
        <v>24000</v>
      </c>
      <c r="AC51" s="65">
        <v>828</v>
      </c>
      <c r="AD51" s="64"/>
      <c r="AE51" s="60"/>
      <c r="AF51" s="80">
        <f t="shared" si="100"/>
        <v>828</v>
      </c>
      <c r="AG51" s="73"/>
      <c r="AH51" s="65">
        <v>828</v>
      </c>
      <c r="AI51" s="64"/>
      <c r="AJ51" s="60"/>
      <c r="AK51" s="80">
        <f t="shared" si="101"/>
        <v>360</v>
      </c>
      <c r="AL51" s="73"/>
      <c r="AM51" s="65">
        <v>360</v>
      </c>
      <c r="AN51" s="64"/>
      <c r="AO51" s="64"/>
      <c r="AP51" s="64" t="s">
        <v>456</v>
      </c>
      <c r="AQ51" s="64">
        <f t="shared" si="71"/>
        <v>24828</v>
      </c>
      <c r="AR51" s="73">
        <v>24000</v>
      </c>
      <c r="AS51" s="65">
        <v>828</v>
      </c>
      <c r="AT51" s="73"/>
      <c r="AU51" s="64"/>
      <c r="AV51" s="64">
        <f t="shared" si="9"/>
        <v>0</v>
      </c>
      <c r="AW51" s="64">
        <f t="shared" si="10"/>
        <v>0</v>
      </c>
      <c r="AX51" s="64">
        <f t="shared" si="11"/>
        <v>0</v>
      </c>
      <c r="AY51" s="64">
        <f t="shared" si="12"/>
        <v>0</v>
      </c>
      <c r="AZ51" s="64" t="e">
        <f>#REF!-AU51</f>
        <v>#REF!</v>
      </c>
      <c r="BA51" s="64">
        <f t="shared" si="102"/>
        <v>6557.0403200000001</v>
      </c>
      <c r="BB51" s="73">
        <f>1356.44289+1331.97887+3040.61856</f>
        <v>5729.0403200000001</v>
      </c>
      <c r="BC51" s="65">
        <v>828</v>
      </c>
      <c r="BD51" s="64"/>
      <c r="BE51" s="64"/>
      <c r="BF51" s="64">
        <f t="shared" si="103"/>
        <v>0</v>
      </c>
      <c r="BG51" s="73"/>
      <c r="BH51" s="73"/>
      <c r="BI51" s="64"/>
      <c r="BJ51" s="64"/>
      <c r="BK51" s="64">
        <f t="shared" si="104"/>
        <v>6557.0403200000001</v>
      </c>
      <c r="BL51" s="73">
        <f>1356.44289+1331.97887+3040.61856</f>
        <v>5729.0403200000001</v>
      </c>
      <c r="BM51" s="65">
        <v>828</v>
      </c>
      <c r="BN51" s="64"/>
      <c r="BO51" s="64"/>
      <c r="BP51" s="64">
        <f t="shared" si="105"/>
        <v>6556.9182899999996</v>
      </c>
      <c r="BQ51" s="74">
        <f>1356.44289+1331.97887+3040.61856</f>
        <v>5729.0403200000001</v>
      </c>
      <c r="BR51" s="74">
        <f>146.73467+256.58844+280.29386+73.088+71.173</f>
        <v>827.87797</v>
      </c>
      <c r="BS51" s="64"/>
      <c r="BT51" s="64"/>
      <c r="BU51" s="64">
        <f t="shared" si="106"/>
        <v>355.58791000000002</v>
      </c>
      <c r="BV51" s="64">
        <f>18.84139+18.36467+41.92256</f>
        <v>79.128619999999998</v>
      </c>
      <c r="BW51" s="64">
        <f>23.725+48.91156+93.93025+24.363+85.52948</f>
        <v>276.45929000000001</v>
      </c>
      <c r="BX51" s="64"/>
      <c r="BY51" s="64"/>
      <c r="BZ51" s="60">
        <f t="shared" si="107"/>
        <v>6912.5062000000007</v>
      </c>
      <c r="CA51" s="64">
        <f t="shared" si="13"/>
        <v>6912.5062000000007</v>
      </c>
      <c r="CB51" s="64">
        <f t="shared" si="14"/>
        <v>5808.1689400000005</v>
      </c>
      <c r="CC51" s="64">
        <f t="shared" si="15"/>
        <v>1104.33726</v>
      </c>
      <c r="CD51" s="64">
        <f t="shared" si="16"/>
        <v>0</v>
      </c>
      <c r="CE51" s="64">
        <f t="shared" si="108"/>
        <v>0</v>
      </c>
      <c r="CF51" s="64">
        <f t="shared" si="17"/>
        <v>0.1220299999999952</v>
      </c>
      <c r="CG51" s="64">
        <f t="shared" si="18"/>
        <v>0</v>
      </c>
      <c r="CH51" s="64">
        <f t="shared" si="19"/>
        <v>0.1220299999999952</v>
      </c>
      <c r="CI51" s="64">
        <f t="shared" si="20"/>
        <v>0</v>
      </c>
      <c r="CJ51" s="64">
        <f t="shared" si="109"/>
        <v>0</v>
      </c>
      <c r="CK51" s="66"/>
      <c r="CL51" s="67"/>
      <c r="CM51" s="67"/>
      <c r="CN51" s="64">
        <f t="shared" si="110"/>
        <v>0</v>
      </c>
      <c r="CO51" s="73"/>
      <c r="CP51" s="73"/>
      <c r="CQ51" s="64"/>
      <c r="CR51" s="64"/>
      <c r="CS51" s="64">
        <f t="shared" si="111"/>
        <v>0</v>
      </c>
      <c r="CT51" s="73"/>
      <c r="CU51" s="73"/>
      <c r="CV51" s="64"/>
      <c r="CW51" s="64"/>
      <c r="CX51" s="64">
        <f t="shared" si="112"/>
        <v>0</v>
      </c>
      <c r="CY51" s="64">
        <f t="shared" si="113"/>
        <v>0</v>
      </c>
      <c r="CZ51" s="64">
        <f t="shared" si="113"/>
        <v>0</v>
      </c>
      <c r="DA51" s="64">
        <f t="shared" si="113"/>
        <v>0</v>
      </c>
      <c r="DB51" s="64">
        <f t="shared" si="113"/>
        <v>0</v>
      </c>
      <c r="DC51" s="64"/>
      <c r="DD51" s="64"/>
      <c r="DE51" s="64"/>
      <c r="DF51" s="64">
        <f t="shared" si="114"/>
        <v>0.1220299999999952</v>
      </c>
      <c r="DH51" s="64">
        <f t="shared" si="115"/>
        <v>6557.0403200000001</v>
      </c>
      <c r="DI51" s="64">
        <f t="shared" si="116"/>
        <v>6556.9182899999996</v>
      </c>
      <c r="DK51" s="64"/>
      <c r="DL51" s="64"/>
      <c r="DN51" s="64"/>
      <c r="DQ51" s="64">
        <f t="shared" si="119"/>
        <v>6556.9182899999996</v>
      </c>
      <c r="DR51" s="73">
        <f>1356.44289+1331.97887+3040.61856</f>
        <v>5729.0403200000001</v>
      </c>
      <c r="DS51" s="74">
        <f>146.73467+256.58844+280.29386+73.088+71.173</f>
        <v>827.87797</v>
      </c>
      <c r="DT51" s="64"/>
      <c r="DU51" s="64"/>
      <c r="DV51" s="64">
        <f t="shared" si="120"/>
        <v>79.128619999999998</v>
      </c>
      <c r="DW51" s="64">
        <f>18.84139+18.36467+41.92256</f>
        <v>79.128619999999998</v>
      </c>
      <c r="DX51" s="64"/>
      <c r="DY51" s="64"/>
      <c r="DZ51" s="64"/>
      <c r="EA51" s="375"/>
      <c r="EB51" s="375"/>
      <c r="EC51" s="375"/>
      <c r="ED51" s="375"/>
      <c r="EE51" s="375"/>
      <c r="EF51" s="375"/>
      <c r="EG51" s="375"/>
      <c r="EH51" s="375"/>
      <c r="EI51" s="375"/>
      <c r="EJ51" s="375"/>
      <c r="EK51" s="375"/>
      <c r="EL51" s="375"/>
      <c r="EM51" s="375"/>
      <c r="EN51" s="375"/>
      <c r="EO51" s="375"/>
      <c r="EP51" s="375"/>
      <c r="EQ51" s="375"/>
      <c r="ER51" s="375"/>
      <c r="ES51" s="375"/>
      <c r="ET51" s="375"/>
      <c r="EU51" s="375"/>
      <c r="EV51" s="375"/>
      <c r="EW51" s="375"/>
      <c r="EX51" s="375"/>
      <c r="EY51" s="375"/>
      <c r="EZ51" s="375"/>
      <c r="FA51" s="375"/>
      <c r="FB51" s="375"/>
      <c r="FC51" s="375"/>
      <c r="FD51" s="375"/>
      <c r="FE51" s="375"/>
      <c r="FF51" s="375"/>
      <c r="FG51" s="375"/>
      <c r="FH51" s="375"/>
      <c r="FI51" s="375"/>
      <c r="FJ51" s="375"/>
      <c r="FK51" s="375"/>
      <c r="FL51" s="375"/>
      <c r="FM51" s="375"/>
      <c r="FN51" s="375"/>
      <c r="FO51" s="375"/>
      <c r="FP51" s="375"/>
      <c r="FQ51" s="375"/>
      <c r="FR51" s="375"/>
      <c r="FS51" s="375"/>
      <c r="FT51" s="375"/>
      <c r="FU51" s="375"/>
      <c r="FV51" s="375"/>
      <c r="FW51" s="375"/>
      <c r="FX51" s="375"/>
      <c r="FY51" s="375"/>
      <c r="FZ51" s="375"/>
      <c r="GA51" s="375"/>
      <c r="GB51" s="375"/>
      <c r="GC51" s="375"/>
      <c r="GD51" s="375"/>
      <c r="GE51" s="375"/>
      <c r="GF51" s="375"/>
      <c r="GG51" s="375"/>
      <c r="GH51" s="375"/>
      <c r="GI51" s="375"/>
      <c r="GJ51" s="375"/>
      <c r="GK51" s="375"/>
      <c r="GL51" s="375"/>
      <c r="GM51" s="375"/>
      <c r="GN51" s="375"/>
      <c r="GO51" s="375"/>
      <c r="GP51" s="375"/>
      <c r="GQ51" s="375"/>
      <c r="GR51" s="375"/>
    </row>
    <row r="52" spans="1:200" s="61" customFormat="1" ht="15.75" customHeight="1" x14ac:dyDescent="0.3">
      <c r="A52" s="280"/>
      <c r="B52" s="281"/>
      <c r="C52" s="282"/>
      <c r="D52" s="282">
        <v>1</v>
      </c>
      <c r="E52" s="4">
        <v>40</v>
      </c>
      <c r="F52" s="281"/>
      <c r="G52" s="282"/>
      <c r="H52" s="282"/>
      <c r="I52" s="280"/>
      <c r="J52" s="280"/>
      <c r="K52" s="280"/>
      <c r="L52" s="280"/>
      <c r="M52" s="4">
        <v>39</v>
      </c>
      <c r="N52" s="62" t="s">
        <v>317</v>
      </c>
      <c r="O52" s="62" t="s">
        <v>448</v>
      </c>
      <c r="P52" s="62" t="s">
        <v>448</v>
      </c>
      <c r="Q52" s="60">
        <f t="shared" si="23"/>
        <v>0</v>
      </c>
      <c r="R52" s="60">
        <f t="shared" si="24"/>
        <v>0</v>
      </c>
      <c r="S52" s="60">
        <f t="shared" si="25"/>
        <v>0</v>
      </c>
      <c r="T52" s="60">
        <v>1</v>
      </c>
      <c r="U52" s="60">
        <v>1</v>
      </c>
      <c r="V52" s="80">
        <f t="shared" si="98"/>
        <v>552</v>
      </c>
      <c r="W52" s="64"/>
      <c r="X52" s="65">
        <v>552</v>
      </c>
      <c r="Y52" s="64"/>
      <c r="Z52" s="60"/>
      <c r="AA52" s="80">
        <f t="shared" si="99"/>
        <v>552</v>
      </c>
      <c r="AB52" s="64"/>
      <c r="AC52" s="65">
        <v>552</v>
      </c>
      <c r="AD52" s="64"/>
      <c r="AE52" s="60"/>
      <c r="AF52" s="80">
        <f t="shared" si="100"/>
        <v>552</v>
      </c>
      <c r="AG52" s="64"/>
      <c r="AH52" s="65">
        <v>552</v>
      </c>
      <c r="AI52" s="64"/>
      <c r="AJ52" s="60"/>
      <c r="AK52" s="80">
        <f t="shared" si="101"/>
        <v>240</v>
      </c>
      <c r="AL52" s="64"/>
      <c r="AM52" s="65">
        <v>240</v>
      </c>
      <c r="AN52" s="64"/>
      <c r="AO52" s="64"/>
      <c r="AP52" s="64" t="s">
        <v>366</v>
      </c>
      <c r="AQ52" s="64">
        <f t="shared" si="71"/>
        <v>552</v>
      </c>
      <c r="AR52" s="64"/>
      <c r="AS52" s="65">
        <f>240+312</f>
        <v>552</v>
      </c>
      <c r="AT52" s="64"/>
      <c r="AU52" s="64"/>
      <c r="AV52" s="64">
        <f t="shared" si="9"/>
        <v>0</v>
      </c>
      <c r="AW52" s="64">
        <f t="shared" si="10"/>
        <v>0</v>
      </c>
      <c r="AX52" s="64">
        <f t="shared" si="11"/>
        <v>0</v>
      </c>
      <c r="AY52" s="64">
        <f t="shared" si="12"/>
        <v>0</v>
      </c>
      <c r="AZ52" s="64" t="e">
        <f>#REF!-AU52</f>
        <v>#REF!</v>
      </c>
      <c r="BA52" s="64">
        <f t="shared" si="102"/>
        <v>552</v>
      </c>
      <c r="BB52" s="64"/>
      <c r="BC52" s="65">
        <f>240+312</f>
        <v>552</v>
      </c>
      <c r="BD52" s="64"/>
      <c r="BE52" s="64"/>
      <c r="BF52" s="64">
        <f t="shared" si="103"/>
        <v>0</v>
      </c>
      <c r="BG52" s="64"/>
      <c r="BH52" s="64"/>
      <c r="BI52" s="64"/>
      <c r="BJ52" s="64"/>
      <c r="BK52" s="64">
        <f t="shared" si="104"/>
        <v>552</v>
      </c>
      <c r="BL52" s="64"/>
      <c r="BM52" s="65">
        <f>240+312</f>
        <v>552</v>
      </c>
      <c r="BN52" s="64"/>
      <c r="BO52" s="64"/>
      <c r="BP52" s="64">
        <f t="shared" si="105"/>
        <v>552</v>
      </c>
      <c r="BQ52" s="64"/>
      <c r="BR52" s="64">
        <v>552</v>
      </c>
      <c r="BS52" s="64"/>
      <c r="BT52" s="64"/>
      <c r="BU52" s="64">
        <f t="shared" si="106"/>
        <v>188.26599999999999</v>
      </c>
      <c r="BV52" s="25"/>
      <c r="BW52" s="25">
        <v>188.26599999999999</v>
      </c>
      <c r="BX52" s="25"/>
      <c r="BY52" s="64"/>
      <c r="BZ52" s="60">
        <f t="shared" si="107"/>
        <v>740.26599999999996</v>
      </c>
      <c r="CA52" s="64">
        <f t="shared" si="13"/>
        <v>740.26599999999996</v>
      </c>
      <c r="CB52" s="64">
        <f t="shared" si="14"/>
        <v>0</v>
      </c>
      <c r="CC52" s="64">
        <f t="shared" si="15"/>
        <v>740.26599999999996</v>
      </c>
      <c r="CD52" s="64">
        <f t="shared" si="16"/>
        <v>0</v>
      </c>
      <c r="CE52" s="64">
        <f t="shared" si="108"/>
        <v>0</v>
      </c>
      <c r="CF52" s="64">
        <f t="shared" si="17"/>
        <v>0</v>
      </c>
      <c r="CG52" s="64">
        <f t="shared" si="18"/>
        <v>0</v>
      </c>
      <c r="CH52" s="64">
        <f t="shared" si="19"/>
        <v>0</v>
      </c>
      <c r="CI52" s="64">
        <f t="shared" si="20"/>
        <v>0</v>
      </c>
      <c r="CJ52" s="64">
        <f t="shared" si="109"/>
        <v>0</v>
      </c>
      <c r="CK52" s="66"/>
      <c r="CL52" s="67"/>
      <c r="CM52" s="67"/>
      <c r="CN52" s="64">
        <f t="shared" si="110"/>
        <v>0</v>
      </c>
      <c r="CO52" s="64"/>
      <c r="CP52" s="64"/>
      <c r="CQ52" s="64"/>
      <c r="CR52" s="64"/>
      <c r="CS52" s="64">
        <f t="shared" si="111"/>
        <v>0</v>
      </c>
      <c r="CT52" s="64"/>
      <c r="CU52" s="64"/>
      <c r="CV52" s="64"/>
      <c r="CW52" s="64"/>
      <c r="CX52" s="64">
        <f t="shared" si="112"/>
        <v>0</v>
      </c>
      <c r="CY52" s="64">
        <f t="shared" si="113"/>
        <v>0</v>
      </c>
      <c r="CZ52" s="64">
        <f t="shared" si="113"/>
        <v>0</v>
      </c>
      <c r="DA52" s="64">
        <f t="shared" si="113"/>
        <v>0</v>
      </c>
      <c r="DB52" s="64">
        <f t="shared" si="113"/>
        <v>0</v>
      </c>
      <c r="DC52" s="64"/>
      <c r="DD52" s="64"/>
      <c r="DE52" s="64"/>
      <c r="DF52" s="64">
        <f t="shared" si="114"/>
        <v>0</v>
      </c>
      <c r="DH52" s="64">
        <f t="shared" si="115"/>
        <v>552</v>
      </c>
      <c r="DI52" s="64">
        <f t="shared" si="116"/>
        <v>552</v>
      </c>
      <c r="DK52" s="64"/>
      <c r="DL52" s="64"/>
      <c r="DN52" s="64"/>
      <c r="DQ52" s="64">
        <f t="shared" si="119"/>
        <v>552</v>
      </c>
      <c r="DR52" s="64"/>
      <c r="DS52" s="64">
        <v>552</v>
      </c>
      <c r="DT52" s="64"/>
      <c r="DU52" s="64"/>
      <c r="DV52" s="64">
        <f t="shared" si="120"/>
        <v>0</v>
      </c>
      <c r="DW52" s="64"/>
      <c r="DX52" s="64"/>
      <c r="DY52" s="64"/>
      <c r="DZ52" s="64"/>
      <c r="EA52" s="375"/>
      <c r="EB52" s="375"/>
      <c r="EC52" s="375"/>
      <c r="ED52" s="375"/>
      <c r="EE52" s="375"/>
      <c r="EF52" s="375"/>
      <c r="EG52" s="375"/>
      <c r="EH52" s="375"/>
      <c r="EI52" s="375"/>
      <c r="EJ52" s="375"/>
      <c r="EK52" s="375"/>
      <c r="EL52" s="375"/>
      <c r="EM52" s="375"/>
      <c r="EN52" s="375"/>
      <c r="EO52" s="375"/>
      <c r="EP52" s="375"/>
      <c r="EQ52" s="375"/>
      <c r="ER52" s="375"/>
      <c r="ES52" s="375"/>
      <c r="ET52" s="375"/>
      <c r="EU52" s="375"/>
      <c r="EV52" s="375"/>
      <c r="EW52" s="375"/>
      <c r="EX52" s="375"/>
      <c r="EY52" s="375"/>
      <c r="EZ52" s="375"/>
      <c r="FA52" s="375"/>
      <c r="FB52" s="375"/>
      <c r="FC52" s="375"/>
      <c r="FD52" s="375"/>
      <c r="FE52" s="375"/>
      <c r="FF52" s="375"/>
      <c r="FG52" s="375"/>
      <c r="FH52" s="375"/>
      <c r="FI52" s="375"/>
      <c r="FJ52" s="375"/>
      <c r="FK52" s="375"/>
      <c r="FL52" s="375"/>
      <c r="FM52" s="375"/>
      <c r="FN52" s="375"/>
      <c r="FO52" s="375"/>
      <c r="FP52" s="375"/>
      <c r="FQ52" s="375"/>
      <c r="FR52" s="375"/>
      <c r="FS52" s="375"/>
      <c r="FT52" s="375"/>
      <c r="FU52" s="375"/>
      <c r="FV52" s="375"/>
      <c r="FW52" s="375"/>
      <c r="FX52" s="375"/>
      <c r="FY52" s="375"/>
      <c r="FZ52" s="375"/>
      <c r="GA52" s="375"/>
      <c r="GB52" s="375"/>
      <c r="GC52" s="375"/>
      <c r="GD52" s="375"/>
      <c r="GE52" s="375"/>
      <c r="GF52" s="375"/>
      <c r="GG52" s="375"/>
      <c r="GH52" s="375"/>
      <c r="GI52" s="375"/>
      <c r="GJ52" s="375"/>
      <c r="GK52" s="375"/>
      <c r="GL52" s="375"/>
      <c r="GM52" s="375"/>
      <c r="GN52" s="375"/>
      <c r="GO52" s="375"/>
      <c r="GP52" s="375"/>
      <c r="GQ52" s="375"/>
      <c r="GR52" s="375"/>
    </row>
    <row r="53" spans="1:200" s="61" customFormat="1" ht="15.75" customHeight="1" x14ac:dyDescent="0.3">
      <c r="A53" s="280"/>
      <c r="B53" s="281"/>
      <c r="C53" s="282"/>
      <c r="D53" s="282">
        <v>1</v>
      </c>
      <c r="E53" s="4">
        <v>41</v>
      </c>
      <c r="F53" s="281"/>
      <c r="G53" s="282"/>
      <c r="H53" s="282">
        <v>1</v>
      </c>
      <c r="I53" s="280"/>
      <c r="J53" s="280"/>
      <c r="K53" s="280"/>
      <c r="L53" s="280"/>
      <c r="M53" s="4">
        <v>40</v>
      </c>
      <c r="N53" s="62" t="s">
        <v>164</v>
      </c>
      <c r="O53" s="62" t="s">
        <v>448</v>
      </c>
      <c r="P53" s="62" t="s">
        <v>448</v>
      </c>
      <c r="Q53" s="60">
        <f t="shared" si="23"/>
        <v>0</v>
      </c>
      <c r="R53" s="60">
        <f t="shared" si="24"/>
        <v>0</v>
      </c>
      <c r="S53" s="60">
        <f t="shared" si="25"/>
        <v>0</v>
      </c>
      <c r="T53" s="60">
        <v>1</v>
      </c>
      <c r="U53" s="60">
        <v>1</v>
      </c>
      <c r="V53" s="80">
        <f t="shared" si="98"/>
        <v>363.4</v>
      </c>
      <c r="W53" s="91"/>
      <c r="X53" s="65">
        <v>363.4</v>
      </c>
      <c r="Y53" s="64"/>
      <c r="Z53" s="73"/>
      <c r="AA53" s="80">
        <f t="shared" si="99"/>
        <v>363.4</v>
      </c>
      <c r="AB53" s="91"/>
      <c r="AC53" s="65">
        <v>363.4</v>
      </c>
      <c r="AD53" s="64"/>
      <c r="AE53" s="73"/>
      <c r="AF53" s="80">
        <f t="shared" si="100"/>
        <v>363.4</v>
      </c>
      <c r="AG53" s="91"/>
      <c r="AH53" s="65">
        <v>363.4</v>
      </c>
      <c r="AI53" s="64"/>
      <c r="AJ53" s="73"/>
      <c r="AK53" s="80">
        <f t="shared" si="101"/>
        <v>158</v>
      </c>
      <c r="AL53" s="91"/>
      <c r="AM53" s="65">
        <v>158</v>
      </c>
      <c r="AN53" s="64"/>
      <c r="AO53" s="73"/>
      <c r="AP53" s="64" t="s">
        <v>542</v>
      </c>
      <c r="AQ53" s="64">
        <f t="shared" si="71"/>
        <v>363.4</v>
      </c>
      <c r="AR53" s="64"/>
      <c r="AS53" s="65">
        <v>363.4</v>
      </c>
      <c r="AT53" s="64"/>
      <c r="AU53" s="64"/>
      <c r="AV53" s="64">
        <f t="shared" si="9"/>
        <v>0</v>
      </c>
      <c r="AW53" s="64">
        <f t="shared" si="10"/>
        <v>0</v>
      </c>
      <c r="AX53" s="64">
        <f t="shared" si="11"/>
        <v>0</v>
      </c>
      <c r="AY53" s="64">
        <f t="shared" si="12"/>
        <v>0</v>
      </c>
      <c r="AZ53" s="64" t="e">
        <f>#REF!-AU53</f>
        <v>#REF!</v>
      </c>
      <c r="BA53" s="64">
        <f t="shared" si="102"/>
        <v>363.4</v>
      </c>
      <c r="BB53" s="64"/>
      <c r="BC53" s="65">
        <v>363.4</v>
      </c>
      <c r="BD53" s="64"/>
      <c r="BE53" s="64"/>
      <c r="BF53" s="64">
        <f t="shared" si="103"/>
        <v>0</v>
      </c>
      <c r="BG53" s="64"/>
      <c r="BH53" s="65"/>
      <c r="BI53" s="64"/>
      <c r="BJ53" s="64"/>
      <c r="BK53" s="64">
        <f t="shared" si="104"/>
        <v>363.4</v>
      </c>
      <c r="BL53" s="64"/>
      <c r="BM53" s="65">
        <v>363.4</v>
      </c>
      <c r="BN53" s="64"/>
      <c r="BO53" s="64"/>
      <c r="BP53" s="64">
        <f t="shared" si="105"/>
        <v>363.4</v>
      </c>
      <c r="BQ53" s="64"/>
      <c r="BR53" s="74">
        <f>158+205.4</f>
        <v>363.4</v>
      </c>
      <c r="BS53" s="64"/>
      <c r="BT53" s="64"/>
      <c r="BU53" s="64">
        <f t="shared" si="106"/>
        <v>180.63614000000001</v>
      </c>
      <c r="BV53" s="25"/>
      <c r="BW53" s="25">
        <f>72.004+108.63214</f>
        <v>180.63614000000001</v>
      </c>
      <c r="BX53" s="25"/>
      <c r="BY53" s="64"/>
      <c r="BZ53" s="60">
        <f t="shared" si="107"/>
        <v>544.03613999999993</v>
      </c>
      <c r="CA53" s="64">
        <f t="shared" si="13"/>
        <v>544.03613999999993</v>
      </c>
      <c r="CB53" s="64">
        <f t="shared" si="14"/>
        <v>0</v>
      </c>
      <c r="CC53" s="64">
        <f t="shared" si="15"/>
        <v>544.03613999999993</v>
      </c>
      <c r="CD53" s="64">
        <f t="shared" si="16"/>
        <v>0</v>
      </c>
      <c r="CE53" s="64">
        <f t="shared" si="108"/>
        <v>0</v>
      </c>
      <c r="CF53" s="64">
        <f t="shared" si="17"/>
        <v>0</v>
      </c>
      <c r="CG53" s="64">
        <f t="shared" si="18"/>
        <v>0</v>
      </c>
      <c r="CH53" s="64">
        <f t="shared" si="19"/>
        <v>0</v>
      </c>
      <c r="CI53" s="64">
        <f t="shared" si="20"/>
        <v>0</v>
      </c>
      <c r="CJ53" s="64">
        <f t="shared" si="109"/>
        <v>0</v>
      </c>
      <c r="CK53" s="66"/>
      <c r="CL53" s="67"/>
      <c r="CM53" s="67"/>
      <c r="CN53" s="64">
        <f t="shared" si="110"/>
        <v>0</v>
      </c>
      <c r="CO53" s="64"/>
      <c r="CP53" s="65"/>
      <c r="CQ53" s="64"/>
      <c r="CR53" s="64"/>
      <c r="CS53" s="64">
        <f t="shared" si="111"/>
        <v>0</v>
      </c>
      <c r="CT53" s="64"/>
      <c r="CU53" s="65"/>
      <c r="CV53" s="64"/>
      <c r="CW53" s="64"/>
      <c r="CX53" s="64">
        <f t="shared" si="112"/>
        <v>0</v>
      </c>
      <c r="CY53" s="64">
        <f t="shared" si="113"/>
        <v>0</v>
      </c>
      <c r="CZ53" s="64">
        <f t="shared" si="113"/>
        <v>0</v>
      </c>
      <c r="DA53" s="64">
        <f t="shared" si="113"/>
        <v>0</v>
      </c>
      <c r="DB53" s="64">
        <f t="shared" si="113"/>
        <v>0</v>
      </c>
      <c r="DC53" s="64"/>
      <c r="DD53" s="64"/>
      <c r="DE53" s="64"/>
      <c r="DF53" s="64">
        <f t="shared" si="114"/>
        <v>0</v>
      </c>
      <c r="DH53" s="64">
        <f t="shared" si="115"/>
        <v>363.4</v>
      </c>
      <c r="DI53" s="64">
        <f t="shared" si="116"/>
        <v>363.4</v>
      </c>
      <c r="DK53" s="64"/>
      <c r="DL53" s="64"/>
      <c r="DN53" s="64"/>
      <c r="DQ53" s="64">
        <f t="shared" si="119"/>
        <v>363.4</v>
      </c>
      <c r="DR53" s="64"/>
      <c r="DS53" s="74">
        <f>158+205.4</f>
        <v>363.4</v>
      </c>
      <c r="DT53" s="64"/>
      <c r="DU53" s="64"/>
      <c r="DV53" s="64">
        <f t="shared" si="120"/>
        <v>0</v>
      </c>
      <c r="DW53" s="64"/>
      <c r="DX53" s="64"/>
      <c r="DY53" s="64"/>
      <c r="DZ53" s="64"/>
      <c r="EA53" s="375"/>
      <c r="EB53" s="375"/>
      <c r="EC53" s="375"/>
      <c r="ED53" s="375"/>
      <c r="EE53" s="375"/>
      <c r="EF53" s="375"/>
      <c r="EG53" s="375"/>
      <c r="EH53" s="375"/>
      <c r="EI53" s="375"/>
      <c r="EJ53" s="375"/>
      <c r="EK53" s="375"/>
      <c r="EL53" s="375"/>
      <c r="EM53" s="375"/>
      <c r="EN53" s="375"/>
      <c r="EO53" s="375"/>
      <c r="EP53" s="375"/>
      <c r="EQ53" s="375"/>
      <c r="ER53" s="375"/>
      <c r="ES53" s="375"/>
      <c r="ET53" s="375"/>
      <c r="EU53" s="375"/>
      <c r="EV53" s="375"/>
      <c r="EW53" s="375"/>
      <c r="EX53" s="375"/>
      <c r="EY53" s="375"/>
      <c r="EZ53" s="375"/>
      <c r="FA53" s="375"/>
      <c r="FB53" s="375"/>
      <c r="FC53" s="375"/>
      <c r="FD53" s="375"/>
      <c r="FE53" s="375"/>
      <c r="FF53" s="375"/>
      <c r="FG53" s="375"/>
      <c r="FH53" s="375"/>
      <c r="FI53" s="375"/>
      <c r="FJ53" s="375"/>
      <c r="FK53" s="375"/>
      <c r="FL53" s="375"/>
      <c r="FM53" s="375"/>
      <c r="FN53" s="375"/>
      <c r="FO53" s="375"/>
      <c r="FP53" s="375"/>
      <c r="FQ53" s="375"/>
      <c r="FR53" s="375"/>
      <c r="FS53" s="375"/>
      <c r="FT53" s="375"/>
      <c r="FU53" s="375"/>
      <c r="FV53" s="375"/>
      <c r="FW53" s="375"/>
      <c r="FX53" s="375"/>
      <c r="FY53" s="375"/>
      <c r="FZ53" s="375"/>
      <c r="GA53" s="375"/>
      <c r="GB53" s="375"/>
      <c r="GC53" s="375"/>
      <c r="GD53" s="375"/>
      <c r="GE53" s="375"/>
      <c r="GF53" s="375"/>
      <c r="GG53" s="375"/>
      <c r="GH53" s="375"/>
      <c r="GI53" s="375"/>
      <c r="GJ53" s="375"/>
      <c r="GK53" s="375"/>
      <c r="GL53" s="375"/>
      <c r="GM53" s="375"/>
      <c r="GN53" s="375"/>
      <c r="GO53" s="375"/>
      <c r="GP53" s="375"/>
      <c r="GQ53" s="375"/>
      <c r="GR53" s="375"/>
    </row>
    <row r="54" spans="1:200" s="61" customFormat="1" ht="15.75" customHeight="1" x14ac:dyDescent="0.3">
      <c r="A54" s="280"/>
      <c r="B54" s="281"/>
      <c r="C54" s="282">
        <v>1</v>
      </c>
      <c r="D54" s="282"/>
      <c r="E54" s="4">
        <v>42</v>
      </c>
      <c r="F54" s="281"/>
      <c r="G54" s="282">
        <v>1</v>
      </c>
      <c r="H54" s="282">
        <v>1</v>
      </c>
      <c r="I54" s="280"/>
      <c r="J54" s="280"/>
      <c r="K54" s="280"/>
      <c r="L54" s="280"/>
      <c r="M54" s="4">
        <v>41</v>
      </c>
      <c r="N54" s="62" t="s">
        <v>35</v>
      </c>
      <c r="O54" s="62" t="s">
        <v>448</v>
      </c>
      <c r="P54" s="62" t="s">
        <v>450</v>
      </c>
      <c r="Q54" s="60">
        <f t="shared" si="23"/>
        <v>0</v>
      </c>
      <c r="R54" s="60">
        <f t="shared" si="24"/>
        <v>38.906000000000176</v>
      </c>
      <c r="S54" s="60">
        <f t="shared" si="25"/>
        <v>614.21300000000338</v>
      </c>
      <c r="T54" s="60">
        <v>1</v>
      </c>
      <c r="U54" s="60">
        <v>5</v>
      </c>
      <c r="V54" s="80">
        <f t="shared" si="98"/>
        <v>16060.497000000001</v>
      </c>
      <c r="W54" s="64"/>
      <c r="X54" s="65">
        <v>1550.2</v>
      </c>
      <c r="Y54" s="73">
        <v>14510.297</v>
      </c>
      <c r="Z54" s="73"/>
      <c r="AA54" s="80">
        <f t="shared" si="99"/>
        <v>19140.653000000002</v>
      </c>
      <c r="AB54" s="64"/>
      <c r="AC54" s="65">
        <v>1550.2</v>
      </c>
      <c r="AD54" s="73">
        <v>17590.453000000001</v>
      </c>
      <c r="AE54" s="73"/>
      <c r="AF54" s="80">
        <f t="shared" si="100"/>
        <v>19387.813000000002</v>
      </c>
      <c r="AG54" s="64"/>
      <c r="AH54" s="65">
        <v>1550.2</v>
      </c>
      <c r="AI54" s="73">
        <v>17837.613000000001</v>
      </c>
      <c r="AJ54" s="73"/>
      <c r="AK54" s="80">
        <f t="shared" si="101"/>
        <v>18511.613000000001</v>
      </c>
      <c r="AL54" s="64"/>
      <c r="AM54" s="65">
        <v>674</v>
      </c>
      <c r="AN54" s="73">
        <v>17837.613000000001</v>
      </c>
      <c r="AO54" s="73"/>
      <c r="AP54" s="64" t="s">
        <v>458</v>
      </c>
      <c r="AQ54" s="64">
        <f t="shared" si="71"/>
        <v>16060.497000000003</v>
      </c>
      <c r="AR54" s="64"/>
      <c r="AS54" s="65">
        <f>674+876.2</f>
        <v>1550.2</v>
      </c>
      <c r="AT54" s="73">
        <f>16624.687+965.766-3080.156</f>
        <v>14510.297000000002</v>
      </c>
      <c r="AU54" s="73"/>
      <c r="AV54" s="64">
        <f t="shared" si="9"/>
        <v>0</v>
      </c>
      <c r="AW54" s="64">
        <f t="shared" si="10"/>
        <v>0</v>
      </c>
      <c r="AX54" s="64">
        <f t="shared" si="11"/>
        <v>0</v>
      </c>
      <c r="AY54" s="64">
        <f t="shared" si="12"/>
        <v>0</v>
      </c>
      <c r="AZ54" s="64" t="e">
        <f>#REF!-AU54</f>
        <v>#REF!</v>
      </c>
      <c r="BA54" s="64">
        <f t="shared" si="102"/>
        <v>16060.497000000003</v>
      </c>
      <c r="BB54" s="64"/>
      <c r="BC54" s="65">
        <f>674+876.2</f>
        <v>1550.2</v>
      </c>
      <c r="BD54" s="73">
        <f>16624.687+965.766-3080.156</f>
        <v>14510.297000000002</v>
      </c>
      <c r="BE54" s="73"/>
      <c r="BF54" s="64">
        <f t="shared" si="103"/>
        <v>0</v>
      </c>
      <c r="BG54" s="64"/>
      <c r="BH54" s="65"/>
      <c r="BI54" s="73"/>
      <c r="BJ54" s="73"/>
      <c r="BK54" s="64">
        <f t="shared" si="104"/>
        <v>16060.497000000003</v>
      </c>
      <c r="BL54" s="64"/>
      <c r="BM54" s="65">
        <f>674+876.2</f>
        <v>1550.2</v>
      </c>
      <c r="BN54" s="73">
        <f>16624.687+965.766-3080.156</f>
        <v>14510.297000000002</v>
      </c>
      <c r="BO54" s="74"/>
      <c r="BP54" s="64">
        <f t="shared" si="105"/>
        <v>15407.377999999999</v>
      </c>
      <c r="BQ54" s="64"/>
      <c r="BR54" s="74">
        <f>665.32632+845.96768</f>
        <v>1511.2939999999999</v>
      </c>
      <c r="BS54" s="74">
        <f>4554.766+6963.261+2378.057</f>
        <v>13896.083999999999</v>
      </c>
      <c r="BT54" s="74"/>
      <c r="BU54" s="64">
        <f t="shared" si="106"/>
        <v>5135.7947100000001</v>
      </c>
      <c r="BV54" s="64"/>
      <c r="BW54" s="64">
        <f>221.7755+281.98812</f>
        <v>503.76361999999995</v>
      </c>
      <c r="BX54" s="64">
        <f>700+418.25574+1321.08797+400+792.68738+1000</f>
        <v>4632.0310900000004</v>
      </c>
      <c r="BY54" s="64"/>
      <c r="BZ54" s="60">
        <f t="shared" si="107"/>
        <v>20543.172709999999</v>
      </c>
      <c r="CA54" s="64">
        <f t="shared" si="13"/>
        <v>20543.172709999999</v>
      </c>
      <c r="CB54" s="64">
        <f t="shared" si="14"/>
        <v>0</v>
      </c>
      <c r="CC54" s="64">
        <f t="shared" si="15"/>
        <v>2015.0576199999998</v>
      </c>
      <c r="CD54" s="64">
        <f t="shared" si="16"/>
        <v>18528.115089999999</v>
      </c>
      <c r="CE54" s="64">
        <f t="shared" si="108"/>
        <v>0</v>
      </c>
      <c r="CF54" s="64">
        <f t="shared" si="17"/>
        <v>653.11900000000355</v>
      </c>
      <c r="CG54" s="64">
        <f t="shared" si="18"/>
        <v>0</v>
      </c>
      <c r="CH54" s="64">
        <f t="shared" si="19"/>
        <v>38.906000000000176</v>
      </c>
      <c r="CI54" s="64">
        <f t="shared" si="20"/>
        <v>614.21300000000338</v>
      </c>
      <c r="CJ54" s="64">
        <f t="shared" si="109"/>
        <v>0</v>
      </c>
      <c r="CK54" s="66"/>
      <c r="CL54" s="67"/>
      <c r="CM54" s="67"/>
      <c r="CN54" s="64">
        <f t="shared" si="110"/>
        <v>0</v>
      </c>
      <c r="CO54" s="64"/>
      <c r="CP54" s="65"/>
      <c r="CQ54" s="73"/>
      <c r="CR54" s="73"/>
      <c r="CS54" s="64">
        <f t="shared" si="111"/>
        <v>0</v>
      </c>
      <c r="CT54" s="64"/>
      <c r="CU54" s="65"/>
      <c r="CV54" s="73"/>
      <c r="CW54" s="73"/>
      <c r="CX54" s="64">
        <f t="shared" si="112"/>
        <v>0</v>
      </c>
      <c r="CY54" s="64">
        <f t="shared" si="113"/>
        <v>0</v>
      </c>
      <c r="CZ54" s="64">
        <f t="shared" si="113"/>
        <v>0</v>
      </c>
      <c r="DA54" s="64">
        <f t="shared" si="113"/>
        <v>0</v>
      </c>
      <c r="DB54" s="64">
        <f t="shared" si="113"/>
        <v>0</v>
      </c>
      <c r="DC54" s="64"/>
      <c r="DD54" s="64"/>
      <c r="DE54" s="64"/>
      <c r="DF54" s="64">
        <f t="shared" si="114"/>
        <v>653.11900000000355</v>
      </c>
      <c r="DH54" s="64">
        <f t="shared" si="115"/>
        <v>16060.497000000003</v>
      </c>
      <c r="DI54" s="64">
        <f t="shared" si="116"/>
        <v>15407.377999999999</v>
      </c>
      <c r="DK54" s="64"/>
      <c r="DL54" s="64"/>
      <c r="DN54" s="64"/>
      <c r="DQ54" s="64">
        <f t="shared" si="119"/>
        <v>15407.377999999999</v>
      </c>
      <c r="DR54" s="64"/>
      <c r="DS54" s="74">
        <f>665.32632+845.96768</f>
        <v>1511.2939999999999</v>
      </c>
      <c r="DT54" s="74">
        <f>4554.766+6963.261+2378.057</f>
        <v>13896.083999999999</v>
      </c>
      <c r="DU54" s="74"/>
      <c r="DV54" s="64">
        <f t="shared" si="120"/>
        <v>4853.8065900000001</v>
      </c>
      <c r="DW54" s="64"/>
      <c r="DX54" s="64">
        <v>221.77549999999999</v>
      </c>
      <c r="DY54" s="64">
        <v>4632.0310900000004</v>
      </c>
      <c r="DZ54" s="64"/>
      <c r="EA54" s="375"/>
      <c r="EB54" s="375"/>
      <c r="EC54" s="375"/>
      <c r="ED54" s="375"/>
      <c r="EE54" s="375"/>
      <c r="EF54" s="375"/>
      <c r="EG54" s="375"/>
      <c r="EH54" s="375"/>
      <c r="EI54" s="375"/>
      <c r="EJ54" s="375"/>
      <c r="EK54" s="375"/>
      <c r="EL54" s="375"/>
      <c r="EM54" s="375"/>
      <c r="EN54" s="375"/>
      <c r="EO54" s="375"/>
      <c r="EP54" s="375"/>
      <c r="EQ54" s="375"/>
      <c r="ER54" s="375"/>
      <c r="ES54" s="375"/>
      <c r="ET54" s="375"/>
      <c r="EU54" s="375"/>
      <c r="EV54" s="375"/>
      <c r="EW54" s="375"/>
      <c r="EX54" s="375"/>
      <c r="EY54" s="375"/>
      <c r="EZ54" s="375"/>
      <c r="FA54" s="375"/>
      <c r="FB54" s="375"/>
      <c r="FC54" s="375"/>
      <c r="FD54" s="375"/>
      <c r="FE54" s="375"/>
      <c r="FF54" s="375"/>
      <c r="FG54" s="375"/>
      <c r="FH54" s="375"/>
      <c r="FI54" s="375"/>
      <c r="FJ54" s="375"/>
      <c r="FK54" s="375"/>
      <c r="FL54" s="375"/>
      <c r="FM54" s="375"/>
      <c r="FN54" s="375"/>
      <c r="FO54" s="375"/>
      <c r="FP54" s="375"/>
      <c r="FQ54" s="375"/>
      <c r="FR54" s="375"/>
      <c r="FS54" s="375"/>
      <c r="FT54" s="375"/>
      <c r="FU54" s="375"/>
      <c r="FV54" s="375"/>
      <c r="FW54" s="375"/>
      <c r="FX54" s="375"/>
      <c r="FY54" s="375"/>
      <c r="FZ54" s="375"/>
      <c r="GA54" s="375"/>
      <c r="GB54" s="375"/>
      <c r="GC54" s="375"/>
      <c r="GD54" s="375"/>
      <c r="GE54" s="375"/>
      <c r="GF54" s="375"/>
      <c r="GG54" s="375"/>
      <c r="GH54" s="375"/>
      <c r="GI54" s="375"/>
      <c r="GJ54" s="375"/>
      <c r="GK54" s="375"/>
      <c r="GL54" s="375"/>
      <c r="GM54" s="375"/>
      <c r="GN54" s="375"/>
      <c r="GO54" s="375"/>
      <c r="GP54" s="375"/>
      <c r="GQ54" s="375"/>
      <c r="GR54" s="375"/>
    </row>
    <row r="55" spans="1:200" s="61" customFormat="1" ht="15.75" customHeight="1" x14ac:dyDescent="0.3">
      <c r="A55" s="280"/>
      <c r="B55" s="281"/>
      <c r="C55" s="282"/>
      <c r="D55" s="282">
        <v>1</v>
      </c>
      <c r="E55" s="4">
        <v>43</v>
      </c>
      <c r="F55" s="281"/>
      <c r="G55" s="282"/>
      <c r="H55" s="282">
        <v>1</v>
      </c>
      <c r="I55" s="280"/>
      <c r="J55" s="280"/>
      <c r="K55" s="280"/>
      <c r="L55" s="280"/>
      <c r="M55" s="4">
        <v>42</v>
      </c>
      <c r="N55" s="62" t="s">
        <v>92</v>
      </c>
      <c r="O55" s="62" t="s">
        <v>448</v>
      </c>
      <c r="P55" s="62" t="s">
        <v>448</v>
      </c>
      <c r="Q55" s="60">
        <f t="shared" si="23"/>
        <v>0</v>
      </c>
      <c r="R55" s="60">
        <f t="shared" si="24"/>
        <v>0.74580999999994901</v>
      </c>
      <c r="S55" s="60">
        <f t="shared" si="25"/>
        <v>0</v>
      </c>
      <c r="T55" s="60">
        <v>1</v>
      </c>
      <c r="U55" s="60">
        <v>1</v>
      </c>
      <c r="V55" s="80">
        <f t="shared" si="98"/>
        <v>282.89999999999998</v>
      </c>
      <c r="W55" s="64"/>
      <c r="X55" s="65">
        <v>282.89999999999998</v>
      </c>
      <c r="Y55" s="64"/>
      <c r="Z55" s="73"/>
      <c r="AA55" s="80">
        <f t="shared" si="99"/>
        <v>282.89999999999998</v>
      </c>
      <c r="AB55" s="64"/>
      <c r="AC55" s="65">
        <v>282.89999999999998</v>
      </c>
      <c r="AD55" s="64"/>
      <c r="AE55" s="73"/>
      <c r="AF55" s="80">
        <f t="shared" si="100"/>
        <v>282.89999999999998</v>
      </c>
      <c r="AG55" s="64"/>
      <c r="AH55" s="65">
        <v>282.89999999999998</v>
      </c>
      <c r="AI55" s="64"/>
      <c r="AJ55" s="73"/>
      <c r="AK55" s="80">
        <f t="shared" si="101"/>
        <v>123</v>
      </c>
      <c r="AL55" s="64"/>
      <c r="AM55" s="65">
        <v>123</v>
      </c>
      <c r="AN55" s="64"/>
      <c r="AO55" s="73"/>
      <c r="AP55" s="64" t="s">
        <v>484</v>
      </c>
      <c r="AQ55" s="64">
        <f t="shared" si="71"/>
        <v>282.89999999999998</v>
      </c>
      <c r="AR55" s="64"/>
      <c r="AS55" s="65">
        <v>282.89999999999998</v>
      </c>
      <c r="AT55" s="64"/>
      <c r="AU55" s="64"/>
      <c r="AV55" s="64">
        <f t="shared" si="9"/>
        <v>0</v>
      </c>
      <c r="AW55" s="64">
        <f t="shared" si="10"/>
        <v>0</v>
      </c>
      <c r="AX55" s="64">
        <f t="shared" si="11"/>
        <v>0</v>
      </c>
      <c r="AY55" s="64">
        <f t="shared" si="12"/>
        <v>0</v>
      </c>
      <c r="AZ55" s="64" t="e">
        <f>#REF!-AU55</f>
        <v>#REF!</v>
      </c>
      <c r="BA55" s="64">
        <f t="shared" si="102"/>
        <v>282.89999999999998</v>
      </c>
      <c r="BB55" s="64"/>
      <c r="BC55" s="65">
        <v>282.89999999999998</v>
      </c>
      <c r="BD55" s="64"/>
      <c r="BE55" s="64"/>
      <c r="BF55" s="64">
        <f t="shared" si="103"/>
        <v>0</v>
      </c>
      <c r="BG55" s="64"/>
      <c r="BH55" s="65"/>
      <c r="BI55" s="64"/>
      <c r="BJ55" s="64"/>
      <c r="BK55" s="64">
        <f t="shared" si="104"/>
        <v>282.89999999999998</v>
      </c>
      <c r="BL55" s="64"/>
      <c r="BM55" s="65">
        <v>282.89999999999998</v>
      </c>
      <c r="BN55" s="64"/>
      <c r="BO55" s="64"/>
      <c r="BP55" s="64">
        <f t="shared" si="105"/>
        <v>282.15419000000003</v>
      </c>
      <c r="BQ55" s="64"/>
      <c r="BR55" s="74">
        <v>282.15419000000003</v>
      </c>
      <c r="BS55" s="64"/>
      <c r="BT55" s="64"/>
      <c r="BU55" s="64">
        <f t="shared" si="106"/>
        <v>96.422809999999998</v>
      </c>
      <c r="BV55" s="64"/>
      <c r="BW55" s="64">
        <v>96.422809999999998</v>
      </c>
      <c r="BX55" s="64"/>
      <c r="BY55" s="64"/>
      <c r="BZ55" s="60">
        <f t="shared" si="107"/>
        <v>378.577</v>
      </c>
      <c r="CA55" s="64">
        <f t="shared" si="13"/>
        <v>378.577</v>
      </c>
      <c r="CB55" s="64">
        <f t="shared" si="14"/>
        <v>0</v>
      </c>
      <c r="CC55" s="64">
        <f t="shared" si="15"/>
        <v>378.577</v>
      </c>
      <c r="CD55" s="64">
        <f t="shared" si="16"/>
        <v>0</v>
      </c>
      <c r="CE55" s="64">
        <f t="shared" si="108"/>
        <v>0</v>
      </c>
      <c r="CF55" s="64">
        <f t="shared" si="17"/>
        <v>0.74580999999994901</v>
      </c>
      <c r="CG55" s="64">
        <f t="shared" si="18"/>
        <v>0</v>
      </c>
      <c r="CH55" s="64">
        <f t="shared" si="19"/>
        <v>0.74580999999994901</v>
      </c>
      <c r="CI55" s="64">
        <f t="shared" si="20"/>
        <v>0</v>
      </c>
      <c r="CJ55" s="64">
        <f t="shared" si="109"/>
        <v>0</v>
      </c>
      <c r="CK55" s="66"/>
      <c r="CL55" s="67"/>
      <c r="CM55" s="67"/>
      <c r="CN55" s="64">
        <f t="shared" si="110"/>
        <v>0</v>
      </c>
      <c r="CO55" s="64"/>
      <c r="CP55" s="65"/>
      <c r="CQ55" s="64"/>
      <c r="CR55" s="64"/>
      <c r="CS55" s="64">
        <f t="shared" si="111"/>
        <v>0</v>
      </c>
      <c r="CT55" s="64"/>
      <c r="CU55" s="65"/>
      <c r="CV55" s="64"/>
      <c r="CW55" s="64"/>
      <c r="CX55" s="64">
        <f t="shared" si="112"/>
        <v>0</v>
      </c>
      <c r="CY55" s="64">
        <f t="shared" si="113"/>
        <v>0</v>
      </c>
      <c r="CZ55" s="64">
        <f t="shared" si="113"/>
        <v>0</v>
      </c>
      <c r="DA55" s="64">
        <f t="shared" si="113"/>
        <v>0</v>
      </c>
      <c r="DB55" s="64">
        <f t="shared" si="113"/>
        <v>0</v>
      </c>
      <c r="DC55" s="64"/>
      <c r="DD55" s="64"/>
      <c r="DE55" s="64"/>
      <c r="DF55" s="64">
        <f t="shared" si="114"/>
        <v>0.74580999999994901</v>
      </c>
      <c r="DH55" s="64">
        <f t="shared" si="115"/>
        <v>282.89999999999998</v>
      </c>
      <c r="DI55" s="64">
        <f t="shared" si="116"/>
        <v>282.15419000000003</v>
      </c>
      <c r="DK55" s="64"/>
      <c r="DL55" s="64"/>
      <c r="DN55" s="64"/>
      <c r="DQ55" s="64">
        <f t="shared" si="119"/>
        <v>282.15419000000003</v>
      </c>
      <c r="DR55" s="64"/>
      <c r="DS55" s="74">
        <v>282.15419000000003</v>
      </c>
      <c r="DT55" s="64"/>
      <c r="DU55" s="64"/>
      <c r="DV55" s="64">
        <f t="shared" si="120"/>
        <v>0</v>
      </c>
      <c r="DW55" s="64"/>
      <c r="DX55" s="64"/>
      <c r="DY55" s="64"/>
      <c r="DZ55" s="64"/>
      <c r="EA55" s="375"/>
      <c r="EB55" s="375"/>
      <c r="EC55" s="375"/>
      <c r="ED55" s="375"/>
      <c r="EE55" s="375"/>
      <c r="EF55" s="375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  <c r="EV55" s="375"/>
      <c r="EW55" s="375"/>
      <c r="EX55" s="375"/>
      <c r="EY55" s="375"/>
      <c r="EZ55" s="375"/>
      <c r="FA55" s="375"/>
      <c r="FB55" s="375"/>
      <c r="FC55" s="375"/>
      <c r="FD55" s="375"/>
      <c r="FE55" s="375"/>
      <c r="FF55" s="375"/>
      <c r="FG55" s="375"/>
      <c r="FH55" s="375"/>
      <c r="FI55" s="375"/>
      <c r="FJ55" s="375"/>
      <c r="FK55" s="375"/>
      <c r="FL55" s="375"/>
      <c r="FM55" s="375"/>
      <c r="FN55" s="375"/>
      <c r="FO55" s="375"/>
      <c r="FP55" s="375"/>
      <c r="FQ55" s="375"/>
      <c r="FR55" s="375"/>
      <c r="FS55" s="375"/>
      <c r="FT55" s="375"/>
      <c r="FU55" s="375"/>
      <c r="FV55" s="375"/>
      <c r="FW55" s="375"/>
      <c r="FX55" s="375"/>
      <c r="FY55" s="375"/>
      <c r="FZ55" s="375"/>
      <c r="GA55" s="375"/>
      <c r="GB55" s="375"/>
      <c r="GC55" s="375"/>
      <c r="GD55" s="375"/>
      <c r="GE55" s="375"/>
      <c r="GF55" s="375"/>
      <c r="GG55" s="375"/>
      <c r="GH55" s="375"/>
      <c r="GI55" s="375"/>
      <c r="GJ55" s="375"/>
      <c r="GK55" s="375"/>
      <c r="GL55" s="375"/>
      <c r="GM55" s="375"/>
      <c r="GN55" s="375"/>
      <c r="GO55" s="375"/>
      <c r="GP55" s="375"/>
      <c r="GQ55" s="375"/>
      <c r="GR55" s="375"/>
    </row>
    <row r="56" spans="1:200" s="61" customFormat="1" ht="15.6" customHeight="1" x14ac:dyDescent="0.3">
      <c r="A56" s="280"/>
      <c r="B56" s="281"/>
      <c r="C56" s="282"/>
      <c r="D56" s="282">
        <v>1</v>
      </c>
      <c r="E56" s="4">
        <v>44</v>
      </c>
      <c r="F56" s="281"/>
      <c r="G56" s="282"/>
      <c r="H56" s="282">
        <v>1</v>
      </c>
      <c r="I56" s="280"/>
      <c r="J56" s="280"/>
      <c r="K56" s="280"/>
      <c r="L56" s="280"/>
      <c r="M56" s="4">
        <v>43</v>
      </c>
      <c r="N56" s="62" t="s">
        <v>165</v>
      </c>
      <c r="O56" s="62" t="s">
        <v>450</v>
      </c>
      <c r="P56" s="62" t="s">
        <v>448</v>
      </c>
      <c r="Q56" s="60">
        <f t="shared" si="23"/>
        <v>0</v>
      </c>
      <c r="R56" s="60">
        <f t="shared" si="24"/>
        <v>448.72851000000003</v>
      </c>
      <c r="S56" s="60">
        <f t="shared" si="25"/>
        <v>0</v>
      </c>
      <c r="T56" s="60">
        <v>1</v>
      </c>
      <c r="U56" s="60">
        <v>2</v>
      </c>
      <c r="V56" s="80">
        <f t="shared" si="98"/>
        <v>890.1</v>
      </c>
      <c r="W56" s="64"/>
      <c r="X56" s="65">
        <v>890.1</v>
      </c>
      <c r="Y56" s="64"/>
      <c r="Z56" s="60"/>
      <c r="AA56" s="80">
        <f t="shared" si="99"/>
        <v>890.1</v>
      </c>
      <c r="AB56" s="64"/>
      <c r="AC56" s="65">
        <v>890.1</v>
      </c>
      <c r="AD56" s="64"/>
      <c r="AE56" s="60"/>
      <c r="AF56" s="80">
        <f t="shared" si="100"/>
        <v>890.1</v>
      </c>
      <c r="AG56" s="64"/>
      <c r="AH56" s="65">
        <v>890.1</v>
      </c>
      <c r="AI56" s="64"/>
      <c r="AJ56" s="60"/>
      <c r="AK56" s="80">
        <f t="shared" si="101"/>
        <v>387</v>
      </c>
      <c r="AL56" s="64"/>
      <c r="AM56" s="65">
        <v>387</v>
      </c>
      <c r="AN56" s="64"/>
      <c r="AO56" s="64"/>
      <c r="AP56" s="64" t="s">
        <v>544</v>
      </c>
      <c r="AQ56" s="64">
        <f t="shared" si="71"/>
        <v>890.1</v>
      </c>
      <c r="AR56" s="64"/>
      <c r="AS56" s="65">
        <f>387+503.1</f>
        <v>890.1</v>
      </c>
      <c r="AT56" s="64"/>
      <c r="AU56" s="64"/>
      <c r="AV56" s="64">
        <f t="shared" si="9"/>
        <v>0</v>
      </c>
      <c r="AW56" s="64">
        <f t="shared" si="10"/>
        <v>0</v>
      </c>
      <c r="AX56" s="64">
        <f t="shared" si="11"/>
        <v>0</v>
      </c>
      <c r="AY56" s="64">
        <f t="shared" si="12"/>
        <v>0</v>
      </c>
      <c r="AZ56" s="64" t="e">
        <f>#REF!-AU56</f>
        <v>#REF!</v>
      </c>
      <c r="BA56" s="64">
        <f t="shared" si="102"/>
        <v>890.1</v>
      </c>
      <c r="BB56" s="64"/>
      <c r="BC56" s="65">
        <f>387+503.1</f>
        <v>890.1</v>
      </c>
      <c r="BD56" s="64"/>
      <c r="BE56" s="64"/>
      <c r="BF56" s="64">
        <f t="shared" si="103"/>
        <v>0</v>
      </c>
      <c r="BG56" s="64"/>
      <c r="BH56" s="65"/>
      <c r="BI56" s="64"/>
      <c r="BJ56" s="64"/>
      <c r="BK56" s="64">
        <f t="shared" si="104"/>
        <v>890.1</v>
      </c>
      <c r="BL56" s="64"/>
      <c r="BM56" s="65">
        <f>387+503.1</f>
        <v>890.1</v>
      </c>
      <c r="BN56" s="64"/>
      <c r="BO56" s="64"/>
      <c r="BP56" s="64">
        <f t="shared" si="105"/>
        <v>441.37148999999999</v>
      </c>
      <c r="BQ56" s="64"/>
      <c r="BR56" s="74">
        <v>441.37148999999999</v>
      </c>
      <c r="BS56" s="64"/>
      <c r="BT56" s="64"/>
      <c r="BU56" s="64">
        <f t="shared" si="106"/>
        <v>147.12383</v>
      </c>
      <c r="BV56" s="25"/>
      <c r="BW56" s="25">
        <v>147.12383</v>
      </c>
      <c r="BX56" s="25"/>
      <c r="BY56" s="64"/>
      <c r="BZ56" s="60">
        <f t="shared" si="107"/>
        <v>588.49531999999999</v>
      </c>
      <c r="CA56" s="64">
        <f t="shared" si="13"/>
        <v>588.49531999999999</v>
      </c>
      <c r="CB56" s="64">
        <f t="shared" si="14"/>
        <v>0</v>
      </c>
      <c r="CC56" s="64">
        <f t="shared" si="15"/>
        <v>588.49531999999999</v>
      </c>
      <c r="CD56" s="64">
        <f t="shared" si="16"/>
        <v>0</v>
      </c>
      <c r="CE56" s="64">
        <f t="shared" si="108"/>
        <v>0</v>
      </c>
      <c r="CF56" s="64">
        <f t="shared" si="17"/>
        <v>448.72851000000003</v>
      </c>
      <c r="CG56" s="64">
        <f t="shared" si="18"/>
        <v>0</v>
      </c>
      <c r="CH56" s="64">
        <f t="shared" si="19"/>
        <v>448.72851000000003</v>
      </c>
      <c r="CI56" s="64">
        <f t="shared" si="20"/>
        <v>0</v>
      </c>
      <c r="CJ56" s="64">
        <f t="shared" si="109"/>
        <v>0</v>
      </c>
      <c r="CK56" s="66"/>
      <c r="CL56" s="67"/>
      <c r="CM56" s="67"/>
      <c r="CN56" s="64">
        <f t="shared" si="110"/>
        <v>0</v>
      </c>
      <c r="CO56" s="64"/>
      <c r="CP56" s="65"/>
      <c r="CQ56" s="64"/>
      <c r="CR56" s="64"/>
      <c r="CS56" s="64">
        <f t="shared" si="111"/>
        <v>0</v>
      </c>
      <c r="CT56" s="64"/>
      <c r="CU56" s="65"/>
      <c r="CV56" s="64"/>
      <c r="CW56" s="64"/>
      <c r="CX56" s="64">
        <f t="shared" si="112"/>
        <v>0</v>
      </c>
      <c r="CY56" s="64">
        <f t="shared" si="113"/>
        <v>0</v>
      </c>
      <c r="CZ56" s="64">
        <f t="shared" si="113"/>
        <v>0</v>
      </c>
      <c r="DA56" s="64">
        <f t="shared" si="113"/>
        <v>0</v>
      </c>
      <c r="DB56" s="64">
        <f t="shared" si="113"/>
        <v>0</v>
      </c>
      <c r="DC56" s="64"/>
      <c r="DD56" s="64"/>
      <c r="DE56" s="64"/>
      <c r="DF56" s="64">
        <f t="shared" si="114"/>
        <v>448.72851000000003</v>
      </c>
      <c r="DH56" s="64">
        <f t="shared" si="115"/>
        <v>890.1</v>
      </c>
      <c r="DI56" s="64">
        <f t="shared" si="116"/>
        <v>441.37148999999999</v>
      </c>
      <c r="DK56" s="64"/>
      <c r="DL56" s="64"/>
      <c r="DN56" s="64"/>
      <c r="DQ56" s="64">
        <f t="shared" si="119"/>
        <v>441.37148999999999</v>
      </c>
      <c r="DR56" s="64"/>
      <c r="DS56" s="74">
        <v>441.37148999999999</v>
      </c>
      <c r="DT56" s="64"/>
      <c r="DU56" s="64"/>
      <c r="DV56" s="64">
        <f t="shared" si="120"/>
        <v>0</v>
      </c>
      <c r="DW56" s="64"/>
      <c r="DX56" s="64"/>
      <c r="DY56" s="64"/>
      <c r="DZ56" s="64"/>
      <c r="EA56" s="375"/>
      <c r="EB56" s="375"/>
      <c r="EC56" s="375"/>
      <c r="ED56" s="375"/>
      <c r="EE56" s="375"/>
      <c r="EF56" s="375"/>
      <c r="EG56" s="375"/>
      <c r="EH56" s="375"/>
      <c r="EI56" s="375"/>
      <c r="EJ56" s="375"/>
      <c r="EK56" s="375"/>
      <c r="EL56" s="375"/>
      <c r="EM56" s="375"/>
      <c r="EN56" s="375"/>
      <c r="EO56" s="375"/>
      <c r="EP56" s="375"/>
      <c r="EQ56" s="375"/>
      <c r="ER56" s="375"/>
      <c r="ES56" s="375"/>
      <c r="ET56" s="375"/>
      <c r="EU56" s="375"/>
      <c r="EV56" s="375"/>
      <c r="EW56" s="375"/>
      <c r="EX56" s="375"/>
      <c r="EY56" s="375"/>
      <c r="EZ56" s="375"/>
      <c r="FA56" s="375"/>
      <c r="FB56" s="375"/>
      <c r="FC56" s="375"/>
      <c r="FD56" s="375"/>
      <c r="FE56" s="375"/>
      <c r="FF56" s="375"/>
      <c r="FG56" s="375"/>
      <c r="FH56" s="375"/>
      <c r="FI56" s="375"/>
      <c r="FJ56" s="375"/>
      <c r="FK56" s="375"/>
      <c r="FL56" s="375"/>
      <c r="FM56" s="375"/>
      <c r="FN56" s="375"/>
      <c r="FO56" s="375"/>
      <c r="FP56" s="375"/>
      <c r="FQ56" s="375"/>
      <c r="FR56" s="375"/>
      <c r="FS56" s="375"/>
      <c r="FT56" s="375"/>
      <c r="FU56" s="375"/>
      <c r="FV56" s="375"/>
      <c r="FW56" s="375"/>
      <c r="FX56" s="375"/>
      <c r="FY56" s="375"/>
      <c r="FZ56" s="375"/>
      <c r="GA56" s="375"/>
      <c r="GB56" s="375"/>
      <c r="GC56" s="375"/>
      <c r="GD56" s="375"/>
      <c r="GE56" s="375"/>
      <c r="GF56" s="375"/>
      <c r="GG56" s="375"/>
      <c r="GH56" s="375"/>
      <c r="GI56" s="375"/>
      <c r="GJ56" s="375"/>
      <c r="GK56" s="375"/>
      <c r="GL56" s="375"/>
      <c r="GM56" s="375"/>
      <c r="GN56" s="375"/>
      <c r="GO56" s="375"/>
      <c r="GP56" s="375"/>
      <c r="GQ56" s="375"/>
      <c r="GR56" s="375"/>
    </row>
    <row r="57" spans="1:200" s="48" customFormat="1" ht="24.75" customHeight="1" x14ac:dyDescent="0.25">
      <c r="A57" s="276"/>
      <c r="B57" s="277"/>
      <c r="C57" s="278"/>
      <c r="D57" s="278"/>
      <c r="E57" s="279"/>
      <c r="F57" s="277"/>
      <c r="G57" s="278"/>
      <c r="H57" s="278"/>
      <c r="I57" s="276"/>
      <c r="J57" s="276"/>
      <c r="K57" s="276"/>
      <c r="L57" s="276"/>
      <c r="M57" s="279"/>
      <c r="N57" s="42" t="s">
        <v>16</v>
      </c>
      <c r="O57" s="42"/>
      <c r="P57" s="42"/>
      <c r="Q57" s="43">
        <f t="shared" si="23"/>
        <v>0</v>
      </c>
      <c r="R57" s="43">
        <f t="shared" si="24"/>
        <v>257.64150999999765</v>
      </c>
      <c r="S57" s="43">
        <f t="shared" si="25"/>
        <v>82.507999999999811</v>
      </c>
      <c r="T57" s="43">
        <f t="shared" ref="T57:AO57" si="121">SUM(T58:T78)-T59</f>
        <v>12</v>
      </c>
      <c r="U57" s="43">
        <f t="shared" si="121"/>
        <v>19</v>
      </c>
      <c r="V57" s="43">
        <f t="shared" ref="V57:Z57" si="122">SUM(V58:V78)-V59</f>
        <v>26243.545000000002</v>
      </c>
      <c r="W57" s="43">
        <f t="shared" si="122"/>
        <v>0</v>
      </c>
      <c r="X57" s="43">
        <f t="shared" si="122"/>
        <v>15050.544999999998</v>
      </c>
      <c r="Y57" s="43">
        <f t="shared" si="122"/>
        <v>11193</v>
      </c>
      <c r="Z57" s="43">
        <f t="shared" si="122"/>
        <v>0</v>
      </c>
      <c r="AA57" s="43">
        <f t="shared" si="121"/>
        <v>26261.100000000006</v>
      </c>
      <c r="AB57" s="43">
        <f t="shared" si="121"/>
        <v>0</v>
      </c>
      <c r="AC57" s="43">
        <f t="shared" si="121"/>
        <v>15748.1</v>
      </c>
      <c r="AD57" s="43">
        <f t="shared" si="121"/>
        <v>10513</v>
      </c>
      <c r="AE57" s="43">
        <f t="shared" si="121"/>
        <v>0</v>
      </c>
      <c r="AF57" s="43">
        <f t="shared" ref="AF57:AJ57" si="123">SUM(AF58:AF78)-AF59</f>
        <v>15748.1</v>
      </c>
      <c r="AG57" s="43">
        <f t="shared" si="123"/>
        <v>0</v>
      </c>
      <c r="AH57" s="43">
        <f t="shared" si="123"/>
        <v>15748.1</v>
      </c>
      <c r="AI57" s="43">
        <f t="shared" si="123"/>
        <v>0</v>
      </c>
      <c r="AJ57" s="43">
        <f t="shared" si="123"/>
        <v>0</v>
      </c>
      <c r="AK57" s="45">
        <f t="shared" si="121"/>
        <v>6847</v>
      </c>
      <c r="AL57" s="43">
        <f t="shared" si="121"/>
        <v>0</v>
      </c>
      <c r="AM57" s="43">
        <f t="shared" si="121"/>
        <v>6847</v>
      </c>
      <c r="AN57" s="43">
        <f t="shared" si="121"/>
        <v>0</v>
      </c>
      <c r="AO57" s="43">
        <f t="shared" si="121"/>
        <v>0</v>
      </c>
      <c r="AP57" s="97"/>
      <c r="AQ57" s="43">
        <f>SUM(AQ58:AQ78)-AQ59</f>
        <v>26243.545000000002</v>
      </c>
      <c r="AR57" s="43">
        <f>SUM(AR58:AR78)-AR59</f>
        <v>0</v>
      </c>
      <c r="AS57" s="43">
        <f>SUM(AS58:AS78)-AS59</f>
        <v>15050.544999999998</v>
      </c>
      <c r="AT57" s="43">
        <f>SUM(AT58:AT78)-AT59</f>
        <v>11193</v>
      </c>
      <c r="AU57" s="43">
        <f>SUM(AU58:AU78)-AU59</f>
        <v>0</v>
      </c>
      <c r="AV57" s="43">
        <f t="shared" si="9"/>
        <v>0</v>
      </c>
      <c r="AW57" s="43">
        <f t="shared" si="10"/>
        <v>0</v>
      </c>
      <c r="AX57" s="43">
        <f t="shared" si="11"/>
        <v>0</v>
      </c>
      <c r="AY57" s="43">
        <f t="shared" si="12"/>
        <v>0</v>
      </c>
      <c r="AZ57" s="43" t="e">
        <f t="shared" ref="AZ57:BE57" si="124">SUM(AZ58:AZ78)-AZ59</f>
        <v>#REF!</v>
      </c>
      <c r="BA57" s="43">
        <f t="shared" si="124"/>
        <v>26243.545000000002</v>
      </c>
      <c r="BB57" s="43">
        <f t="shared" si="124"/>
        <v>0</v>
      </c>
      <c r="BC57" s="43">
        <f t="shared" si="124"/>
        <v>15050.544999999998</v>
      </c>
      <c r="BD57" s="43">
        <f t="shared" si="124"/>
        <v>11193</v>
      </c>
      <c r="BE57" s="43">
        <f t="shared" si="124"/>
        <v>0</v>
      </c>
      <c r="BF57" s="43">
        <f t="shared" ref="BF57:CJ57" si="125">SUM(BF58:BF78)-BF59</f>
        <v>0</v>
      </c>
      <c r="BG57" s="43">
        <f t="shared" si="125"/>
        <v>0</v>
      </c>
      <c r="BH57" s="43">
        <f t="shared" si="125"/>
        <v>0</v>
      </c>
      <c r="BI57" s="43">
        <f t="shared" si="125"/>
        <v>0</v>
      </c>
      <c r="BJ57" s="43">
        <f t="shared" si="125"/>
        <v>0</v>
      </c>
      <c r="BK57" s="43">
        <f t="shared" si="125"/>
        <v>26243.545000000002</v>
      </c>
      <c r="BL57" s="43">
        <f t="shared" si="125"/>
        <v>0</v>
      </c>
      <c r="BM57" s="43">
        <f t="shared" si="125"/>
        <v>15050.544999999998</v>
      </c>
      <c r="BN57" s="43">
        <f t="shared" si="125"/>
        <v>11193</v>
      </c>
      <c r="BO57" s="43">
        <f t="shared" si="125"/>
        <v>0</v>
      </c>
      <c r="BP57" s="43">
        <f t="shared" si="125"/>
        <v>25903.395489999999</v>
      </c>
      <c r="BQ57" s="43">
        <f t="shared" si="125"/>
        <v>0</v>
      </c>
      <c r="BR57" s="43">
        <f t="shared" si="125"/>
        <v>14792.903490000001</v>
      </c>
      <c r="BS57" s="43">
        <f t="shared" si="125"/>
        <v>11110.492</v>
      </c>
      <c r="BT57" s="43">
        <f t="shared" si="125"/>
        <v>0</v>
      </c>
      <c r="BU57" s="45">
        <f t="shared" si="125"/>
        <v>14034.413540000001</v>
      </c>
      <c r="BV57" s="43">
        <f t="shared" si="125"/>
        <v>0</v>
      </c>
      <c r="BW57" s="43">
        <f t="shared" si="125"/>
        <v>10231.26196</v>
      </c>
      <c r="BX57" s="43">
        <f t="shared" si="125"/>
        <v>3803.1515799999997</v>
      </c>
      <c r="BY57" s="43">
        <f t="shared" si="125"/>
        <v>0</v>
      </c>
      <c r="BZ57" s="43">
        <f t="shared" si="125"/>
        <v>39937.809030000004</v>
      </c>
      <c r="CA57" s="43">
        <f t="shared" si="13"/>
        <v>39937.809030000004</v>
      </c>
      <c r="CB57" s="43">
        <f t="shared" si="14"/>
        <v>0</v>
      </c>
      <c r="CC57" s="43">
        <f t="shared" si="15"/>
        <v>25024.16545</v>
      </c>
      <c r="CD57" s="43">
        <f t="shared" si="16"/>
        <v>14913.64358</v>
      </c>
      <c r="CE57" s="43">
        <f t="shared" si="125"/>
        <v>0</v>
      </c>
      <c r="CF57" s="43">
        <f t="shared" si="17"/>
        <v>340.14950999999746</v>
      </c>
      <c r="CG57" s="43">
        <f t="shared" si="18"/>
        <v>0</v>
      </c>
      <c r="CH57" s="43">
        <f t="shared" si="19"/>
        <v>257.64150999999765</v>
      </c>
      <c r="CI57" s="43">
        <f t="shared" si="20"/>
        <v>82.507999999999811</v>
      </c>
      <c r="CJ57" s="43">
        <f t="shared" si="125"/>
        <v>0</v>
      </c>
      <c r="CK57" s="46">
        <f>CL57+CN57-BF57</f>
        <v>26243.545000000002</v>
      </c>
      <c r="CL57" s="47">
        <f t="shared" ref="CL57:DF57" si="126">SUM(CL58:CL78)-CL59</f>
        <v>26243.545000000002</v>
      </c>
      <c r="CM57" s="47">
        <f t="shared" si="126"/>
        <v>26243.545000000002</v>
      </c>
      <c r="CN57" s="43">
        <f t="shared" si="126"/>
        <v>0</v>
      </c>
      <c r="CO57" s="43">
        <f t="shared" si="126"/>
        <v>0</v>
      </c>
      <c r="CP57" s="43">
        <f t="shared" si="126"/>
        <v>0</v>
      </c>
      <c r="CQ57" s="43">
        <f t="shared" si="126"/>
        <v>0</v>
      </c>
      <c r="CR57" s="43">
        <f t="shared" si="126"/>
        <v>0</v>
      </c>
      <c r="CS57" s="43">
        <f t="shared" si="126"/>
        <v>0</v>
      </c>
      <c r="CT57" s="43">
        <f t="shared" si="126"/>
        <v>0</v>
      </c>
      <c r="CU57" s="43">
        <f t="shared" si="126"/>
        <v>0</v>
      </c>
      <c r="CV57" s="43">
        <f t="shared" si="126"/>
        <v>0</v>
      </c>
      <c r="CW57" s="43">
        <f t="shared" si="126"/>
        <v>0</v>
      </c>
      <c r="CX57" s="43">
        <f t="shared" si="126"/>
        <v>0</v>
      </c>
      <c r="CY57" s="43">
        <f t="shared" si="126"/>
        <v>0</v>
      </c>
      <c r="CZ57" s="43">
        <f t="shared" si="126"/>
        <v>0</v>
      </c>
      <c r="DA57" s="43">
        <f t="shared" si="126"/>
        <v>0</v>
      </c>
      <c r="DB57" s="43">
        <f t="shared" si="126"/>
        <v>0</v>
      </c>
      <c r="DC57" s="43">
        <f t="shared" si="126"/>
        <v>0</v>
      </c>
      <c r="DD57" s="43">
        <f t="shared" si="126"/>
        <v>0</v>
      </c>
      <c r="DE57" s="43">
        <f t="shared" si="126"/>
        <v>0</v>
      </c>
      <c r="DF57" s="43">
        <f t="shared" si="126"/>
        <v>340.14951000000019</v>
      </c>
      <c r="DH57" s="43">
        <f>SUM(DH58:DH78)-DH59</f>
        <v>26243.545000000002</v>
      </c>
      <c r="DI57" s="43">
        <f>SUM(DI58:DI78)-DI59</f>
        <v>25903.395489999999</v>
      </c>
      <c r="DK57" s="43">
        <f>SUM(DK58:DK78)-DK59</f>
        <v>25903.395490000003</v>
      </c>
      <c r="DL57" s="43">
        <f>SUM(DL58:DL78)-DL59</f>
        <v>340.14951000000019</v>
      </c>
      <c r="DN57" s="43">
        <f>SUM(DN58:DN78)-DN59</f>
        <v>340.14950999999928</v>
      </c>
      <c r="DO57" s="49">
        <f>DF57-DN57</f>
        <v>9.0949470177292824E-13</v>
      </c>
      <c r="DP57" s="49"/>
      <c r="DQ57" s="43">
        <f>SUM(DQ58:DQ78)-DQ59</f>
        <v>19393.911489999999</v>
      </c>
      <c r="DR57" s="43">
        <f t="shared" ref="DR57:DU57" si="127">SUM(DR58:DR78)-DR59</f>
        <v>0</v>
      </c>
      <c r="DS57" s="43">
        <f t="shared" si="127"/>
        <v>14792.903490000001</v>
      </c>
      <c r="DT57" s="43">
        <f t="shared" si="127"/>
        <v>4601.0079999999998</v>
      </c>
      <c r="DU57" s="43">
        <f t="shared" si="127"/>
        <v>0</v>
      </c>
      <c r="DV57" s="43">
        <f>SUM(DV58:DV78)-DV59</f>
        <v>9477.3360599999996</v>
      </c>
      <c r="DW57" s="43">
        <f t="shared" ref="DW57:DZ57" si="128">SUM(DW58:DW78)-DW59</f>
        <v>0</v>
      </c>
      <c r="DX57" s="43">
        <f t="shared" si="128"/>
        <v>7859.7711699999991</v>
      </c>
      <c r="DY57" s="43">
        <f t="shared" si="128"/>
        <v>1617.5648900000001</v>
      </c>
      <c r="DZ57" s="43">
        <f t="shared" si="128"/>
        <v>0</v>
      </c>
      <c r="EA57" s="372"/>
      <c r="EB57" s="372"/>
      <c r="EC57" s="372"/>
      <c r="ED57" s="372"/>
      <c r="EE57" s="372"/>
      <c r="EF57" s="372"/>
      <c r="EG57" s="372"/>
      <c r="EH57" s="372"/>
      <c r="EI57" s="372"/>
      <c r="EJ57" s="372"/>
      <c r="EK57" s="372"/>
      <c r="EL57" s="372"/>
      <c r="EM57" s="372"/>
      <c r="EN57" s="372"/>
      <c r="EO57" s="372"/>
      <c r="EP57" s="372"/>
      <c r="EQ57" s="372"/>
      <c r="ER57" s="372"/>
      <c r="ES57" s="372"/>
      <c r="ET57" s="372"/>
      <c r="EU57" s="372"/>
      <c r="EV57" s="372"/>
      <c r="EW57" s="372"/>
      <c r="EX57" s="372"/>
      <c r="EY57" s="372"/>
      <c r="EZ57" s="372"/>
      <c r="FA57" s="372"/>
      <c r="FB57" s="372"/>
      <c r="FC57" s="372"/>
      <c r="FD57" s="372"/>
      <c r="FE57" s="372"/>
      <c r="FF57" s="372"/>
      <c r="FG57" s="372"/>
      <c r="FH57" s="372"/>
      <c r="FI57" s="372"/>
      <c r="FJ57" s="372"/>
      <c r="FK57" s="372"/>
      <c r="FL57" s="372"/>
      <c r="FM57" s="372"/>
      <c r="FN57" s="372"/>
      <c r="FO57" s="372"/>
      <c r="FP57" s="372"/>
      <c r="FQ57" s="372"/>
      <c r="FR57" s="372"/>
      <c r="FS57" s="372"/>
      <c r="FT57" s="372"/>
      <c r="FU57" s="372"/>
      <c r="FV57" s="372"/>
      <c r="FW57" s="372"/>
      <c r="FX57" s="372"/>
      <c r="FY57" s="372"/>
      <c r="FZ57" s="372"/>
      <c r="GA57" s="372"/>
      <c r="GB57" s="372"/>
      <c r="GC57" s="372"/>
      <c r="GD57" s="372"/>
      <c r="GE57" s="372"/>
      <c r="GF57" s="372"/>
      <c r="GG57" s="372"/>
      <c r="GH57" s="372"/>
      <c r="GI57" s="372"/>
      <c r="GJ57" s="372"/>
      <c r="GK57" s="372"/>
      <c r="GL57" s="372"/>
      <c r="GM57" s="372"/>
      <c r="GN57" s="372"/>
      <c r="GO57" s="372"/>
      <c r="GP57" s="372"/>
      <c r="GQ57" s="372"/>
      <c r="GR57" s="372"/>
    </row>
    <row r="58" spans="1:200" s="61" customFormat="1" ht="15" customHeight="1" x14ac:dyDescent="0.3">
      <c r="A58" s="280"/>
      <c r="B58" s="281">
        <v>1</v>
      </c>
      <c r="C58" s="282"/>
      <c r="D58" s="282"/>
      <c r="E58" s="4">
        <v>45</v>
      </c>
      <c r="F58" s="281"/>
      <c r="G58" s="282"/>
      <c r="H58" s="282"/>
      <c r="I58" s="280"/>
      <c r="J58" s="280"/>
      <c r="K58" s="280"/>
      <c r="L58" s="280"/>
      <c r="M58" s="4"/>
      <c r="N58" s="62" t="s">
        <v>200</v>
      </c>
      <c r="O58" s="62">
        <v>0</v>
      </c>
      <c r="P58" s="62">
        <v>0</v>
      </c>
      <c r="Q58" s="60">
        <f t="shared" si="23"/>
        <v>0</v>
      </c>
      <c r="R58" s="60">
        <f t="shared" si="24"/>
        <v>0</v>
      </c>
      <c r="S58" s="60">
        <f t="shared" si="25"/>
        <v>0</v>
      </c>
      <c r="T58" s="60"/>
      <c r="U58" s="60"/>
      <c r="V58" s="64">
        <f t="shared" ref="V58:V78" si="129">W58+X58+Y58+Z58</f>
        <v>0</v>
      </c>
      <c r="W58" s="64"/>
      <c r="X58" s="65">
        <v>0</v>
      </c>
      <c r="Y58" s="64"/>
      <c r="Z58" s="60"/>
      <c r="AA58" s="64">
        <f t="shared" ref="AA58:AA78" si="130">AB58+AC58+AD58+AE58</f>
        <v>124.2</v>
      </c>
      <c r="AB58" s="64"/>
      <c r="AC58" s="65">
        <v>124.2</v>
      </c>
      <c r="AD58" s="64"/>
      <c r="AE58" s="60"/>
      <c r="AF58" s="64">
        <f t="shared" ref="AF58:AF78" si="131">AG58+AH58+AI58+AJ58</f>
        <v>124.2</v>
      </c>
      <c r="AG58" s="64"/>
      <c r="AH58" s="65">
        <v>124.2</v>
      </c>
      <c r="AI58" s="64"/>
      <c r="AJ58" s="60"/>
      <c r="AK58" s="64">
        <f t="shared" ref="AK58:AK78" si="132">AL58+AM58+AN58+AO58</f>
        <v>54</v>
      </c>
      <c r="AL58" s="64"/>
      <c r="AM58" s="65">
        <v>54</v>
      </c>
      <c r="AN58" s="64"/>
      <c r="AO58" s="64"/>
      <c r="AP58" s="64"/>
      <c r="AQ58" s="64">
        <f t="shared" si="71"/>
        <v>0</v>
      </c>
      <c r="AR58" s="64"/>
      <c r="AS58" s="64"/>
      <c r="AT58" s="64"/>
      <c r="AU58" s="64"/>
      <c r="AV58" s="64">
        <f t="shared" si="9"/>
        <v>0</v>
      </c>
      <c r="AW58" s="64">
        <f t="shared" si="10"/>
        <v>0</v>
      </c>
      <c r="AX58" s="64">
        <f t="shared" si="11"/>
        <v>0</v>
      </c>
      <c r="AY58" s="64">
        <f t="shared" si="12"/>
        <v>0</v>
      </c>
      <c r="AZ58" s="64" t="e">
        <f>#REF!-AU58</f>
        <v>#REF!</v>
      </c>
      <c r="BA58" s="64">
        <f t="shared" ref="BA58:BA78" si="133">BB58+BC58+BD58+BE58</f>
        <v>0</v>
      </c>
      <c r="BB58" s="64"/>
      <c r="BC58" s="64"/>
      <c r="BD58" s="64"/>
      <c r="BE58" s="64"/>
      <c r="BF58" s="64">
        <f t="shared" ref="BF58:BF78" si="134">BG58+BH58+BI58+BJ58</f>
        <v>0</v>
      </c>
      <c r="BG58" s="64"/>
      <c r="BH58" s="64"/>
      <c r="BI58" s="64"/>
      <c r="BJ58" s="64"/>
      <c r="BK58" s="64">
        <f t="shared" ref="BK58:BK78" si="135">BL58+BM58+BN58+BO58</f>
        <v>0</v>
      </c>
      <c r="BL58" s="64"/>
      <c r="BM58" s="64"/>
      <c r="BN58" s="64"/>
      <c r="BO58" s="64"/>
      <c r="BP58" s="64">
        <f t="shared" ref="BP58:BP78" si="136">BQ58+BR58+BS58+BT58</f>
        <v>0</v>
      </c>
      <c r="BQ58" s="64"/>
      <c r="BR58" s="64"/>
      <c r="BS58" s="64"/>
      <c r="BT58" s="64"/>
      <c r="BU58" s="64">
        <f t="shared" ref="BU58:BU78" si="137">BV58+BW58+BX58+BY58</f>
        <v>0</v>
      </c>
      <c r="BV58" s="25"/>
      <c r="BW58" s="25"/>
      <c r="BX58" s="25"/>
      <c r="BY58" s="64"/>
      <c r="BZ58" s="60">
        <f t="shared" ref="BZ58:BZ78" si="138">CA58</f>
        <v>0</v>
      </c>
      <c r="CA58" s="64">
        <f t="shared" si="13"/>
        <v>0</v>
      </c>
      <c r="CB58" s="64">
        <f t="shared" si="14"/>
        <v>0</v>
      </c>
      <c r="CC58" s="64">
        <f t="shared" si="15"/>
        <v>0</v>
      </c>
      <c r="CD58" s="64">
        <f t="shared" si="16"/>
        <v>0</v>
      </c>
      <c r="CE58" s="64">
        <f t="shared" ref="CE58:CE78" si="139">BT58+BY58</f>
        <v>0</v>
      </c>
      <c r="CF58" s="64">
        <f t="shared" si="17"/>
        <v>0</v>
      </c>
      <c r="CG58" s="64">
        <f t="shared" si="18"/>
        <v>0</v>
      </c>
      <c r="CH58" s="64">
        <f t="shared" si="19"/>
        <v>0</v>
      </c>
      <c r="CI58" s="64">
        <f t="shared" si="20"/>
        <v>0</v>
      </c>
      <c r="CJ58" s="64">
        <f t="shared" ref="CJ58:CJ78" si="140">BO58-BT58</f>
        <v>0</v>
      </c>
      <c r="CK58" s="66"/>
      <c r="CL58" s="67"/>
      <c r="CM58" s="67"/>
      <c r="CN58" s="64">
        <f t="shared" ref="CN58:CN78" si="141">CO58+CP58+CQ58+CR58</f>
        <v>0</v>
      </c>
      <c r="CO58" s="64"/>
      <c r="CP58" s="64"/>
      <c r="CQ58" s="64"/>
      <c r="CR58" s="64"/>
      <c r="CS58" s="64">
        <f t="shared" ref="CS58:CS78" si="142">CT58+CU58+CV58+CW58</f>
        <v>0</v>
      </c>
      <c r="CT58" s="64"/>
      <c r="CU58" s="64"/>
      <c r="CV58" s="64"/>
      <c r="CW58" s="64"/>
      <c r="CX58" s="64">
        <f t="shared" ref="CX58:CX78" si="143">CY58+CZ58+DA58+DB58</f>
        <v>0</v>
      </c>
      <c r="CY58" s="64"/>
      <c r="CZ58" s="64"/>
      <c r="DA58" s="64"/>
      <c r="DB58" s="64"/>
      <c r="DC58" s="64"/>
      <c r="DD58" s="64"/>
      <c r="DE58" s="64"/>
      <c r="DF58" s="64">
        <f t="shared" ref="DF58:DF78" si="144">CF58+CX58+DE58</f>
        <v>0</v>
      </c>
      <c r="DH58" s="64">
        <f t="shared" ref="DH58:DH78" si="145">BK58+CN58+DC58</f>
        <v>0</v>
      </c>
      <c r="DI58" s="64">
        <f t="shared" ref="DI58:DI78" si="146">BP58+CS58+DD58</f>
        <v>0</v>
      </c>
      <c r="DK58" s="64">
        <f t="shared" ref="DK58:DK59" si="147">DI58</f>
        <v>0</v>
      </c>
      <c r="DL58" s="64">
        <f t="shared" ref="DL58:DL59" si="148">DF58</f>
        <v>0</v>
      </c>
      <c r="DN58" s="64">
        <f>CM58-DK58</f>
        <v>0</v>
      </c>
      <c r="DQ58" s="64">
        <f t="shared" ref="DQ58:DQ78" si="149">DR58+DS58+DT58+DU58</f>
        <v>0</v>
      </c>
      <c r="DR58" s="64"/>
      <c r="DS58" s="64"/>
      <c r="DT58" s="64"/>
      <c r="DU58" s="64"/>
      <c r="DV58" s="64">
        <f t="shared" ref="DV58:DV78" si="150">DW58+DX58+DY58+DZ58</f>
        <v>0</v>
      </c>
      <c r="DW58" s="64"/>
      <c r="DX58" s="64"/>
      <c r="DY58" s="64"/>
      <c r="DZ58" s="64"/>
      <c r="EA58" s="375"/>
      <c r="EB58" s="375"/>
      <c r="EC58" s="375"/>
      <c r="ED58" s="375"/>
      <c r="EE58" s="375"/>
      <c r="EF58" s="375"/>
      <c r="EG58" s="375"/>
      <c r="EH58" s="375"/>
      <c r="EI58" s="375"/>
      <c r="EJ58" s="375"/>
      <c r="EK58" s="375"/>
      <c r="EL58" s="375"/>
      <c r="EM58" s="375"/>
      <c r="EN58" s="375"/>
      <c r="EO58" s="375"/>
      <c r="EP58" s="375"/>
      <c r="EQ58" s="375"/>
      <c r="ER58" s="375"/>
      <c r="ES58" s="375"/>
      <c r="ET58" s="375"/>
      <c r="EU58" s="375"/>
      <c r="EV58" s="375"/>
      <c r="EW58" s="375"/>
      <c r="EX58" s="375"/>
      <c r="EY58" s="375"/>
      <c r="EZ58" s="375"/>
      <c r="FA58" s="375"/>
      <c r="FB58" s="375"/>
      <c r="FC58" s="375"/>
      <c r="FD58" s="375"/>
      <c r="FE58" s="375"/>
      <c r="FF58" s="375"/>
      <c r="FG58" s="375"/>
      <c r="FH58" s="375"/>
      <c r="FI58" s="375"/>
      <c r="FJ58" s="375"/>
      <c r="FK58" s="375"/>
      <c r="FL58" s="375"/>
      <c r="FM58" s="375"/>
      <c r="FN58" s="375"/>
      <c r="FO58" s="375"/>
      <c r="FP58" s="375"/>
      <c r="FQ58" s="375"/>
      <c r="FR58" s="375"/>
      <c r="FS58" s="375"/>
      <c r="FT58" s="375"/>
      <c r="FU58" s="375"/>
      <c r="FV58" s="375"/>
      <c r="FW58" s="375"/>
      <c r="FX58" s="375"/>
      <c r="FY58" s="375"/>
      <c r="FZ58" s="375"/>
      <c r="GA58" s="375"/>
      <c r="GB58" s="375"/>
      <c r="GC58" s="375"/>
      <c r="GD58" s="375"/>
      <c r="GE58" s="375"/>
      <c r="GF58" s="375"/>
      <c r="GG58" s="375"/>
      <c r="GH58" s="375"/>
      <c r="GI58" s="375"/>
      <c r="GJ58" s="375"/>
      <c r="GK58" s="375"/>
      <c r="GL58" s="375"/>
      <c r="GM58" s="375"/>
      <c r="GN58" s="375"/>
      <c r="GO58" s="375"/>
      <c r="GP58" s="375"/>
      <c r="GQ58" s="375"/>
      <c r="GR58" s="375"/>
    </row>
    <row r="59" spans="1:200" s="61" customFormat="1" ht="15.75" hidden="1" customHeight="1" x14ac:dyDescent="0.3">
      <c r="A59" s="280"/>
      <c r="B59" s="281"/>
      <c r="C59" s="282"/>
      <c r="D59" s="282"/>
      <c r="E59" s="4"/>
      <c r="F59" s="281"/>
      <c r="G59" s="282"/>
      <c r="H59" s="282"/>
      <c r="I59" s="280"/>
      <c r="J59" s="280"/>
      <c r="K59" s="280"/>
      <c r="L59" s="280"/>
      <c r="M59" s="4"/>
      <c r="N59" s="371" t="s">
        <v>249</v>
      </c>
      <c r="O59" s="69">
        <v>0</v>
      </c>
      <c r="P59" s="63">
        <v>0</v>
      </c>
      <c r="Q59" s="64">
        <f t="shared" si="23"/>
        <v>0</v>
      </c>
      <c r="R59" s="64">
        <f t="shared" si="24"/>
        <v>0</v>
      </c>
      <c r="S59" s="64">
        <f t="shared" si="25"/>
        <v>0</v>
      </c>
      <c r="T59" s="69"/>
      <c r="U59" s="69"/>
      <c r="V59" s="64">
        <f t="shared" si="129"/>
        <v>0</v>
      </c>
      <c r="W59" s="64"/>
      <c r="X59" s="65"/>
      <c r="Y59" s="64"/>
      <c r="Z59" s="60"/>
      <c r="AA59" s="64">
        <f t="shared" si="130"/>
        <v>0</v>
      </c>
      <c r="AB59" s="64"/>
      <c r="AC59" s="65"/>
      <c r="AD59" s="64"/>
      <c r="AE59" s="60"/>
      <c r="AF59" s="64">
        <f t="shared" si="131"/>
        <v>0</v>
      </c>
      <c r="AG59" s="64"/>
      <c r="AH59" s="65"/>
      <c r="AI59" s="64"/>
      <c r="AJ59" s="60"/>
      <c r="AK59" s="64">
        <f t="shared" si="132"/>
        <v>0</v>
      </c>
      <c r="AL59" s="64"/>
      <c r="AM59" s="65"/>
      <c r="AN59" s="64"/>
      <c r="AO59" s="64"/>
      <c r="AP59" s="64"/>
      <c r="AQ59" s="64">
        <f t="shared" si="71"/>
        <v>0</v>
      </c>
      <c r="AR59" s="64"/>
      <c r="AS59" s="64"/>
      <c r="AT59" s="64"/>
      <c r="AU59" s="64"/>
      <c r="AV59" s="64">
        <f t="shared" si="9"/>
        <v>0</v>
      </c>
      <c r="AW59" s="64">
        <f t="shared" si="10"/>
        <v>0</v>
      </c>
      <c r="AX59" s="64">
        <f t="shared" si="11"/>
        <v>0</v>
      </c>
      <c r="AY59" s="64">
        <f t="shared" si="12"/>
        <v>0</v>
      </c>
      <c r="AZ59" s="64" t="e">
        <f>#REF!-AU59</f>
        <v>#REF!</v>
      </c>
      <c r="BA59" s="64">
        <f t="shared" si="133"/>
        <v>0</v>
      </c>
      <c r="BB59" s="64"/>
      <c r="BC59" s="64"/>
      <c r="BD59" s="64"/>
      <c r="BE59" s="64"/>
      <c r="BF59" s="64">
        <f t="shared" si="134"/>
        <v>0</v>
      </c>
      <c r="BG59" s="64"/>
      <c r="BH59" s="64"/>
      <c r="BI59" s="64"/>
      <c r="BJ59" s="64"/>
      <c r="BK59" s="64">
        <f t="shared" si="135"/>
        <v>0</v>
      </c>
      <c r="BL59" s="64"/>
      <c r="BM59" s="64"/>
      <c r="BN59" s="64"/>
      <c r="BO59" s="64"/>
      <c r="BP59" s="64">
        <f t="shared" si="136"/>
        <v>0</v>
      </c>
      <c r="BQ59" s="64"/>
      <c r="BR59" s="64"/>
      <c r="BS59" s="64"/>
      <c r="BT59" s="64"/>
      <c r="BU59" s="64">
        <f t="shared" si="137"/>
        <v>0</v>
      </c>
      <c r="BV59" s="64"/>
      <c r="BW59" s="64"/>
      <c r="BX59" s="64"/>
      <c r="BY59" s="64"/>
      <c r="BZ59" s="60">
        <f t="shared" si="138"/>
        <v>0</v>
      </c>
      <c r="CA59" s="64">
        <f t="shared" si="13"/>
        <v>0</v>
      </c>
      <c r="CB59" s="64">
        <f t="shared" si="14"/>
        <v>0</v>
      </c>
      <c r="CC59" s="64">
        <f t="shared" si="15"/>
        <v>0</v>
      </c>
      <c r="CD59" s="64">
        <f t="shared" si="16"/>
        <v>0</v>
      </c>
      <c r="CE59" s="64">
        <f t="shared" si="139"/>
        <v>0</v>
      </c>
      <c r="CF59" s="64">
        <f t="shared" si="17"/>
        <v>0</v>
      </c>
      <c r="CG59" s="64">
        <f t="shared" si="18"/>
        <v>0</v>
      </c>
      <c r="CH59" s="64">
        <f t="shared" si="19"/>
        <v>0</v>
      </c>
      <c r="CI59" s="64">
        <f t="shared" si="20"/>
        <v>0</v>
      </c>
      <c r="CJ59" s="64">
        <f t="shared" si="140"/>
        <v>0</v>
      </c>
      <c r="CK59" s="66"/>
      <c r="CL59" s="67"/>
      <c r="CM59" s="67"/>
      <c r="CN59" s="64">
        <f t="shared" si="141"/>
        <v>0</v>
      </c>
      <c r="CO59" s="64"/>
      <c r="CP59" s="64"/>
      <c r="CQ59" s="64"/>
      <c r="CR59" s="64"/>
      <c r="CS59" s="64">
        <f t="shared" si="142"/>
        <v>0</v>
      </c>
      <c r="CT59" s="64"/>
      <c r="CU59" s="64"/>
      <c r="CV59" s="64"/>
      <c r="CW59" s="64"/>
      <c r="CX59" s="64">
        <f t="shared" si="143"/>
        <v>0</v>
      </c>
      <c r="CY59" s="64"/>
      <c r="CZ59" s="64"/>
      <c r="DA59" s="64"/>
      <c r="DB59" s="64"/>
      <c r="DC59" s="64"/>
      <c r="DD59" s="64"/>
      <c r="DE59" s="64"/>
      <c r="DF59" s="64">
        <f t="shared" si="144"/>
        <v>0</v>
      </c>
      <c r="DH59" s="64">
        <f t="shared" si="145"/>
        <v>0</v>
      </c>
      <c r="DI59" s="64">
        <f t="shared" si="146"/>
        <v>0</v>
      </c>
      <c r="DK59" s="64">
        <f t="shared" si="147"/>
        <v>0</v>
      </c>
      <c r="DL59" s="64">
        <f t="shared" si="148"/>
        <v>0</v>
      </c>
      <c r="DN59" s="64"/>
      <c r="DQ59" s="64">
        <f t="shared" si="149"/>
        <v>0</v>
      </c>
      <c r="DR59" s="64"/>
      <c r="DS59" s="64"/>
      <c r="DT59" s="64"/>
      <c r="DU59" s="64"/>
      <c r="DV59" s="64">
        <f t="shared" si="150"/>
        <v>0</v>
      </c>
      <c r="DW59" s="64"/>
      <c r="DX59" s="64"/>
      <c r="DY59" s="64"/>
      <c r="DZ59" s="64"/>
      <c r="EA59" s="375"/>
      <c r="EB59" s="375"/>
      <c r="EC59" s="375"/>
      <c r="ED59" s="375"/>
      <c r="EE59" s="375"/>
      <c r="EF59" s="375"/>
      <c r="EG59" s="375"/>
      <c r="EH59" s="375"/>
      <c r="EI59" s="375"/>
      <c r="EJ59" s="375"/>
      <c r="EK59" s="375"/>
      <c r="EL59" s="375"/>
      <c r="EM59" s="375"/>
      <c r="EN59" s="375"/>
      <c r="EO59" s="375"/>
      <c r="EP59" s="375"/>
      <c r="EQ59" s="375"/>
      <c r="ER59" s="375"/>
      <c r="ES59" s="375"/>
      <c r="ET59" s="375"/>
      <c r="EU59" s="375"/>
      <c r="EV59" s="375"/>
      <c r="EW59" s="375"/>
      <c r="EX59" s="375"/>
      <c r="EY59" s="375"/>
      <c r="EZ59" s="375"/>
      <c r="FA59" s="375"/>
      <c r="FB59" s="375"/>
      <c r="FC59" s="375"/>
      <c r="FD59" s="375"/>
      <c r="FE59" s="375"/>
      <c r="FF59" s="375"/>
      <c r="FG59" s="375"/>
      <c r="FH59" s="375"/>
      <c r="FI59" s="375"/>
      <c r="FJ59" s="375"/>
      <c r="FK59" s="375"/>
      <c r="FL59" s="375"/>
      <c r="FM59" s="375"/>
      <c r="FN59" s="375"/>
      <c r="FO59" s="375"/>
      <c r="FP59" s="375"/>
      <c r="FQ59" s="375"/>
      <c r="FR59" s="375"/>
      <c r="FS59" s="375"/>
      <c r="FT59" s="375"/>
      <c r="FU59" s="375"/>
      <c r="FV59" s="375"/>
      <c r="FW59" s="375"/>
      <c r="FX59" s="375"/>
      <c r="FY59" s="375"/>
      <c r="FZ59" s="375"/>
      <c r="GA59" s="375"/>
      <c r="GB59" s="375"/>
      <c r="GC59" s="375"/>
      <c r="GD59" s="375"/>
      <c r="GE59" s="375"/>
      <c r="GF59" s="375"/>
      <c r="GG59" s="375"/>
      <c r="GH59" s="375"/>
      <c r="GI59" s="375"/>
      <c r="GJ59" s="375"/>
      <c r="GK59" s="375"/>
      <c r="GL59" s="375"/>
      <c r="GM59" s="375"/>
      <c r="GN59" s="375"/>
      <c r="GO59" s="375"/>
      <c r="GP59" s="375"/>
      <c r="GQ59" s="375"/>
      <c r="GR59" s="375"/>
    </row>
    <row r="60" spans="1:200" s="61" customFormat="1" ht="15.75" customHeight="1" x14ac:dyDescent="0.3">
      <c r="A60" s="280"/>
      <c r="B60" s="281"/>
      <c r="C60" s="282"/>
      <c r="D60" s="282">
        <v>1</v>
      </c>
      <c r="E60" s="4">
        <v>46</v>
      </c>
      <c r="F60" s="281"/>
      <c r="G60" s="282"/>
      <c r="H60" s="282">
        <v>1</v>
      </c>
      <c r="I60" s="280"/>
      <c r="J60" s="280"/>
      <c r="K60" s="280"/>
      <c r="L60" s="280"/>
      <c r="M60" s="4">
        <v>44</v>
      </c>
      <c r="N60" s="62" t="s">
        <v>201</v>
      </c>
      <c r="O60" s="62" t="s">
        <v>450</v>
      </c>
      <c r="P60" s="62" t="s">
        <v>448</v>
      </c>
      <c r="Q60" s="60">
        <f t="shared" si="23"/>
        <v>0</v>
      </c>
      <c r="R60" s="60">
        <f t="shared" si="24"/>
        <v>0</v>
      </c>
      <c r="S60" s="60">
        <f t="shared" si="25"/>
        <v>0</v>
      </c>
      <c r="T60" s="60">
        <v>1</v>
      </c>
      <c r="U60" s="60" t="s">
        <v>435</v>
      </c>
      <c r="V60" s="64">
        <f t="shared" si="129"/>
        <v>876.1</v>
      </c>
      <c r="W60" s="64"/>
      <c r="X60" s="65">
        <v>876.1</v>
      </c>
      <c r="Y60" s="64"/>
      <c r="Z60" s="73"/>
      <c r="AA60" s="64">
        <f t="shared" si="130"/>
        <v>476.1</v>
      </c>
      <c r="AB60" s="64"/>
      <c r="AC60" s="65">
        <v>476.1</v>
      </c>
      <c r="AD60" s="64"/>
      <c r="AE60" s="73"/>
      <c r="AF60" s="64">
        <f t="shared" si="131"/>
        <v>476.1</v>
      </c>
      <c r="AG60" s="64"/>
      <c r="AH60" s="65">
        <v>476.1</v>
      </c>
      <c r="AI60" s="64"/>
      <c r="AJ60" s="73"/>
      <c r="AK60" s="64">
        <f t="shared" si="132"/>
        <v>207</v>
      </c>
      <c r="AL60" s="64"/>
      <c r="AM60" s="65">
        <v>207</v>
      </c>
      <c r="AN60" s="64"/>
      <c r="AO60" s="73"/>
      <c r="AP60" s="64" t="s">
        <v>436</v>
      </c>
      <c r="AQ60" s="64">
        <f t="shared" si="71"/>
        <v>876.1</v>
      </c>
      <c r="AR60" s="64"/>
      <c r="AS60" s="65">
        <f>207+269.1+400</f>
        <v>876.1</v>
      </c>
      <c r="AT60" s="64"/>
      <c r="AU60" s="73"/>
      <c r="AV60" s="64">
        <f t="shared" si="9"/>
        <v>0</v>
      </c>
      <c r="AW60" s="64">
        <f t="shared" si="10"/>
        <v>0</v>
      </c>
      <c r="AX60" s="64">
        <f t="shared" si="11"/>
        <v>0</v>
      </c>
      <c r="AY60" s="64">
        <f t="shared" si="12"/>
        <v>0</v>
      </c>
      <c r="AZ60" s="64" t="e">
        <f>#REF!-AU60</f>
        <v>#REF!</v>
      </c>
      <c r="BA60" s="64">
        <f t="shared" si="133"/>
        <v>876.1</v>
      </c>
      <c r="BB60" s="64"/>
      <c r="BC60" s="65">
        <f>207+269.1+400</f>
        <v>876.1</v>
      </c>
      <c r="BD60" s="64"/>
      <c r="BE60" s="73"/>
      <c r="BF60" s="64">
        <f t="shared" si="134"/>
        <v>0</v>
      </c>
      <c r="BG60" s="64"/>
      <c r="BH60" s="65"/>
      <c r="BI60" s="64"/>
      <c r="BJ60" s="73"/>
      <c r="BK60" s="64">
        <f t="shared" si="135"/>
        <v>876.1</v>
      </c>
      <c r="BL60" s="64"/>
      <c r="BM60" s="65">
        <f>207+269.1+400</f>
        <v>876.1</v>
      </c>
      <c r="BN60" s="64"/>
      <c r="BO60" s="74"/>
      <c r="BP60" s="64">
        <f t="shared" si="136"/>
        <v>876.1</v>
      </c>
      <c r="BQ60" s="64"/>
      <c r="BR60" s="74">
        <f>207+669.1</f>
        <v>876.1</v>
      </c>
      <c r="BS60" s="64"/>
      <c r="BT60" s="74"/>
      <c r="BU60" s="64">
        <f t="shared" si="137"/>
        <v>1144.59881</v>
      </c>
      <c r="BV60" s="64"/>
      <c r="BW60" s="64">
        <f>729.224+415.37481</f>
        <v>1144.59881</v>
      </c>
      <c r="BX60" s="64"/>
      <c r="BY60" s="64"/>
      <c r="BZ60" s="60">
        <f t="shared" si="138"/>
        <v>2020.6988099999999</v>
      </c>
      <c r="CA60" s="64">
        <f t="shared" si="13"/>
        <v>2020.6988099999999</v>
      </c>
      <c r="CB60" s="64">
        <f t="shared" si="14"/>
        <v>0</v>
      </c>
      <c r="CC60" s="64">
        <f t="shared" si="15"/>
        <v>2020.6988099999999</v>
      </c>
      <c r="CD60" s="64">
        <f t="shared" si="16"/>
        <v>0</v>
      </c>
      <c r="CE60" s="64">
        <f t="shared" si="139"/>
        <v>0</v>
      </c>
      <c r="CF60" s="64">
        <f t="shared" si="17"/>
        <v>0</v>
      </c>
      <c r="CG60" s="64">
        <f t="shared" si="18"/>
        <v>0</v>
      </c>
      <c r="CH60" s="64">
        <f t="shared" si="19"/>
        <v>0</v>
      </c>
      <c r="CI60" s="64">
        <f t="shared" si="20"/>
        <v>0</v>
      </c>
      <c r="CJ60" s="64">
        <f t="shared" si="140"/>
        <v>0</v>
      </c>
      <c r="CK60" s="66"/>
      <c r="CL60" s="67"/>
      <c r="CM60" s="67"/>
      <c r="CN60" s="64">
        <f t="shared" si="141"/>
        <v>0</v>
      </c>
      <c r="CO60" s="64"/>
      <c r="CP60" s="65"/>
      <c r="CQ60" s="64"/>
      <c r="CR60" s="73"/>
      <c r="CS60" s="64">
        <f t="shared" si="142"/>
        <v>0</v>
      </c>
      <c r="CT60" s="64"/>
      <c r="CU60" s="65"/>
      <c r="CV60" s="64"/>
      <c r="CW60" s="73"/>
      <c r="CX60" s="64">
        <f t="shared" si="143"/>
        <v>0</v>
      </c>
      <c r="CY60" s="64">
        <f t="shared" ref="CY60:DB78" si="151">CO60-CT60</f>
        <v>0</v>
      </c>
      <c r="CZ60" s="64">
        <f t="shared" si="151"/>
        <v>0</v>
      </c>
      <c r="DA60" s="64">
        <f t="shared" si="151"/>
        <v>0</v>
      </c>
      <c r="DB60" s="64">
        <f t="shared" si="151"/>
        <v>0</v>
      </c>
      <c r="DC60" s="64"/>
      <c r="DD60" s="64"/>
      <c r="DE60" s="64"/>
      <c r="DF60" s="64">
        <f t="shared" si="144"/>
        <v>0</v>
      </c>
      <c r="DH60" s="64">
        <f t="shared" si="145"/>
        <v>876.1</v>
      </c>
      <c r="DI60" s="64">
        <f t="shared" si="146"/>
        <v>876.1</v>
      </c>
      <c r="DK60" s="64"/>
      <c r="DL60" s="64"/>
      <c r="DN60" s="64"/>
      <c r="DQ60" s="64">
        <f t="shared" si="149"/>
        <v>876.1</v>
      </c>
      <c r="DR60" s="64"/>
      <c r="DS60" s="74">
        <f>207+669.1</f>
        <v>876.1</v>
      </c>
      <c r="DT60" s="64"/>
      <c r="DU60" s="74"/>
      <c r="DV60" s="64">
        <f t="shared" si="150"/>
        <v>1144.59881</v>
      </c>
      <c r="DW60" s="64"/>
      <c r="DX60" s="64">
        <v>1144.59881</v>
      </c>
      <c r="DY60" s="64"/>
      <c r="DZ60" s="64"/>
      <c r="EA60" s="375"/>
      <c r="EB60" s="375"/>
      <c r="EC60" s="375"/>
      <c r="ED60" s="375"/>
      <c r="EE60" s="375"/>
      <c r="EF60" s="375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  <c r="EV60" s="375"/>
      <c r="EW60" s="375"/>
      <c r="EX60" s="375"/>
      <c r="EY60" s="375"/>
      <c r="EZ60" s="375"/>
      <c r="FA60" s="375"/>
      <c r="FB60" s="375"/>
      <c r="FC60" s="375"/>
      <c r="FD60" s="375"/>
      <c r="FE60" s="375"/>
      <c r="FF60" s="375"/>
      <c r="FG60" s="375"/>
      <c r="FH60" s="375"/>
      <c r="FI60" s="375"/>
      <c r="FJ60" s="375"/>
      <c r="FK60" s="375"/>
      <c r="FL60" s="375"/>
      <c r="FM60" s="375"/>
      <c r="FN60" s="375"/>
      <c r="FO60" s="375"/>
      <c r="FP60" s="375"/>
      <c r="FQ60" s="375"/>
      <c r="FR60" s="375"/>
      <c r="FS60" s="375"/>
      <c r="FT60" s="375"/>
      <c r="FU60" s="375"/>
      <c r="FV60" s="375"/>
      <c r="FW60" s="375"/>
      <c r="FX60" s="375"/>
      <c r="FY60" s="375"/>
      <c r="FZ60" s="375"/>
      <c r="GA60" s="375"/>
      <c r="GB60" s="375"/>
      <c r="GC60" s="375"/>
      <c r="GD60" s="375"/>
      <c r="GE60" s="375"/>
      <c r="GF60" s="375"/>
      <c r="GG60" s="375"/>
      <c r="GH60" s="375"/>
      <c r="GI60" s="375"/>
      <c r="GJ60" s="375"/>
      <c r="GK60" s="375"/>
      <c r="GL60" s="375"/>
      <c r="GM60" s="375"/>
      <c r="GN60" s="375"/>
      <c r="GO60" s="375"/>
      <c r="GP60" s="375"/>
      <c r="GQ60" s="375"/>
      <c r="GR60" s="375"/>
    </row>
    <row r="61" spans="1:200" s="61" customFormat="1" ht="15.75" hidden="1" customHeight="1" x14ac:dyDescent="0.3">
      <c r="A61" s="280"/>
      <c r="B61" s="281"/>
      <c r="C61" s="282"/>
      <c r="D61" s="282">
        <v>1</v>
      </c>
      <c r="E61" s="4">
        <v>47</v>
      </c>
      <c r="F61" s="281"/>
      <c r="G61" s="282"/>
      <c r="H61" s="282"/>
      <c r="I61" s="280"/>
      <c r="J61" s="280"/>
      <c r="K61" s="280"/>
      <c r="L61" s="280"/>
      <c r="M61" s="4"/>
      <c r="N61" s="62" t="s">
        <v>202</v>
      </c>
      <c r="O61" s="62"/>
      <c r="P61" s="62"/>
      <c r="Q61" s="60">
        <f t="shared" si="23"/>
        <v>0</v>
      </c>
      <c r="R61" s="60">
        <f t="shared" si="24"/>
        <v>0</v>
      </c>
      <c r="S61" s="60">
        <f t="shared" si="25"/>
        <v>0</v>
      </c>
      <c r="T61" s="60"/>
      <c r="U61" s="60"/>
      <c r="V61" s="64">
        <f t="shared" si="129"/>
        <v>0</v>
      </c>
      <c r="W61" s="64"/>
      <c r="X61" s="65"/>
      <c r="Y61" s="64"/>
      <c r="Z61" s="78"/>
      <c r="AA61" s="64">
        <f t="shared" si="130"/>
        <v>0</v>
      </c>
      <c r="AB61" s="64"/>
      <c r="AC61" s="65"/>
      <c r="AD61" s="64"/>
      <c r="AE61" s="78"/>
      <c r="AF61" s="64">
        <f t="shared" si="131"/>
        <v>0</v>
      </c>
      <c r="AG61" s="64"/>
      <c r="AH61" s="65"/>
      <c r="AI61" s="64"/>
      <c r="AJ61" s="78"/>
      <c r="AK61" s="64">
        <f t="shared" si="132"/>
        <v>0</v>
      </c>
      <c r="AL61" s="64"/>
      <c r="AM61" s="65"/>
      <c r="AN61" s="64"/>
      <c r="AP61" s="64"/>
      <c r="AQ61" s="64">
        <f t="shared" si="71"/>
        <v>0</v>
      </c>
      <c r="AR61" s="64"/>
      <c r="AS61" s="64"/>
      <c r="AT61" s="64"/>
      <c r="AU61" s="64"/>
      <c r="AV61" s="64">
        <f t="shared" si="9"/>
        <v>0</v>
      </c>
      <c r="AW61" s="64">
        <f t="shared" si="10"/>
        <v>0</v>
      </c>
      <c r="AX61" s="64">
        <f t="shared" si="11"/>
        <v>0</v>
      </c>
      <c r="AY61" s="64">
        <f t="shared" si="12"/>
        <v>0</v>
      </c>
      <c r="AZ61" s="64" t="e">
        <f>#REF!-AU61</f>
        <v>#REF!</v>
      </c>
      <c r="BA61" s="64">
        <f t="shared" si="133"/>
        <v>0</v>
      </c>
      <c r="BB61" s="64"/>
      <c r="BC61" s="64"/>
      <c r="BD61" s="64"/>
      <c r="BE61" s="64"/>
      <c r="BF61" s="64">
        <f t="shared" si="134"/>
        <v>0</v>
      </c>
      <c r="BG61" s="64"/>
      <c r="BH61" s="64"/>
      <c r="BI61" s="64"/>
      <c r="BJ61" s="64"/>
      <c r="BK61" s="64">
        <f t="shared" si="135"/>
        <v>0</v>
      </c>
      <c r="BL61" s="64"/>
      <c r="BM61" s="64"/>
      <c r="BN61" s="64"/>
      <c r="BO61" s="64"/>
      <c r="BP61" s="64">
        <f t="shared" si="136"/>
        <v>0</v>
      </c>
      <c r="BQ61" s="64"/>
      <c r="BR61" s="64"/>
      <c r="BS61" s="64"/>
      <c r="BT61" s="64"/>
      <c r="BU61" s="64">
        <f t="shared" si="137"/>
        <v>0</v>
      </c>
      <c r="BV61" s="64"/>
      <c r="BW61" s="64"/>
      <c r="BX61" s="64"/>
      <c r="BY61" s="64"/>
      <c r="BZ61" s="60">
        <f t="shared" si="138"/>
        <v>0</v>
      </c>
      <c r="CA61" s="64">
        <f t="shared" si="13"/>
        <v>0</v>
      </c>
      <c r="CB61" s="64">
        <f t="shared" si="14"/>
        <v>0</v>
      </c>
      <c r="CC61" s="64">
        <f t="shared" si="15"/>
        <v>0</v>
      </c>
      <c r="CD61" s="64">
        <f t="shared" si="16"/>
        <v>0</v>
      </c>
      <c r="CE61" s="64">
        <f t="shared" si="139"/>
        <v>0</v>
      </c>
      <c r="CF61" s="64">
        <f t="shared" si="17"/>
        <v>0</v>
      </c>
      <c r="CG61" s="64">
        <f t="shared" si="18"/>
        <v>0</v>
      </c>
      <c r="CH61" s="64">
        <f t="shared" si="19"/>
        <v>0</v>
      </c>
      <c r="CI61" s="64">
        <f t="shared" si="20"/>
        <v>0</v>
      </c>
      <c r="CJ61" s="64">
        <f t="shared" si="140"/>
        <v>0</v>
      </c>
      <c r="CK61" s="66"/>
      <c r="CL61" s="67"/>
      <c r="CM61" s="67"/>
      <c r="CN61" s="64">
        <f t="shared" si="141"/>
        <v>0</v>
      </c>
      <c r="CO61" s="64"/>
      <c r="CP61" s="64"/>
      <c r="CQ61" s="64"/>
      <c r="CR61" s="64"/>
      <c r="CS61" s="64">
        <f t="shared" si="142"/>
        <v>0</v>
      </c>
      <c r="CT61" s="64"/>
      <c r="CU61" s="64"/>
      <c r="CV61" s="64"/>
      <c r="CW61" s="64"/>
      <c r="CX61" s="64">
        <f t="shared" si="143"/>
        <v>0</v>
      </c>
      <c r="CY61" s="64">
        <f t="shared" si="151"/>
        <v>0</v>
      </c>
      <c r="CZ61" s="64">
        <f t="shared" si="151"/>
        <v>0</v>
      </c>
      <c r="DA61" s="64">
        <f t="shared" si="151"/>
        <v>0</v>
      </c>
      <c r="DB61" s="64">
        <f t="shared" si="151"/>
        <v>0</v>
      </c>
      <c r="DC61" s="64"/>
      <c r="DD61" s="64"/>
      <c r="DE61" s="64"/>
      <c r="DF61" s="64">
        <f t="shared" si="144"/>
        <v>0</v>
      </c>
      <c r="DH61" s="64">
        <f t="shared" si="145"/>
        <v>0</v>
      </c>
      <c r="DI61" s="64">
        <f t="shared" si="146"/>
        <v>0</v>
      </c>
      <c r="DK61" s="64"/>
      <c r="DL61" s="64"/>
      <c r="DN61" s="64"/>
      <c r="DQ61" s="64">
        <f t="shared" si="149"/>
        <v>0</v>
      </c>
      <c r="DR61" s="64"/>
      <c r="DS61" s="64"/>
      <c r="DT61" s="64"/>
      <c r="DU61" s="64"/>
      <c r="DV61" s="64">
        <f t="shared" si="150"/>
        <v>0</v>
      </c>
      <c r="DW61" s="64"/>
      <c r="DX61" s="64"/>
      <c r="DY61" s="64"/>
      <c r="DZ61" s="64"/>
      <c r="EA61" s="375"/>
      <c r="EB61" s="375"/>
      <c r="EC61" s="375"/>
      <c r="ED61" s="375"/>
      <c r="EE61" s="375"/>
      <c r="EF61" s="375"/>
      <c r="EG61" s="375"/>
      <c r="EH61" s="375"/>
      <c r="EI61" s="375"/>
      <c r="EJ61" s="375"/>
      <c r="EK61" s="375"/>
      <c r="EL61" s="375"/>
      <c r="EM61" s="375"/>
      <c r="EN61" s="375"/>
      <c r="EO61" s="375"/>
      <c r="EP61" s="375"/>
      <c r="EQ61" s="375"/>
      <c r="ER61" s="375"/>
      <c r="ES61" s="375"/>
      <c r="ET61" s="375"/>
      <c r="EU61" s="375"/>
      <c r="EV61" s="375"/>
      <c r="EW61" s="375"/>
      <c r="EX61" s="375"/>
      <c r="EY61" s="375"/>
      <c r="EZ61" s="375"/>
      <c r="FA61" s="375"/>
      <c r="FB61" s="375"/>
      <c r="FC61" s="375"/>
      <c r="FD61" s="375"/>
      <c r="FE61" s="375"/>
      <c r="FF61" s="375"/>
      <c r="FG61" s="375"/>
      <c r="FH61" s="375"/>
      <c r="FI61" s="375"/>
      <c r="FJ61" s="375"/>
      <c r="FK61" s="375"/>
      <c r="FL61" s="375"/>
      <c r="FM61" s="375"/>
      <c r="FN61" s="375"/>
      <c r="FO61" s="375"/>
      <c r="FP61" s="375"/>
      <c r="FQ61" s="375"/>
      <c r="FR61" s="375"/>
      <c r="FS61" s="375"/>
      <c r="FT61" s="375"/>
      <c r="FU61" s="375"/>
      <c r="FV61" s="375"/>
      <c r="FW61" s="375"/>
      <c r="FX61" s="375"/>
      <c r="FY61" s="375"/>
      <c r="FZ61" s="375"/>
      <c r="GA61" s="375"/>
      <c r="GB61" s="375"/>
      <c r="GC61" s="375"/>
      <c r="GD61" s="375"/>
      <c r="GE61" s="375"/>
      <c r="GF61" s="375"/>
      <c r="GG61" s="375"/>
      <c r="GH61" s="375"/>
      <c r="GI61" s="375"/>
      <c r="GJ61" s="375"/>
      <c r="GK61" s="375"/>
      <c r="GL61" s="375"/>
      <c r="GM61" s="375"/>
      <c r="GN61" s="375"/>
      <c r="GO61" s="375"/>
      <c r="GP61" s="375"/>
      <c r="GQ61" s="375"/>
      <c r="GR61" s="375"/>
    </row>
    <row r="62" spans="1:200" s="61" customFormat="1" ht="15.75" customHeight="1" x14ac:dyDescent="0.3">
      <c r="A62" s="280"/>
      <c r="B62" s="281"/>
      <c r="C62" s="282">
        <v>1</v>
      </c>
      <c r="D62" s="282"/>
      <c r="E62" s="4">
        <v>48</v>
      </c>
      <c r="F62" s="281"/>
      <c r="G62" s="282">
        <v>1</v>
      </c>
      <c r="H62" s="282">
        <v>1</v>
      </c>
      <c r="I62" s="280"/>
      <c r="J62" s="280"/>
      <c r="K62" s="280"/>
      <c r="L62" s="280"/>
      <c r="M62" s="4">
        <v>45</v>
      </c>
      <c r="N62" s="62" t="s">
        <v>27</v>
      </c>
      <c r="O62" s="62" t="s">
        <v>448</v>
      </c>
      <c r="P62" s="62" t="s">
        <v>450</v>
      </c>
      <c r="Q62" s="60">
        <f t="shared" si="23"/>
        <v>0</v>
      </c>
      <c r="R62" s="60">
        <f t="shared" si="24"/>
        <v>257.64151000000038</v>
      </c>
      <c r="S62" s="60">
        <f t="shared" si="25"/>
        <v>0</v>
      </c>
      <c r="T62" s="60">
        <v>1</v>
      </c>
      <c r="U62" s="60">
        <v>4</v>
      </c>
      <c r="V62" s="64">
        <f t="shared" si="129"/>
        <v>4420.3</v>
      </c>
      <c r="W62" s="64"/>
      <c r="X62" s="65">
        <v>4420.3</v>
      </c>
      <c r="Y62" s="64"/>
      <c r="Z62" s="73"/>
      <c r="AA62" s="64">
        <f t="shared" si="130"/>
        <v>3820.3</v>
      </c>
      <c r="AB62" s="64"/>
      <c r="AC62" s="65">
        <v>3820.3</v>
      </c>
      <c r="AD62" s="64"/>
      <c r="AE62" s="73"/>
      <c r="AF62" s="64">
        <f t="shared" si="131"/>
        <v>3820.3</v>
      </c>
      <c r="AG62" s="64"/>
      <c r="AH62" s="65">
        <v>3820.3</v>
      </c>
      <c r="AI62" s="64"/>
      <c r="AJ62" s="73"/>
      <c r="AK62" s="64">
        <f t="shared" si="132"/>
        <v>1661</v>
      </c>
      <c r="AL62" s="64"/>
      <c r="AM62" s="65">
        <v>1661</v>
      </c>
      <c r="AN62" s="64"/>
      <c r="AO62" s="73"/>
      <c r="AP62" s="64" t="s">
        <v>536</v>
      </c>
      <c r="AQ62" s="64">
        <f t="shared" si="71"/>
        <v>4420.3</v>
      </c>
      <c r="AR62" s="64"/>
      <c r="AS62" s="65">
        <f>1661+2159.3+600</f>
        <v>4420.3</v>
      </c>
      <c r="AT62" s="64"/>
      <c r="AU62" s="73"/>
      <c r="AV62" s="64">
        <f t="shared" si="9"/>
        <v>0</v>
      </c>
      <c r="AW62" s="64">
        <f t="shared" si="10"/>
        <v>0</v>
      </c>
      <c r="AX62" s="64">
        <f t="shared" si="11"/>
        <v>0</v>
      </c>
      <c r="AY62" s="64">
        <f t="shared" si="12"/>
        <v>0</v>
      </c>
      <c r="AZ62" s="64" t="e">
        <f>#REF!-AU62</f>
        <v>#REF!</v>
      </c>
      <c r="BA62" s="64">
        <f t="shared" si="133"/>
        <v>4420.3</v>
      </c>
      <c r="BB62" s="64"/>
      <c r="BC62" s="65">
        <f>1661+2159.3+600</f>
        <v>4420.3</v>
      </c>
      <c r="BD62" s="64"/>
      <c r="BE62" s="73"/>
      <c r="BF62" s="64">
        <f t="shared" si="134"/>
        <v>0</v>
      </c>
      <c r="BG62" s="64"/>
      <c r="BH62" s="65"/>
      <c r="BI62" s="64"/>
      <c r="BJ62" s="73"/>
      <c r="BK62" s="64">
        <f t="shared" si="135"/>
        <v>4420.3</v>
      </c>
      <c r="BL62" s="64"/>
      <c r="BM62" s="65">
        <f>1661+2159.3+600</f>
        <v>4420.3</v>
      </c>
      <c r="BN62" s="64"/>
      <c r="BO62" s="74"/>
      <c r="BP62" s="64">
        <f t="shared" si="136"/>
        <v>4162.6584899999998</v>
      </c>
      <c r="BQ62" s="64"/>
      <c r="BR62" s="74">
        <f>1577.95+1326.81156+1257.89693</f>
        <v>4162.6584899999998</v>
      </c>
      <c r="BS62" s="64"/>
      <c r="BT62" s="74"/>
      <c r="BU62" s="64">
        <f t="shared" si="137"/>
        <v>1881.9781700000001</v>
      </c>
      <c r="BV62" s="64"/>
      <c r="BW62" s="64">
        <f>781.13189+642.47841+458.36787</f>
        <v>1881.9781700000001</v>
      </c>
      <c r="BX62" s="64"/>
      <c r="BY62" s="64"/>
      <c r="BZ62" s="60">
        <f t="shared" si="138"/>
        <v>6044.6366600000001</v>
      </c>
      <c r="CA62" s="64">
        <f t="shared" si="13"/>
        <v>6044.6366600000001</v>
      </c>
      <c r="CB62" s="64">
        <f t="shared" si="14"/>
        <v>0</v>
      </c>
      <c r="CC62" s="64">
        <f t="shared" si="15"/>
        <v>6044.6366600000001</v>
      </c>
      <c r="CD62" s="64">
        <f t="shared" si="16"/>
        <v>0</v>
      </c>
      <c r="CE62" s="64">
        <f t="shared" si="139"/>
        <v>0</v>
      </c>
      <c r="CF62" s="64">
        <f t="shared" si="17"/>
        <v>257.64151000000038</v>
      </c>
      <c r="CG62" s="64">
        <f t="shared" si="18"/>
        <v>0</v>
      </c>
      <c r="CH62" s="64">
        <f t="shared" si="19"/>
        <v>257.64151000000038</v>
      </c>
      <c r="CI62" s="64">
        <f t="shared" si="20"/>
        <v>0</v>
      </c>
      <c r="CJ62" s="64">
        <f t="shared" si="140"/>
        <v>0</v>
      </c>
      <c r="CK62" s="66"/>
      <c r="CL62" s="76">
        <f>BA62+BA63+BA66+BA69+BA72+BA74+BA75+BA76</f>
        <v>14901.1</v>
      </c>
      <c r="CM62" s="76">
        <f>CL62+CN76-BF69-BF76</f>
        <v>14901.1</v>
      </c>
      <c r="CN62" s="64">
        <f t="shared" si="141"/>
        <v>0</v>
      </c>
      <c r="CO62" s="64"/>
      <c r="CP62" s="65"/>
      <c r="CQ62" s="64"/>
      <c r="CR62" s="73"/>
      <c r="CS62" s="64">
        <f t="shared" si="142"/>
        <v>0</v>
      </c>
      <c r="CT62" s="64"/>
      <c r="CU62" s="65"/>
      <c r="CV62" s="64"/>
      <c r="CW62" s="73"/>
      <c r="CX62" s="64">
        <f t="shared" si="143"/>
        <v>0</v>
      </c>
      <c r="CY62" s="64">
        <f t="shared" si="151"/>
        <v>0</v>
      </c>
      <c r="CZ62" s="64">
        <f t="shared" si="151"/>
        <v>0</v>
      </c>
      <c r="DA62" s="64">
        <f t="shared" si="151"/>
        <v>0</v>
      </c>
      <c r="DB62" s="64">
        <f t="shared" si="151"/>
        <v>0</v>
      </c>
      <c r="DC62" s="64"/>
      <c r="DD62" s="64"/>
      <c r="DE62" s="64"/>
      <c r="DF62" s="64">
        <f t="shared" si="144"/>
        <v>257.64151000000038</v>
      </c>
      <c r="DH62" s="64">
        <f t="shared" si="145"/>
        <v>4420.3</v>
      </c>
      <c r="DI62" s="64">
        <f t="shared" si="146"/>
        <v>4162.6584899999998</v>
      </c>
      <c r="DK62" s="77">
        <f>DI62+DI63+DI66+DI69+DI72+DI74+DI75+DI76</f>
        <v>14643.458490000001</v>
      </c>
      <c r="DL62" s="77">
        <f>DF62+DF63+DF66+DF69+DF72+DF74+DF75+DF76</f>
        <v>257.64151000000038</v>
      </c>
      <c r="DN62" s="77">
        <f>CM62-DK62</f>
        <v>257.64150999999947</v>
      </c>
      <c r="DQ62" s="64">
        <f t="shared" si="149"/>
        <v>4162.6584899999998</v>
      </c>
      <c r="DR62" s="64"/>
      <c r="DS62" s="74">
        <f>1577.95+1326.81156+1257.89693</f>
        <v>4162.6584899999998</v>
      </c>
      <c r="DT62" s="64"/>
      <c r="DU62" s="74"/>
      <c r="DV62" s="64">
        <f t="shared" si="150"/>
        <v>1423.6103000000001</v>
      </c>
      <c r="DW62" s="64"/>
      <c r="DX62" s="64">
        <v>1423.6103000000001</v>
      </c>
      <c r="DY62" s="64"/>
      <c r="DZ62" s="64"/>
      <c r="EA62" s="375"/>
      <c r="EB62" s="375"/>
      <c r="EC62" s="375"/>
      <c r="ED62" s="375"/>
      <c r="EE62" s="375"/>
      <c r="EF62" s="375"/>
      <c r="EG62" s="375"/>
      <c r="EH62" s="375"/>
      <c r="EI62" s="375"/>
      <c r="EJ62" s="375"/>
      <c r="EK62" s="375"/>
      <c r="EL62" s="375"/>
      <c r="EM62" s="375"/>
      <c r="EN62" s="375"/>
      <c r="EO62" s="375"/>
      <c r="EP62" s="375"/>
      <c r="EQ62" s="375"/>
      <c r="ER62" s="375"/>
      <c r="ES62" s="375"/>
      <c r="ET62" s="375"/>
      <c r="EU62" s="375"/>
      <c r="EV62" s="375"/>
      <c r="EW62" s="375"/>
      <c r="EX62" s="375"/>
      <c r="EY62" s="375"/>
      <c r="EZ62" s="375"/>
      <c r="FA62" s="375"/>
      <c r="FB62" s="375"/>
      <c r="FC62" s="375"/>
      <c r="FD62" s="375"/>
      <c r="FE62" s="375"/>
      <c r="FF62" s="375"/>
      <c r="FG62" s="375"/>
      <c r="FH62" s="375"/>
      <c r="FI62" s="375"/>
      <c r="FJ62" s="375"/>
      <c r="FK62" s="375"/>
      <c r="FL62" s="375"/>
      <c r="FM62" s="375"/>
      <c r="FN62" s="375"/>
      <c r="FO62" s="375"/>
      <c r="FP62" s="375"/>
      <c r="FQ62" s="375"/>
      <c r="FR62" s="375"/>
      <c r="FS62" s="375"/>
      <c r="FT62" s="375"/>
      <c r="FU62" s="375"/>
      <c r="FV62" s="375"/>
      <c r="FW62" s="375"/>
      <c r="FX62" s="375"/>
      <c r="FY62" s="375"/>
      <c r="FZ62" s="375"/>
      <c r="GA62" s="375"/>
      <c r="GB62" s="375"/>
      <c r="GC62" s="375"/>
      <c r="GD62" s="375"/>
      <c r="GE62" s="375"/>
      <c r="GF62" s="375"/>
      <c r="GG62" s="375"/>
      <c r="GH62" s="375"/>
      <c r="GI62" s="375"/>
      <c r="GJ62" s="375"/>
      <c r="GK62" s="375"/>
      <c r="GL62" s="375"/>
      <c r="GM62" s="375"/>
      <c r="GN62" s="375"/>
      <c r="GO62" s="375"/>
      <c r="GP62" s="375"/>
      <c r="GQ62" s="375"/>
      <c r="GR62" s="375"/>
    </row>
    <row r="63" spans="1:200" s="61" customFormat="1" ht="15.75" customHeight="1" x14ac:dyDescent="0.3">
      <c r="A63" s="280"/>
      <c r="B63" s="281"/>
      <c r="C63" s="282"/>
      <c r="D63" s="282">
        <v>1</v>
      </c>
      <c r="E63" s="4">
        <v>49</v>
      </c>
      <c r="F63" s="281"/>
      <c r="G63" s="282"/>
      <c r="H63" s="282">
        <v>1</v>
      </c>
      <c r="I63" s="280"/>
      <c r="J63" s="280"/>
      <c r="K63" s="280"/>
      <c r="L63" s="280"/>
      <c r="M63" s="4">
        <v>46</v>
      </c>
      <c r="N63" s="62" t="s">
        <v>36</v>
      </c>
      <c r="O63" s="62" t="s">
        <v>448</v>
      </c>
      <c r="P63" s="62" t="s">
        <v>448</v>
      </c>
      <c r="Q63" s="60">
        <f t="shared" si="23"/>
        <v>0</v>
      </c>
      <c r="R63" s="60">
        <f t="shared" si="24"/>
        <v>0</v>
      </c>
      <c r="S63" s="60">
        <f t="shared" si="25"/>
        <v>0</v>
      </c>
      <c r="T63" s="60">
        <v>1</v>
      </c>
      <c r="U63" s="60">
        <v>1</v>
      </c>
      <c r="V63" s="64">
        <f t="shared" si="129"/>
        <v>625.6</v>
      </c>
      <c r="W63" s="64"/>
      <c r="X63" s="65">
        <v>625.6</v>
      </c>
      <c r="Y63" s="64"/>
      <c r="Z63" s="73"/>
      <c r="AA63" s="64">
        <f t="shared" si="130"/>
        <v>625.6</v>
      </c>
      <c r="AB63" s="64"/>
      <c r="AC63" s="65">
        <v>625.6</v>
      </c>
      <c r="AD63" s="64"/>
      <c r="AE63" s="73"/>
      <c r="AF63" s="64">
        <f t="shared" si="131"/>
        <v>625.6</v>
      </c>
      <c r="AG63" s="64"/>
      <c r="AH63" s="65">
        <v>625.6</v>
      </c>
      <c r="AI63" s="64"/>
      <c r="AJ63" s="73"/>
      <c r="AK63" s="64">
        <f t="shared" si="132"/>
        <v>272</v>
      </c>
      <c r="AL63" s="64"/>
      <c r="AM63" s="65">
        <v>272</v>
      </c>
      <c r="AN63" s="64"/>
      <c r="AO63" s="73"/>
      <c r="AP63" s="64" t="s">
        <v>357</v>
      </c>
      <c r="AQ63" s="64">
        <f t="shared" si="71"/>
        <v>625.6</v>
      </c>
      <c r="AR63" s="64"/>
      <c r="AS63" s="65">
        <f>272+353.6</f>
        <v>625.6</v>
      </c>
      <c r="AT63" s="64"/>
      <c r="AU63" s="73"/>
      <c r="AV63" s="64">
        <f t="shared" si="9"/>
        <v>0</v>
      </c>
      <c r="AW63" s="64">
        <f t="shared" si="10"/>
        <v>0</v>
      </c>
      <c r="AX63" s="64">
        <f t="shared" si="11"/>
        <v>0</v>
      </c>
      <c r="AY63" s="64">
        <f t="shared" si="12"/>
        <v>0</v>
      </c>
      <c r="AZ63" s="64" t="e">
        <f>#REF!-AU63</f>
        <v>#REF!</v>
      </c>
      <c r="BA63" s="64">
        <f t="shared" si="133"/>
        <v>625.6</v>
      </c>
      <c r="BB63" s="64"/>
      <c r="BC63" s="65">
        <f>272+353.6</f>
        <v>625.6</v>
      </c>
      <c r="BD63" s="64"/>
      <c r="BE63" s="73"/>
      <c r="BF63" s="64">
        <f t="shared" si="134"/>
        <v>0</v>
      </c>
      <c r="BG63" s="64"/>
      <c r="BH63" s="64"/>
      <c r="BI63" s="64"/>
      <c r="BJ63" s="73"/>
      <c r="BK63" s="64">
        <f t="shared" si="135"/>
        <v>625.6</v>
      </c>
      <c r="BL63" s="64"/>
      <c r="BM63" s="65">
        <f>272+353.6</f>
        <v>625.6</v>
      </c>
      <c r="BN63" s="64"/>
      <c r="BO63" s="74"/>
      <c r="BP63" s="64">
        <f t="shared" si="136"/>
        <v>625.6</v>
      </c>
      <c r="BQ63" s="64"/>
      <c r="BR63" s="64">
        <f>272+353.6</f>
        <v>625.6</v>
      </c>
      <c r="BS63" s="64"/>
      <c r="BT63" s="74"/>
      <c r="BU63" s="64">
        <f t="shared" si="137"/>
        <v>258.73160999999999</v>
      </c>
      <c r="BV63" s="64"/>
      <c r="BW63" s="64">
        <f>129.89656+128.83505</f>
        <v>258.73160999999999</v>
      </c>
      <c r="BX63" s="64"/>
      <c r="BY63" s="64"/>
      <c r="BZ63" s="60">
        <f t="shared" si="138"/>
        <v>884.33160999999996</v>
      </c>
      <c r="CA63" s="64">
        <f t="shared" si="13"/>
        <v>884.33160999999996</v>
      </c>
      <c r="CB63" s="64">
        <f t="shared" si="14"/>
        <v>0</v>
      </c>
      <c r="CC63" s="64">
        <f t="shared" si="15"/>
        <v>884.33160999999996</v>
      </c>
      <c r="CD63" s="64">
        <f t="shared" si="16"/>
        <v>0</v>
      </c>
      <c r="CE63" s="64">
        <f t="shared" si="139"/>
        <v>0</v>
      </c>
      <c r="CF63" s="64">
        <f t="shared" si="17"/>
        <v>0</v>
      </c>
      <c r="CG63" s="64">
        <f t="shared" si="18"/>
        <v>0</v>
      </c>
      <c r="CH63" s="64">
        <f t="shared" si="19"/>
        <v>0</v>
      </c>
      <c r="CI63" s="64">
        <f t="shared" si="20"/>
        <v>0</v>
      </c>
      <c r="CJ63" s="64">
        <f t="shared" si="140"/>
        <v>0</v>
      </c>
      <c r="CK63" s="66"/>
      <c r="CL63" s="67">
        <f>BA57-CL58-CL62</f>
        <v>11342.445000000002</v>
      </c>
      <c r="CM63" s="67">
        <f>CL63-BF60-BF73</f>
        <v>11342.445000000002</v>
      </c>
      <c r="CN63" s="64">
        <f t="shared" si="141"/>
        <v>0</v>
      </c>
      <c r="CO63" s="64"/>
      <c r="CP63" s="64"/>
      <c r="CQ63" s="64"/>
      <c r="CR63" s="73"/>
      <c r="CS63" s="64">
        <f t="shared" si="142"/>
        <v>0</v>
      </c>
      <c r="CT63" s="64"/>
      <c r="CU63" s="64"/>
      <c r="CV63" s="64"/>
      <c r="CW63" s="73"/>
      <c r="CX63" s="64">
        <f t="shared" si="143"/>
        <v>0</v>
      </c>
      <c r="CY63" s="64">
        <f t="shared" si="151"/>
        <v>0</v>
      </c>
      <c r="CZ63" s="64">
        <f t="shared" si="151"/>
        <v>0</v>
      </c>
      <c r="DA63" s="64">
        <f t="shared" si="151"/>
        <v>0</v>
      </c>
      <c r="DB63" s="64">
        <f t="shared" si="151"/>
        <v>0</v>
      </c>
      <c r="DC63" s="64"/>
      <c r="DD63" s="64"/>
      <c r="DE63" s="64"/>
      <c r="DF63" s="64">
        <f t="shared" si="144"/>
        <v>0</v>
      </c>
      <c r="DH63" s="64">
        <f t="shared" si="145"/>
        <v>625.6</v>
      </c>
      <c r="DI63" s="64">
        <f t="shared" si="146"/>
        <v>625.6</v>
      </c>
      <c r="DK63" s="64">
        <f>DI60+DI61+DI64+DI65+DI67+DI68+DI70+DI71+DI73+DI77+DI78</f>
        <v>11259.937000000002</v>
      </c>
      <c r="DL63" s="64">
        <f>DF60+DF61+DF64+DF65+DF67+DF68+DF70+DF71+DF73+DF77+DF78</f>
        <v>82.507999999999811</v>
      </c>
      <c r="DN63" s="64">
        <f>CM63-DK63</f>
        <v>82.507999999999811</v>
      </c>
      <c r="DQ63" s="64">
        <f t="shared" si="149"/>
        <v>625.6</v>
      </c>
      <c r="DR63" s="64"/>
      <c r="DS63" s="64">
        <f>272+353.6</f>
        <v>625.6</v>
      </c>
      <c r="DT63" s="64"/>
      <c r="DU63" s="74"/>
      <c r="DV63" s="64">
        <f t="shared" si="150"/>
        <v>258.73160999999999</v>
      </c>
      <c r="DW63" s="64"/>
      <c r="DX63" s="64">
        <v>258.73160999999999</v>
      </c>
      <c r="DY63" s="64"/>
      <c r="DZ63" s="64"/>
      <c r="EA63" s="375"/>
      <c r="EB63" s="375"/>
      <c r="EC63" s="375"/>
      <c r="ED63" s="375"/>
      <c r="EE63" s="375"/>
      <c r="EF63" s="375"/>
      <c r="EG63" s="375"/>
      <c r="EH63" s="375"/>
      <c r="EI63" s="375"/>
      <c r="EJ63" s="375"/>
      <c r="EK63" s="375"/>
      <c r="EL63" s="375"/>
      <c r="EM63" s="375"/>
      <c r="EN63" s="375"/>
      <c r="EO63" s="375"/>
      <c r="EP63" s="375"/>
      <c r="EQ63" s="375"/>
      <c r="ER63" s="375"/>
      <c r="ES63" s="375"/>
      <c r="ET63" s="375"/>
      <c r="EU63" s="375"/>
      <c r="EV63" s="375"/>
      <c r="EW63" s="375"/>
      <c r="EX63" s="375"/>
      <c r="EY63" s="375"/>
      <c r="EZ63" s="375"/>
      <c r="FA63" s="375"/>
      <c r="FB63" s="375"/>
      <c r="FC63" s="375"/>
      <c r="FD63" s="375"/>
      <c r="FE63" s="375"/>
      <c r="FF63" s="375"/>
      <c r="FG63" s="375"/>
      <c r="FH63" s="375"/>
      <c r="FI63" s="375"/>
      <c r="FJ63" s="375"/>
      <c r="FK63" s="375"/>
      <c r="FL63" s="375"/>
      <c r="FM63" s="375"/>
      <c r="FN63" s="375"/>
      <c r="FO63" s="375"/>
      <c r="FP63" s="375"/>
      <c r="FQ63" s="375"/>
      <c r="FR63" s="375"/>
      <c r="FS63" s="375"/>
      <c r="FT63" s="375"/>
      <c r="FU63" s="375"/>
      <c r="FV63" s="375"/>
      <c r="FW63" s="375"/>
      <c r="FX63" s="375"/>
      <c r="FY63" s="375"/>
      <c r="FZ63" s="375"/>
      <c r="GA63" s="375"/>
      <c r="GB63" s="375"/>
      <c r="GC63" s="375"/>
      <c r="GD63" s="375"/>
      <c r="GE63" s="375"/>
      <c r="GF63" s="375"/>
      <c r="GG63" s="375"/>
      <c r="GH63" s="375"/>
      <c r="GI63" s="375"/>
      <c r="GJ63" s="375"/>
      <c r="GK63" s="375"/>
      <c r="GL63" s="375"/>
      <c r="GM63" s="375"/>
      <c r="GN63" s="375"/>
      <c r="GO63" s="375"/>
      <c r="GP63" s="375"/>
      <c r="GQ63" s="375"/>
      <c r="GR63" s="375"/>
    </row>
    <row r="64" spans="1:200" s="61" customFormat="1" ht="15.75" customHeight="1" x14ac:dyDescent="0.3">
      <c r="A64" s="280"/>
      <c r="B64" s="281"/>
      <c r="C64" s="282"/>
      <c r="D64" s="282">
        <v>1</v>
      </c>
      <c r="E64" s="4">
        <v>50</v>
      </c>
      <c r="F64" s="281"/>
      <c r="G64" s="282"/>
      <c r="H64" s="282">
        <v>1</v>
      </c>
      <c r="I64" s="280"/>
      <c r="J64" s="280"/>
      <c r="K64" s="280"/>
      <c r="L64" s="280"/>
      <c r="M64" s="4">
        <v>47</v>
      </c>
      <c r="N64" s="62" t="s">
        <v>325</v>
      </c>
      <c r="O64" s="62">
        <v>0</v>
      </c>
      <c r="P64" s="62">
        <v>0</v>
      </c>
      <c r="Q64" s="60">
        <f t="shared" si="23"/>
        <v>0</v>
      </c>
      <c r="R64" s="60">
        <f t="shared" si="24"/>
        <v>0</v>
      </c>
      <c r="S64" s="60">
        <f t="shared" si="25"/>
        <v>0</v>
      </c>
      <c r="T64" s="60"/>
      <c r="U64" s="60"/>
      <c r="V64" s="64">
        <f t="shared" si="129"/>
        <v>0</v>
      </c>
      <c r="W64" s="64"/>
      <c r="X64" s="65">
        <v>0</v>
      </c>
      <c r="Y64" s="64"/>
      <c r="Z64" s="73"/>
      <c r="AA64" s="64">
        <f t="shared" si="130"/>
        <v>664.7</v>
      </c>
      <c r="AB64" s="64"/>
      <c r="AC64" s="65">
        <v>664.7</v>
      </c>
      <c r="AD64" s="64"/>
      <c r="AE64" s="73"/>
      <c r="AF64" s="64">
        <f t="shared" si="131"/>
        <v>664.7</v>
      </c>
      <c r="AG64" s="64"/>
      <c r="AH64" s="65">
        <v>664.7</v>
      </c>
      <c r="AI64" s="64"/>
      <c r="AJ64" s="73"/>
      <c r="AK64" s="64">
        <f t="shared" si="132"/>
        <v>289</v>
      </c>
      <c r="AL64" s="64"/>
      <c r="AM64" s="65">
        <v>289</v>
      </c>
      <c r="AN64" s="64"/>
      <c r="AO64" s="73"/>
      <c r="AP64" s="64"/>
      <c r="AQ64" s="64">
        <f t="shared" si="71"/>
        <v>0</v>
      </c>
      <c r="AR64" s="64"/>
      <c r="AS64" s="64"/>
      <c r="AT64" s="64"/>
      <c r="AU64" s="64"/>
      <c r="AV64" s="64">
        <f t="shared" si="9"/>
        <v>0</v>
      </c>
      <c r="AW64" s="64">
        <f t="shared" si="10"/>
        <v>0</v>
      </c>
      <c r="AX64" s="64">
        <f t="shared" si="11"/>
        <v>0</v>
      </c>
      <c r="AY64" s="64">
        <f t="shared" si="12"/>
        <v>0</v>
      </c>
      <c r="AZ64" s="64" t="e">
        <f>#REF!-AU64</f>
        <v>#REF!</v>
      </c>
      <c r="BA64" s="64">
        <f t="shared" si="133"/>
        <v>0</v>
      </c>
      <c r="BB64" s="64"/>
      <c r="BC64" s="64"/>
      <c r="BD64" s="64"/>
      <c r="BE64" s="64"/>
      <c r="BF64" s="64">
        <f t="shared" si="134"/>
        <v>0</v>
      </c>
      <c r="BG64" s="64"/>
      <c r="BH64" s="64"/>
      <c r="BI64" s="64"/>
      <c r="BJ64" s="64"/>
      <c r="BK64" s="64">
        <f t="shared" si="135"/>
        <v>0</v>
      </c>
      <c r="BL64" s="64"/>
      <c r="BM64" s="64"/>
      <c r="BN64" s="64"/>
      <c r="BO64" s="64"/>
      <c r="BP64" s="64">
        <f t="shared" si="136"/>
        <v>0</v>
      </c>
      <c r="BQ64" s="64"/>
      <c r="BR64" s="64"/>
      <c r="BS64" s="64"/>
      <c r="BT64" s="64"/>
      <c r="BU64" s="64">
        <f t="shared" si="137"/>
        <v>0</v>
      </c>
      <c r="BV64" s="64"/>
      <c r="BW64" s="64"/>
      <c r="BX64" s="64"/>
      <c r="BY64" s="64"/>
      <c r="BZ64" s="60">
        <f t="shared" si="138"/>
        <v>0</v>
      </c>
      <c r="CA64" s="64">
        <f t="shared" si="13"/>
        <v>0</v>
      </c>
      <c r="CB64" s="64">
        <f t="shared" si="14"/>
        <v>0</v>
      </c>
      <c r="CC64" s="64">
        <f t="shared" si="15"/>
        <v>0</v>
      </c>
      <c r="CD64" s="64">
        <f t="shared" si="16"/>
        <v>0</v>
      </c>
      <c r="CE64" s="64">
        <f t="shared" si="139"/>
        <v>0</v>
      </c>
      <c r="CF64" s="64">
        <f t="shared" si="17"/>
        <v>0</v>
      </c>
      <c r="CG64" s="64">
        <f t="shared" si="18"/>
        <v>0</v>
      </c>
      <c r="CH64" s="64">
        <f t="shared" si="19"/>
        <v>0</v>
      </c>
      <c r="CI64" s="64">
        <f t="shared" si="20"/>
        <v>0</v>
      </c>
      <c r="CJ64" s="64">
        <f t="shared" si="140"/>
        <v>0</v>
      </c>
      <c r="CK64" s="66"/>
      <c r="CL64" s="67"/>
      <c r="CM64" s="67"/>
      <c r="CN64" s="64">
        <f t="shared" si="141"/>
        <v>0</v>
      </c>
      <c r="CO64" s="64"/>
      <c r="CP64" s="64"/>
      <c r="CQ64" s="64"/>
      <c r="CR64" s="64"/>
      <c r="CS64" s="64">
        <f t="shared" si="142"/>
        <v>0</v>
      </c>
      <c r="CT64" s="64"/>
      <c r="CU64" s="64"/>
      <c r="CV64" s="64"/>
      <c r="CW64" s="64"/>
      <c r="CX64" s="64">
        <f t="shared" si="143"/>
        <v>0</v>
      </c>
      <c r="CY64" s="64">
        <f t="shared" si="151"/>
        <v>0</v>
      </c>
      <c r="CZ64" s="64">
        <f t="shared" si="151"/>
        <v>0</v>
      </c>
      <c r="DA64" s="64">
        <f t="shared" si="151"/>
        <v>0</v>
      </c>
      <c r="DB64" s="64">
        <f t="shared" si="151"/>
        <v>0</v>
      </c>
      <c r="DC64" s="64"/>
      <c r="DD64" s="64"/>
      <c r="DE64" s="64"/>
      <c r="DF64" s="64">
        <f t="shared" si="144"/>
        <v>0</v>
      </c>
      <c r="DH64" s="64">
        <f t="shared" si="145"/>
        <v>0</v>
      </c>
      <c r="DI64" s="64">
        <f t="shared" si="146"/>
        <v>0</v>
      </c>
      <c r="DK64" s="64"/>
      <c r="DL64" s="64"/>
      <c r="DN64" s="64"/>
      <c r="DQ64" s="64">
        <f t="shared" si="149"/>
        <v>0</v>
      </c>
      <c r="DR64" s="64"/>
      <c r="DS64" s="64"/>
      <c r="DT64" s="64"/>
      <c r="DU64" s="64"/>
      <c r="DV64" s="64">
        <f t="shared" si="150"/>
        <v>0</v>
      </c>
      <c r="DW64" s="64"/>
      <c r="DX64" s="64"/>
      <c r="DY64" s="64"/>
      <c r="DZ64" s="64"/>
      <c r="EA64" s="375"/>
      <c r="EB64" s="375"/>
      <c r="EC64" s="375"/>
      <c r="ED64" s="375"/>
      <c r="EE64" s="375"/>
      <c r="EF64" s="375"/>
      <c r="EG64" s="375"/>
      <c r="EH64" s="375"/>
      <c r="EI64" s="375"/>
      <c r="EJ64" s="375"/>
      <c r="EK64" s="375"/>
      <c r="EL64" s="375"/>
      <c r="EM64" s="375"/>
      <c r="EN64" s="375"/>
      <c r="EO64" s="375"/>
      <c r="EP64" s="375"/>
      <c r="EQ64" s="375"/>
      <c r="ER64" s="375"/>
      <c r="ES64" s="375"/>
      <c r="ET64" s="375"/>
      <c r="EU64" s="375"/>
      <c r="EV64" s="375"/>
      <c r="EW64" s="375"/>
      <c r="EX64" s="375"/>
      <c r="EY64" s="375"/>
      <c r="EZ64" s="375"/>
      <c r="FA64" s="375"/>
      <c r="FB64" s="375"/>
      <c r="FC64" s="375"/>
      <c r="FD64" s="375"/>
      <c r="FE64" s="375"/>
      <c r="FF64" s="375"/>
      <c r="FG64" s="375"/>
      <c r="FH64" s="375"/>
      <c r="FI64" s="375"/>
      <c r="FJ64" s="375"/>
      <c r="FK64" s="375"/>
      <c r="FL64" s="375"/>
      <c r="FM64" s="375"/>
      <c r="FN64" s="375"/>
      <c r="FO64" s="375"/>
      <c r="FP64" s="375"/>
      <c r="FQ64" s="375"/>
      <c r="FR64" s="375"/>
      <c r="FS64" s="375"/>
      <c r="FT64" s="375"/>
      <c r="FU64" s="375"/>
      <c r="FV64" s="375"/>
      <c r="FW64" s="375"/>
      <c r="FX64" s="375"/>
      <c r="FY64" s="375"/>
      <c r="FZ64" s="375"/>
      <c r="GA64" s="375"/>
      <c r="GB64" s="375"/>
      <c r="GC64" s="375"/>
      <c r="GD64" s="375"/>
      <c r="GE64" s="375"/>
      <c r="GF64" s="375"/>
      <c r="GG64" s="375"/>
      <c r="GH64" s="375"/>
      <c r="GI64" s="375"/>
      <c r="GJ64" s="375"/>
      <c r="GK64" s="375"/>
      <c r="GL64" s="375"/>
      <c r="GM64" s="375"/>
      <c r="GN64" s="375"/>
      <c r="GO64" s="375"/>
      <c r="GP64" s="375"/>
      <c r="GQ64" s="375"/>
      <c r="GR64" s="375"/>
    </row>
    <row r="65" spans="1:200" s="61" customFormat="1" ht="15.75" customHeight="1" x14ac:dyDescent="0.3">
      <c r="A65" s="280"/>
      <c r="B65" s="281"/>
      <c r="C65" s="282"/>
      <c r="D65" s="282">
        <v>1</v>
      </c>
      <c r="E65" s="4">
        <v>51</v>
      </c>
      <c r="F65" s="281"/>
      <c r="G65" s="282"/>
      <c r="H65" s="282">
        <v>1</v>
      </c>
      <c r="I65" s="280"/>
      <c r="J65" s="280"/>
      <c r="K65" s="280"/>
      <c r="L65" s="280"/>
      <c r="M65" s="4">
        <v>48</v>
      </c>
      <c r="N65" s="62" t="s">
        <v>166</v>
      </c>
      <c r="O65" s="62" t="s">
        <v>448</v>
      </c>
      <c r="P65" s="62" t="s">
        <v>449</v>
      </c>
      <c r="Q65" s="60">
        <f t="shared" si="23"/>
        <v>0</v>
      </c>
      <c r="R65" s="60">
        <f t="shared" si="24"/>
        <v>0</v>
      </c>
      <c r="S65" s="60">
        <f t="shared" si="25"/>
        <v>82.507999999999811</v>
      </c>
      <c r="T65" s="60">
        <v>1</v>
      </c>
      <c r="U65" s="60">
        <v>2</v>
      </c>
      <c r="V65" s="64">
        <f t="shared" si="129"/>
        <v>8836.7999999999993</v>
      </c>
      <c r="W65" s="64"/>
      <c r="X65" s="65">
        <v>2336.8000000000002</v>
      </c>
      <c r="Y65" s="64">
        <v>6500</v>
      </c>
      <c r="Z65" s="73"/>
      <c r="AA65" s="64">
        <f t="shared" si="130"/>
        <v>8836.7999999999993</v>
      </c>
      <c r="AB65" s="64"/>
      <c r="AC65" s="65">
        <v>2336.8000000000002</v>
      </c>
      <c r="AD65" s="64">
        <v>6500</v>
      </c>
      <c r="AE65" s="73"/>
      <c r="AF65" s="64">
        <f t="shared" si="131"/>
        <v>2336.8000000000002</v>
      </c>
      <c r="AG65" s="64"/>
      <c r="AH65" s="65">
        <v>2336.8000000000002</v>
      </c>
      <c r="AI65" s="64"/>
      <c r="AJ65" s="73"/>
      <c r="AK65" s="64">
        <f t="shared" si="132"/>
        <v>1016</v>
      </c>
      <c r="AL65" s="64"/>
      <c r="AM65" s="65">
        <v>1016</v>
      </c>
      <c r="AN65" s="64"/>
      <c r="AO65" s="73"/>
      <c r="AP65" s="64" t="s">
        <v>407</v>
      </c>
      <c r="AQ65" s="64">
        <f t="shared" si="71"/>
        <v>8836.7999999999993</v>
      </c>
      <c r="AR65" s="64"/>
      <c r="AS65" s="65">
        <f>1016+1320.8</f>
        <v>2336.8000000000002</v>
      </c>
      <c r="AT65" s="64">
        <v>6500</v>
      </c>
      <c r="AU65" s="73"/>
      <c r="AV65" s="64">
        <f t="shared" si="9"/>
        <v>0</v>
      </c>
      <c r="AW65" s="64">
        <f t="shared" si="10"/>
        <v>0</v>
      </c>
      <c r="AX65" s="64">
        <f t="shared" si="11"/>
        <v>0</v>
      </c>
      <c r="AY65" s="64">
        <f t="shared" si="12"/>
        <v>0</v>
      </c>
      <c r="AZ65" s="64" t="e">
        <f>#REF!-AU65</f>
        <v>#REF!</v>
      </c>
      <c r="BA65" s="64">
        <f t="shared" si="133"/>
        <v>8836.7999999999993</v>
      </c>
      <c r="BB65" s="64"/>
      <c r="BC65" s="65">
        <f>1016+1320.8</f>
        <v>2336.8000000000002</v>
      </c>
      <c r="BD65" s="64">
        <v>6500</v>
      </c>
      <c r="BE65" s="73"/>
      <c r="BF65" s="64">
        <f t="shared" si="134"/>
        <v>0</v>
      </c>
      <c r="BG65" s="64"/>
      <c r="BH65" s="65"/>
      <c r="BI65" s="64"/>
      <c r="BJ65" s="73"/>
      <c r="BK65" s="64">
        <f t="shared" si="135"/>
        <v>8836.7999999999993</v>
      </c>
      <c r="BL65" s="64"/>
      <c r="BM65" s="65">
        <f>1016+1320.8</f>
        <v>2336.8000000000002</v>
      </c>
      <c r="BN65" s="64">
        <v>6500</v>
      </c>
      <c r="BO65" s="74"/>
      <c r="BP65" s="64">
        <f t="shared" si="136"/>
        <v>8754.2920000000013</v>
      </c>
      <c r="BQ65" s="64"/>
      <c r="BR65" s="74">
        <f>2336.8</f>
        <v>2336.8000000000002</v>
      </c>
      <c r="BS65" s="64">
        <f>3888.848+712.16+1816.484</f>
        <v>6417.4920000000002</v>
      </c>
      <c r="BT65" s="74"/>
      <c r="BU65" s="64">
        <f t="shared" si="137"/>
        <v>3429.4861099999998</v>
      </c>
      <c r="BV65" s="64"/>
      <c r="BW65" s="64">
        <v>1206.42653</v>
      </c>
      <c r="BX65" s="64">
        <f>1359.0407+258.52419+605.49469</f>
        <v>2223.0595800000001</v>
      </c>
      <c r="BY65" s="64"/>
      <c r="BZ65" s="60">
        <f t="shared" si="138"/>
        <v>12183.778109999999</v>
      </c>
      <c r="CA65" s="64">
        <f t="shared" si="13"/>
        <v>12183.778109999999</v>
      </c>
      <c r="CB65" s="64">
        <f t="shared" si="14"/>
        <v>0</v>
      </c>
      <c r="CC65" s="64">
        <f t="shared" si="15"/>
        <v>3543.2265299999999</v>
      </c>
      <c r="CD65" s="64">
        <f t="shared" si="16"/>
        <v>8640.5515799999994</v>
      </c>
      <c r="CE65" s="64">
        <f t="shared" si="139"/>
        <v>0</v>
      </c>
      <c r="CF65" s="64">
        <f t="shared" si="17"/>
        <v>82.507999999999811</v>
      </c>
      <c r="CG65" s="64">
        <f t="shared" si="18"/>
        <v>0</v>
      </c>
      <c r="CH65" s="64">
        <f t="shared" si="19"/>
        <v>0</v>
      </c>
      <c r="CI65" s="64">
        <f t="shared" si="20"/>
        <v>82.507999999999811</v>
      </c>
      <c r="CJ65" s="64">
        <f t="shared" si="140"/>
        <v>0</v>
      </c>
      <c r="CK65" s="66"/>
      <c r="CL65" s="67"/>
      <c r="CM65" s="67"/>
      <c r="CN65" s="64">
        <f t="shared" si="141"/>
        <v>0</v>
      </c>
      <c r="CO65" s="64"/>
      <c r="CP65" s="65"/>
      <c r="CQ65" s="64"/>
      <c r="CR65" s="73"/>
      <c r="CS65" s="64">
        <f t="shared" si="142"/>
        <v>0</v>
      </c>
      <c r="CT65" s="64"/>
      <c r="CU65" s="65"/>
      <c r="CV65" s="64"/>
      <c r="CW65" s="73"/>
      <c r="CX65" s="64">
        <f t="shared" si="143"/>
        <v>0</v>
      </c>
      <c r="CY65" s="64">
        <f t="shared" si="151"/>
        <v>0</v>
      </c>
      <c r="CZ65" s="64">
        <f t="shared" si="151"/>
        <v>0</v>
      </c>
      <c r="DA65" s="64">
        <f t="shared" si="151"/>
        <v>0</v>
      </c>
      <c r="DB65" s="64">
        <f t="shared" si="151"/>
        <v>0</v>
      </c>
      <c r="DC65" s="64"/>
      <c r="DD65" s="64"/>
      <c r="DE65" s="64"/>
      <c r="DF65" s="64">
        <f t="shared" si="144"/>
        <v>82.507999999999811</v>
      </c>
      <c r="DH65" s="64">
        <f t="shared" si="145"/>
        <v>8836.7999999999993</v>
      </c>
      <c r="DI65" s="64">
        <f t="shared" si="146"/>
        <v>8754.2920000000013</v>
      </c>
      <c r="DK65" s="64"/>
      <c r="DL65" s="64"/>
      <c r="DN65" s="64"/>
      <c r="DQ65" s="64">
        <f t="shared" si="149"/>
        <v>6937.808</v>
      </c>
      <c r="DR65" s="64"/>
      <c r="DS65" s="74">
        <f>2336.8</f>
        <v>2336.8000000000002</v>
      </c>
      <c r="DT65" s="64">
        <v>4601.0079999999998</v>
      </c>
      <c r="DU65" s="74"/>
      <c r="DV65" s="64">
        <f t="shared" si="150"/>
        <v>2823.9914200000003</v>
      </c>
      <c r="DW65" s="64"/>
      <c r="DX65" s="64">
        <v>1206.42653</v>
      </c>
      <c r="DY65" s="64">
        <v>1617.5648900000001</v>
      </c>
      <c r="DZ65" s="64"/>
      <c r="EA65" s="375"/>
      <c r="EB65" s="375"/>
      <c r="EC65" s="375"/>
      <c r="ED65" s="375"/>
      <c r="EE65" s="375"/>
      <c r="EF65" s="375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  <c r="EV65" s="375"/>
      <c r="EW65" s="375"/>
      <c r="EX65" s="375"/>
      <c r="EY65" s="375"/>
      <c r="EZ65" s="375"/>
      <c r="FA65" s="375"/>
      <c r="FB65" s="375"/>
      <c r="FC65" s="375"/>
      <c r="FD65" s="375"/>
      <c r="FE65" s="375"/>
      <c r="FF65" s="375"/>
      <c r="FG65" s="375"/>
      <c r="FH65" s="375"/>
      <c r="FI65" s="375"/>
      <c r="FJ65" s="375"/>
      <c r="FK65" s="375"/>
      <c r="FL65" s="375"/>
      <c r="FM65" s="375"/>
      <c r="FN65" s="375"/>
      <c r="FO65" s="375"/>
      <c r="FP65" s="375"/>
      <c r="FQ65" s="375"/>
      <c r="FR65" s="375"/>
      <c r="FS65" s="375"/>
      <c r="FT65" s="375"/>
      <c r="FU65" s="375"/>
      <c r="FV65" s="375"/>
      <c r="FW65" s="375"/>
      <c r="FX65" s="375"/>
      <c r="FY65" s="375"/>
      <c r="FZ65" s="375"/>
      <c r="GA65" s="375"/>
      <c r="GB65" s="375"/>
      <c r="GC65" s="375"/>
      <c r="GD65" s="375"/>
      <c r="GE65" s="375"/>
      <c r="GF65" s="375"/>
      <c r="GG65" s="375"/>
      <c r="GH65" s="375"/>
      <c r="GI65" s="375"/>
      <c r="GJ65" s="375"/>
      <c r="GK65" s="375"/>
      <c r="GL65" s="375"/>
      <c r="GM65" s="375"/>
      <c r="GN65" s="375"/>
      <c r="GO65" s="375"/>
      <c r="GP65" s="375"/>
      <c r="GQ65" s="375"/>
      <c r="GR65" s="375"/>
    </row>
    <row r="66" spans="1:200" s="61" customFormat="1" ht="15.75" customHeight="1" x14ac:dyDescent="0.3">
      <c r="A66" s="280"/>
      <c r="B66" s="281"/>
      <c r="C66" s="282">
        <v>1</v>
      </c>
      <c r="D66" s="282"/>
      <c r="E66" s="4">
        <v>52</v>
      </c>
      <c r="F66" s="281"/>
      <c r="G66" s="282">
        <v>1</v>
      </c>
      <c r="H66" s="282">
        <v>1</v>
      </c>
      <c r="I66" s="280"/>
      <c r="J66" s="280"/>
      <c r="K66" s="280"/>
      <c r="L66" s="280"/>
      <c r="M66" s="4">
        <v>49</v>
      </c>
      <c r="N66" s="62" t="s">
        <v>37</v>
      </c>
      <c r="O66" s="62" t="s">
        <v>450</v>
      </c>
      <c r="P66" s="62" t="s">
        <v>448</v>
      </c>
      <c r="Q66" s="60">
        <f t="shared" si="23"/>
        <v>0</v>
      </c>
      <c r="R66" s="60">
        <f t="shared" si="24"/>
        <v>0</v>
      </c>
      <c r="S66" s="60">
        <f t="shared" si="25"/>
        <v>0</v>
      </c>
      <c r="T66" s="60">
        <v>1</v>
      </c>
      <c r="U66" s="60">
        <v>2</v>
      </c>
      <c r="V66" s="64">
        <f t="shared" si="129"/>
        <v>382.8</v>
      </c>
      <c r="W66" s="64"/>
      <c r="X66" s="65">
        <v>382.8</v>
      </c>
      <c r="Y66" s="64"/>
      <c r="Z66" s="73"/>
      <c r="AA66" s="64">
        <f t="shared" si="130"/>
        <v>82.8</v>
      </c>
      <c r="AB66" s="64"/>
      <c r="AC66" s="65">
        <v>82.8</v>
      </c>
      <c r="AD66" s="64"/>
      <c r="AE66" s="73"/>
      <c r="AF66" s="64">
        <f t="shared" si="131"/>
        <v>82.8</v>
      </c>
      <c r="AG66" s="64"/>
      <c r="AH66" s="65">
        <v>82.8</v>
      </c>
      <c r="AI66" s="64"/>
      <c r="AJ66" s="73"/>
      <c r="AK66" s="64">
        <f t="shared" si="132"/>
        <v>36</v>
      </c>
      <c r="AL66" s="64"/>
      <c r="AM66" s="65">
        <v>36</v>
      </c>
      <c r="AN66" s="64"/>
      <c r="AO66" s="73"/>
      <c r="AP66" s="64" t="s">
        <v>417</v>
      </c>
      <c r="AQ66" s="64">
        <f t="shared" si="71"/>
        <v>382.8</v>
      </c>
      <c r="AR66" s="64"/>
      <c r="AS66" s="65">
        <f>36+46.8+300</f>
        <v>382.8</v>
      </c>
      <c r="AT66" s="64"/>
      <c r="AU66" s="73"/>
      <c r="AV66" s="64">
        <f t="shared" si="9"/>
        <v>0</v>
      </c>
      <c r="AW66" s="64">
        <f t="shared" si="10"/>
        <v>0</v>
      </c>
      <c r="AX66" s="64">
        <f t="shared" si="11"/>
        <v>0</v>
      </c>
      <c r="AY66" s="64">
        <f t="shared" si="12"/>
        <v>0</v>
      </c>
      <c r="AZ66" s="64" t="e">
        <f>#REF!-AU66</f>
        <v>#REF!</v>
      </c>
      <c r="BA66" s="64">
        <f t="shared" si="133"/>
        <v>382.8</v>
      </c>
      <c r="BB66" s="64"/>
      <c r="BC66" s="65">
        <f>36+46.8+300</f>
        <v>382.8</v>
      </c>
      <c r="BD66" s="64"/>
      <c r="BE66" s="73"/>
      <c r="BF66" s="64">
        <f t="shared" si="134"/>
        <v>0</v>
      </c>
      <c r="BG66" s="64"/>
      <c r="BH66" s="65"/>
      <c r="BI66" s="64"/>
      <c r="BJ66" s="73"/>
      <c r="BK66" s="64">
        <f t="shared" si="135"/>
        <v>382.8</v>
      </c>
      <c r="BL66" s="64"/>
      <c r="BM66" s="65">
        <f>36+46.8+300</f>
        <v>382.8</v>
      </c>
      <c r="BN66" s="64"/>
      <c r="BO66" s="74"/>
      <c r="BP66" s="64">
        <f t="shared" si="136"/>
        <v>382.8</v>
      </c>
      <c r="BQ66" s="64"/>
      <c r="BR66" s="74">
        <f>82.8+200+100</f>
        <v>382.8</v>
      </c>
      <c r="BS66" s="64"/>
      <c r="BT66" s="74"/>
      <c r="BU66" s="64">
        <f t="shared" si="137"/>
        <v>362.79517999999996</v>
      </c>
      <c r="BV66" s="64"/>
      <c r="BW66" s="64">
        <f>272.44018+190.355-100</f>
        <v>362.79517999999996</v>
      </c>
      <c r="BX66" s="64"/>
      <c r="BY66" s="64"/>
      <c r="BZ66" s="60">
        <f t="shared" si="138"/>
        <v>745.59518000000003</v>
      </c>
      <c r="CA66" s="64">
        <f t="shared" si="13"/>
        <v>745.59518000000003</v>
      </c>
      <c r="CB66" s="64">
        <f t="shared" si="14"/>
        <v>0</v>
      </c>
      <c r="CC66" s="64">
        <f t="shared" si="15"/>
        <v>745.59518000000003</v>
      </c>
      <c r="CD66" s="64">
        <f t="shared" si="16"/>
        <v>0</v>
      </c>
      <c r="CE66" s="64">
        <f t="shared" si="139"/>
        <v>0</v>
      </c>
      <c r="CF66" s="64">
        <f t="shared" si="17"/>
        <v>0</v>
      </c>
      <c r="CG66" s="64">
        <f t="shared" si="18"/>
        <v>0</v>
      </c>
      <c r="CH66" s="64">
        <f t="shared" si="19"/>
        <v>0</v>
      </c>
      <c r="CI66" s="64">
        <f t="shared" si="20"/>
        <v>0</v>
      </c>
      <c r="CJ66" s="64">
        <f t="shared" si="140"/>
        <v>0</v>
      </c>
      <c r="CK66" s="66"/>
      <c r="CL66" s="67"/>
      <c r="CM66" s="67"/>
      <c r="CN66" s="64">
        <f t="shared" si="141"/>
        <v>0</v>
      </c>
      <c r="CO66" s="64"/>
      <c r="CP66" s="65"/>
      <c r="CQ66" s="64"/>
      <c r="CR66" s="73"/>
      <c r="CS66" s="64">
        <f t="shared" si="142"/>
        <v>0</v>
      </c>
      <c r="CT66" s="64"/>
      <c r="CU66" s="65"/>
      <c r="CV66" s="64"/>
      <c r="CW66" s="73"/>
      <c r="CX66" s="64">
        <f t="shared" si="143"/>
        <v>0</v>
      </c>
      <c r="CY66" s="64">
        <f t="shared" si="151"/>
        <v>0</v>
      </c>
      <c r="CZ66" s="64">
        <f t="shared" si="151"/>
        <v>0</v>
      </c>
      <c r="DA66" s="64">
        <f t="shared" si="151"/>
        <v>0</v>
      </c>
      <c r="DB66" s="64">
        <f t="shared" si="151"/>
        <v>0</v>
      </c>
      <c r="DC66" s="64"/>
      <c r="DD66" s="64"/>
      <c r="DE66" s="64"/>
      <c r="DF66" s="64">
        <f t="shared" si="144"/>
        <v>0</v>
      </c>
      <c r="DH66" s="64">
        <f t="shared" si="145"/>
        <v>382.8</v>
      </c>
      <c r="DI66" s="64">
        <f t="shared" si="146"/>
        <v>382.8</v>
      </c>
      <c r="DK66" s="64"/>
      <c r="DL66" s="64"/>
      <c r="DN66" s="64"/>
      <c r="DQ66" s="64">
        <f t="shared" si="149"/>
        <v>382.8</v>
      </c>
      <c r="DR66" s="64"/>
      <c r="DS66" s="74">
        <f>82.8+200+100</f>
        <v>382.8</v>
      </c>
      <c r="DT66" s="64"/>
      <c r="DU66" s="74"/>
      <c r="DV66" s="64">
        <f t="shared" si="150"/>
        <v>362.79518000000002</v>
      </c>
      <c r="DW66" s="64"/>
      <c r="DX66" s="64">
        <v>362.79518000000002</v>
      </c>
      <c r="DY66" s="64"/>
      <c r="DZ66" s="64"/>
      <c r="EA66" s="375"/>
      <c r="EB66" s="375"/>
      <c r="EC66" s="375"/>
      <c r="ED66" s="375"/>
      <c r="EE66" s="375"/>
      <c r="EF66" s="375"/>
      <c r="EG66" s="375"/>
      <c r="EH66" s="375"/>
      <c r="EI66" s="375"/>
      <c r="EJ66" s="375"/>
      <c r="EK66" s="375"/>
      <c r="EL66" s="375"/>
      <c r="EM66" s="375"/>
      <c r="EN66" s="375"/>
      <c r="EO66" s="375"/>
      <c r="EP66" s="375"/>
      <c r="EQ66" s="375"/>
      <c r="ER66" s="375"/>
      <c r="ES66" s="375"/>
      <c r="ET66" s="375"/>
      <c r="EU66" s="375"/>
      <c r="EV66" s="375"/>
      <c r="EW66" s="375"/>
      <c r="EX66" s="375"/>
      <c r="EY66" s="375"/>
      <c r="EZ66" s="375"/>
      <c r="FA66" s="375"/>
      <c r="FB66" s="375"/>
      <c r="FC66" s="375"/>
      <c r="FD66" s="375"/>
      <c r="FE66" s="375"/>
      <c r="FF66" s="375"/>
      <c r="FG66" s="375"/>
      <c r="FH66" s="375"/>
      <c r="FI66" s="375"/>
      <c r="FJ66" s="375"/>
      <c r="FK66" s="375"/>
      <c r="FL66" s="375"/>
      <c r="FM66" s="375"/>
      <c r="FN66" s="375"/>
      <c r="FO66" s="375"/>
      <c r="FP66" s="375"/>
      <c r="FQ66" s="375"/>
      <c r="FR66" s="375"/>
      <c r="FS66" s="375"/>
      <c r="FT66" s="375"/>
      <c r="FU66" s="375"/>
      <c r="FV66" s="375"/>
      <c r="FW66" s="375"/>
      <c r="FX66" s="375"/>
      <c r="FY66" s="375"/>
      <c r="FZ66" s="375"/>
      <c r="GA66" s="375"/>
      <c r="GB66" s="375"/>
      <c r="GC66" s="375"/>
      <c r="GD66" s="375"/>
      <c r="GE66" s="375"/>
      <c r="GF66" s="375"/>
      <c r="GG66" s="375"/>
      <c r="GH66" s="375"/>
      <c r="GI66" s="375"/>
      <c r="GJ66" s="375"/>
      <c r="GK66" s="375"/>
      <c r="GL66" s="375"/>
      <c r="GM66" s="375"/>
      <c r="GN66" s="375"/>
      <c r="GO66" s="375"/>
      <c r="GP66" s="375"/>
      <c r="GQ66" s="375"/>
      <c r="GR66" s="375"/>
    </row>
    <row r="67" spans="1:200" s="61" customFormat="1" ht="15.75" customHeight="1" x14ac:dyDescent="0.3">
      <c r="A67" s="280"/>
      <c r="B67" s="281"/>
      <c r="C67" s="282"/>
      <c r="D67" s="282">
        <v>1</v>
      </c>
      <c r="E67" s="4">
        <v>53</v>
      </c>
      <c r="F67" s="281"/>
      <c r="G67" s="282"/>
      <c r="H67" s="282">
        <v>1</v>
      </c>
      <c r="I67" s="280"/>
      <c r="J67" s="280"/>
      <c r="K67" s="280"/>
      <c r="L67" s="280"/>
      <c r="M67" s="4">
        <v>50</v>
      </c>
      <c r="N67" s="62" t="s">
        <v>203</v>
      </c>
      <c r="O67" s="62">
        <v>0</v>
      </c>
      <c r="P67" s="62">
        <v>0</v>
      </c>
      <c r="Q67" s="60">
        <f t="shared" si="23"/>
        <v>0</v>
      </c>
      <c r="R67" s="60">
        <f t="shared" si="24"/>
        <v>0</v>
      </c>
      <c r="S67" s="60">
        <f t="shared" si="25"/>
        <v>0</v>
      </c>
      <c r="T67" s="60"/>
      <c r="U67" s="60"/>
      <c r="V67" s="64">
        <f t="shared" si="129"/>
        <v>0</v>
      </c>
      <c r="W67" s="64"/>
      <c r="X67" s="65">
        <v>0</v>
      </c>
      <c r="Y67" s="64"/>
      <c r="Z67" s="78"/>
      <c r="AA67" s="64">
        <f t="shared" si="130"/>
        <v>0</v>
      </c>
      <c r="AB67" s="64"/>
      <c r="AC67" s="65">
        <v>0</v>
      </c>
      <c r="AD67" s="64"/>
      <c r="AE67" s="78"/>
      <c r="AF67" s="64">
        <f t="shared" si="131"/>
        <v>0</v>
      </c>
      <c r="AG67" s="64"/>
      <c r="AH67" s="65">
        <v>0</v>
      </c>
      <c r="AI67" s="64"/>
      <c r="AJ67" s="78"/>
      <c r="AK67" s="64">
        <f t="shared" si="132"/>
        <v>0</v>
      </c>
      <c r="AL67" s="64"/>
      <c r="AM67" s="65">
        <v>0</v>
      </c>
      <c r="AN67" s="64"/>
      <c r="AO67" s="78"/>
      <c r="AP67" s="64"/>
      <c r="AQ67" s="64">
        <f t="shared" si="71"/>
        <v>0</v>
      </c>
      <c r="AR67" s="64"/>
      <c r="AS67" s="64"/>
      <c r="AT67" s="64"/>
      <c r="AU67" s="64"/>
      <c r="AV67" s="64">
        <f t="shared" si="9"/>
        <v>0</v>
      </c>
      <c r="AW67" s="64">
        <f t="shared" si="10"/>
        <v>0</v>
      </c>
      <c r="AX67" s="64">
        <f t="shared" si="11"/>
        <v>0</v>
      </c>
      <c r="AY67" s="64">
        <f t="shared" si="12"/>
        <v>0</v>
      </c>
      <c r="AZ67" s="64" t="e">
        <f>#REF!-AU67</f>
        <v>#REF!</v>
      </c>
      <c r="BA67" s="64">
        <f t="shared" si="133"/>
        <v>0</v>
      </c>
      <c r="BB67" s="64"/>
      <c r="BC67" s="64"/>
      <c r="BD67" s="64"/>
      <c r="BE67" s="64"/>
      <c r="BF67" s="64">
        <f t="shared" si="134"/>
        <v>0</v>
      </c>
      <c r="BG67" s="64"/>
      <c r="BH67" s="64"/>
      <c r="BI67" s="64"/>
      <c r="BJ67" s="64"/>
      <c r="BK67" s="64">
        <f t="shared" si="135"/>
        <v>0</v>
      </c>
      <c r="BL67" s="64"/>
      <c r="BM67" s="64"/>
      <c r="BN67" s="64"/>
      <c r="BO67" s="64"/>
      <c r="BP67" s="64">
        <f t="shared" si="136"/>
        <v>0</v>
      </c>
      <c r="BQ67" s="64"/>
      <c r="BR67" s="64"/>
      <c r="BS67" s="64"/>
      <c r="BT67" s="64"/>
      <c r="BU67" s="64">
        <f t="shared" si="137"/>
        <v>0</v>
      </c>
      <c r="BV67" s="64"/>
      <c r="BW67" s="64"/>
      <c r="BX67" s="64"/>
      <c r="BY67" s="64"/>
      <c r="BZ67" s="60">
        <f t="shared" si="138"/>
        <v>0</v>
      </c>
      <c r="CA67" s="64">
        <f t="shared" si="13"/>
        <v>0</v>
      </c>
      <c r="CB67" s="64">
        <f t="shared" si="14"/>
        <v>0</v>
      </c>
      <c r="CC67" s="64">
        <f t="shared" si="15"/>
        <v>0</v>
      </c>
      <c r="CD67" s="64">
        <f t="shared" si="16"/>
        <v>0</v>
      </c>
      <c r="CE67" s="64">
        <f t="shared" si="139"/>
        <v>0</v>
      </c>
      <c r="CF67" s="64">
        <f t="shared" si="17"/>
        <v>0</v>
      </c>
      <c r="CG67" s="64">
        <f t="shared" si="18"/>
        <v>0</v>
      </c>
      <c r="CH67" s="64">
        <f t="shared" si="19"/>
        <v>0</v>
      </c>
      <c r="CI67" s="64">
        <f t="shared" si="20"/>
        <v>0</v>
      </c>
      <c r="CJ67" s="64">
        <f t="shared" si="140"/>
        <v>0</v>
      </c>
      <c r="CK67" s="66"/>
      <c r="CL67" s="67"/>
      <c r="CM67" s="67"/>
      <c r="CN67" s="64">
        <f t="shared" si="141"/>
        <v>0</v>
      </c>
      <c r="CO67" s="64"/>
      <c r="CP67" s="64"/>
      <c r="CQ67" s="64"/>
      <c r="CR67" s="64"/>
      <c r="CS67" s="64">
        <f t="shared" si="142"/>
        <v>0</v>
      </c>
      <c r="CT67" s="64"/>
      <c r="CU67" s="64"/>
      <c r="CV67" s="64"/>
      <c r="CW67" s="64"/>
      <c r="CX67" s="64">
        <f t="shared" si="143"/>
        <v>0</v>
      </c>
      <c r="CY67" s="64">
        <f t="shared" si="151"/>
        <v>0</v>
      </c>
      <c r="CZ67" s="64">
        <f t="shared" si="151"/>
        <v>0</v>
      </c>
      <c r="DA67" s="64">
        <f t="shared" si="151"/>
        <v>0</v>
      </c>
      <c r="DB67" s="64">
        <f t="shared" si="151"/>
        <v>0</v>
      </c>
      <c r="DC67" s="64"/>
      <c r="DD67" s="64"/>
      <c r="DE67" s="64"/>
      <c r="DF67" s="64">
        <f t="shared" si="144"/>
        <v>0</v>
      </c>
      <c r="DH67" s="64">
        <f t="shared" si="145"/>
        <v>0</v>
      </c>
      <c r="DI67" s="64">
        <f t="shared" si="146"/>
        <v>0</v>
      </c>
      <c r="DK67" s="64"/>
      <c r="DL67" s="64"/>
      <c r="DN67" s="64"/>
      <c r="DQ67" s="64">
        <f t="shared" si="149"/>
        <v>0</v>
      </c>
      <c r="DR67" s="64"/>
      <c r="DS67" s="64"/>
      <c r="DT67" s="64"/>
      <c r="DU67" s="64"/>
      <c r="DV67" s="64">
        <f t="shared" si="150"/>
        <v>0</v>
      </c>
      <c r="DW67" s="64"/>
      <c r="DX67" s="64"/>
      <c r="DY67" s="64"/>
      <c r="DZ67" s="64"/>
      <c r="EA67" s="375"/>
      <c r="EB67" s="375"/>
      <c r="EC67" s="375"/>
      <c r="ED67" s="375"/>
      <c r="EE67" s="375"/>
      <c r="EF67" s="375"/>
      <c r="EG67" s="375"/>
      <c r="EH67" s="375"/>
      <c r="EI67" s="375"/>
      <c r="EJ67" s="375"/>
      <c r="EK67" s="375"/>
      <c r="EL67" s="375"/>
      <c r="EM67" s="375"/>
      <c r="EN67" s="375"/>
      <c r="EO67" s="375"/>
      <c r="EP67" s="375"/>
      <c r="EQ67" s="375"/>
      <c r="ER67" s="375"/>
      <c r="ES67" s="375"/>
      <c r="ET67" s="375"/>
      <c r="EU67" s="375"/>
      <c r="EV67" s="375"/>
      <c r="EW67" s="375"/>
      <c r="EX67" s="375"/>
      <c r="EY67" s="375"/>
      <c r="EZ67" s="375"/>
      <c r="FA67" s="375"/>
      <c r="FB67" s="375"/>
      <c r="FC67" s="375"/>
      <c r="FD67" s="375"/>
      <c r="FE67" s="375"/>
      <c r="FF67" s="375"/>
      <c r="FG67" s="375"/>
      <c r="FH67" s="375"/>
      <c r="FI67" s="375"/>
      <c r="FJ67" s="375"/>
      <c r="FK67" s="375"/>
      <c r="FL67" s="375"/>
      <c r="FM67" s="375"/>
      <c r="FN67" s="375"/>
      <c r="FO67" s="375"/>
      <c r="FP67" s="375"/>
      <c r="FQ67" s="375"/>
      <c r="FR67" s="375"/>
      <c r="FS67" s="375"/>
      <c r="FT67" s="375"/>
      <c r="FU67" s="375"/>
      <c r="FV67" s="375"/>
      <c r="FW67" s="375"/>
      <c r="FX67" s="375"/>
      <c r="FY67" s="375"/>
      <c r="FZ67" s="375"/>
      <c r="GA67" s="375"/>
      <c r="GB67" s="375"/>
      <c r="GC67" s="375"/>
      <c r="GD67" s="375"/>
      <c r="GE67" s="375"/>
      <c r="GF67" s="375"/>
      <c r="GG67" s="375"/>
      <c r="GH67" s="375"/>
      <c r="GI67" s="375"/>
      <c r="GJ67" s="375"/>
      <c r="GK67" s="375"/>
      <c r="GL67" s="375"/>
      <c r="GM67" s="375"/>
      <c r="GN67" s="375"/>
      <c r="GO67" s="375"/>
      <c r="GP67" s="375"/>
      <c r="GQ67" s="375"/>
      <c r="GR67" s="375"/>
    </row>
    <row r="68" spans="1:200" s="61" customFormat="1" ht="15.75" customHeight="1" x14ac:dyDescent="0.3">
      <c r="A68" s="280"/>
      <c r="B68" s="281"/>
      <c r="C68" s="282"/>
      <c r="D68" s="282">
        <v>1</v>
      </c>
      <c r="E68" s="4">
        <v>54</v>
      </c>
      <c r="F68" s="281"/>
      <c r="G68" s="282"/>
      <c r="H68" s="282"/>
      <c r="I68" s="280"/>
      <c r="J68" s="280"/>
      <c r="K68" s="280"/>
      <c r="L68" s="280"/>
      <c r="M68" s="4">
        <v>51</v>
      </c>
      <c r="N68" s="62" t="s">
        <v>204</v>
      </c>
      <c r="O68" s="62">
        <v>0</v>
      </c>
      <c r="P68" s="62">
        <v>0</v>
      </c>
      <c r="Q68" s="60">
        <f t="shared" si="23"/>
        <v>0</v>
      </c>
      <c r="R68" s="60">
        <f t="shared" si="24"/>
        <v>0</v>
      </c>
      <c r="S68" s="60">
        <f t="shared" si="25"/>
        <v>0</v>
      </c>
      <c r="T68" s="60"/>
      <c r="U68" s="60"/>
      <c r="V68" s="64">
        <f t="shared" si="129"/>
        <v>0</v>
      </c>
      <c r="W68" s="64"/>
      <c r="X68" s="65">
        <v>0</v>
      </c>
      <c r="Y68" s="64"/>
      <c r="Z68" s="78"/>
      <c r="AA68" s="64">
        <f t="shared" si="130"/>
        <v>740.6</v>
      </c>
      <c r="AB68" s="64"/>
      <c r="AC68" s="65">
        <v>740.6</v>
      </c>
      <c r="AD68" s="64"/>
      <c r="AE68" s="78"/>
      <c r="AF68" s="64">
        <f t="shared" si="131"/>
        <v>740.6</v>
      </c>
      <c r="AG68" s="64"/>
      <c r="AH68" s="65">
        <v>740.6</v>
      </c>
      <c r="AI68" s="64"/>
      <c r="AJ68" s="78"/>
      <c r="AK68" s="64">
        <f t="shared" si="132"/>
        <v>322</v>
      </c>
      <c r="AL68" s="64"/>
      <c r="AM68" s="65">
        <v>322</v>
      </c>
      <c r="AN68" s="64"/>
      <c r="AO68" s="78"/>
      <c r="AP68" s="64"/>
      <c r="AQ68" s="64">
        <f t="shared" si="71"/>
        <v>0</v>
      </c>
      <c r="AR68" s="64"/>
      <c r="AS68" s="64"/>
      <c r="AT68" s="64"/>
      <c r="AU68" s="64"/>
      <c r="AV68" s="64">
        <f t="shared" si="9"/>
        <v>0</v>
      </c>
      <c r="AW68" s="64">
        <f t="shared" si="10"/>
        <v>0</v>
      </c>
      <c r="AX68" s="64">
        <f t="shared" si="11"/>
        <v>0</v>
      </c>
      <c r="AY68" s="64">
        <f t="shared" si="12"/>
        <v>0</v>
      </c>
      <c r="AZ68" s="64" t="e">
        <f>#REF!-AU68</f>
        <v>#REF!</v>
      </c>
      <c r="BA68" s="64">
        <f t="shared" si="133"/>
        <v>0</v>
      </c>
      <c r="BB68" s="64"/>
      <c r="BC68" s="64"/>
      <c r="BD68" s="64"/>
      <c r="BE68" s="64"/>
      <c r="BF68" s="64">
        <f t="shared" si="134"/>
        <v>0</v>
      </c>
      <c r="BG68" s="64"/>
      <c r="BH68" s="64"/>
      <c r="BI68" s="64"/>
      <c r="BJ68" s="64"/>
      <c r="BK68" s="64">
        <f t="shared" si="135"/>
        <v>0</v>
      </c>
      <c r="BL68" s="64"/>
      <c r="BM68" s="64"/>
      <c r="BN68" s="64"/>
      <c r="BO68" s="64"/>
      <c r="BP68" s="64">
        <f t="shared" si="136"/>
        <v>0</v>
      </c>
      <c r="BQ68" s="64"/>
      <c r="BR68" s="64"/>
      <c r="BS68" s="64"/>
      <c r="BT68" s="64"/>
      <c r="BU68" s="64">
        <f t="shared" si="137"/>
        <v>0</v>
      </c>
      <c r="BV68" s="64"/>
      <c r="BW68" s="64"/>
      <c r="BX68" s="64"/>
      <c r="BY68" s="64"/>
      <c r="BZ68" s="60">
        <f t="shared" si="138"/>
        <v>0</v>
      </c>
      <c r="CA68" s="64">
        <f t="shared" si="13"/>
        <v>0</v>
      </c>
      <c r="CB68" s="64">
        <f t="shared" si="14"/>
        <v>0</v>
      </c>
      <c r="CC68" s="64">
        <f t="shared" si="15"/>
        <v>0</v>
      </c>
      <c r="CD68" s="64">
        <f t="shared" si="16"/>
        <v>0</v>
      </c>
      <c r="CE68" s="64">
        <f t="shared" si="139"/>
        <v>0</v>
      </c>
      <c r="CF68" s="64">
        <f t="shared" si="17"/>
        <v>0</v>
      </c>
      <c r="CG68" s="64">
        <f t="shared" si="18"/>
        <v>0</v>
      </c>
      <c r="CH68" s="64">
        <f t="shared" si="19"/>
        <v>0</v>
      </c>
      <c r="CI68" s="64">
        <f t="shared" si="20"/>
        <v>0</v>
      </c>
      <c r="CJ68" s="64">
        <f t="shared" si="140"/>
        <v>0</v>
      </c>
      <c r="CK68" s="66"/>
      <c r="CL68" s="67"/>
      <c r="CM68" s="67"/>
      <c r="CN68" s="64">
        <f t="shared" si="141"/>
        <v>0</v>
      </c>
      <c r="CO68" s="64"/>
      <c r="CP68" s="64"/>
      <c r="CQ68" s="64"/>
      <c r="CR68" s="64"/>
      <c r="CS68" s="64">
        <f t="shared" si="142"/>
        <v>0</v>
      </c>
      <c r="CT68" s="64"/>
      <c r="CU68" s="64"/>
      <c r="CV68" s="64"/>
      <c r="CW68" s="64"/>
      <c r="CX68" s="64">
        <f t="shared" si="143"/>
        <v>0</v>
      </c>
      <c r="CY68" s="64">
        <f t="shared" si="151"/>
        <v>0</v>
      </c>
      <c r="CZ68" s="64">
        <f t="shared" si="151"/>
        <v>0</v>
      </c>
      <c r="DA68" s="64">
        <f t="shared" si="151"/>
        <v>0</v>
      </c>
      <c r="DB68" s="64">
        <f t="shared" si="151"/>
        <v>0</v>
      </c>
      <c r="DC68" s="64"/>
      <c r="DD68" s="64"/>
      <c r="DE68" s="64"/>
      <c r="DF68" s="64">
        <f t="shared" si="144"/>
        <v>0</v>
      </c>
      <c r="DH68" s="64">
        <f t="shared" si="145"/>
        <v>0</v>
      </c>
      <c r="DI68" s="64">
        <f t="shared" si="146"/>
        <v>0</v>
      </c>
      <c r="DK68" s="64"/>
      <c r="DL68" s="64"/>
      <c r="DN68" s="64"/>
      <c r="DQ68" s="64">
        <f t="shared" si="149"/>
        <v>0</v>
      </c>
      <c r="DR68" s="64"/>
      <c r="DS68" s="64"/>
      <c r="DT68" s="64"/>
      <c r="DU68" s="64"/>
      <c r="DV68" s="64">
        <f t="shared" si="150"/>
        <v>0</v>
      </c>
      <c r="DW68" s="64"/>
      <c r="DX68" s="64"/>
      <c r="DY68" s="64"/>
      <c r="DZ68" s="64"/>
      <c r="EA68" s="375"/>
      <c r="EB68" s="375"/>
      <c r="EC68" s="375"/>
      <c r="ED68" s="375"/>
      <c r="EE68" s="375"/>
      <c r="EF68" s="375"/>
      <c r="EG68" s="375"/>
      <c r="EH68" s="375"/>
      <c r="EI68" s="375"/>
      <c r="EJ68" s="375"/>
      <c r="EK68" s="375"/>
      <c r="EL68" s="375"/>
      <c r="EM68" s="375"/>
      <c r="EN68" s="375"/>
      <c r="EO68" s="375"/>
      <c r="EP68" s="375"/>
      <c r="EQ68" s="375"/>
      <c r="ER68" s="375"/>
      <c r="ES68" s="375"/>
      <c r="ET68" s="375"/>
      <c r="EU68" s="375"/>
      <c r="EV68" s="375"/>
      <c r="EW68" s="375"/>
      <c r="EX68" s="375"/>
      <c r="EY68" s="375"/>
      <c r="EZ68" s="375"/>
      <c r="FA68" s="375"/>
      <c r="FB68" s="375"/>
      <c r="FC68" s="375"/>
      <c r="FD68" s="375"/>
      <c r="FE68" s="375"/>
      <c r="FF68" s="375"/>
      <c r="FG68" s="375"/>
      <c r="FH68" s="375"/>
      <c r="FI68" s="375"/>
      <c r="FJ68" s="375"/>
      <c r="FK68" s="375"/>
      <c r="FL68" s="375"/>
      <c r="FM68" s="375"/>
      <c r="FN68" s="375"/>
      <c r="FO68" s="375"/>
      <c r="FP68" s="375"/>
      <c r="FQ68" s="375"/>
      <c r="FR68" s="375"/>
      <c r="FS68" s="375"/>
      <c r="FT68" s="375"/>
      <c r="FU68" s="375"/>
      <c r="FV68" s="375"/>
      <c r="FW68" s="375"/>
      <c r="FX68" s="375"/>
      <c r="FY68" s="375"/>
      <c r="FZ68" s="375"/>
      <c r="GA68" s="375"/>
      <c r="GB68" s="375"/>
      <c r="GC68" s="375"/>
      <c r="GD68" s="375"/>
      <c r="GE68" s="375"/>
      <c r="GF68" s="375"/>
      <c r="GG68" s="375"/>
      <c r="GH68" s="375"/>
      <c r="GI68" s="375"/>
      <c r="GJ68" s="375"/>
      <c r="GK68" s="375"/>
      <c r="GL68" s="375"/>
      <c r="GM68" s="375"/>
      <c r="GN68" s="375"/>
      <c r="GO68" s="375"/>
      <c r="GP68" s="375"/>
      <c r="GQ68" s="375"/>
      <c r="GR68" s="375"/>
    </row>
    <row r="69" spans="1:200" s="61" customFormat="1" ht="15.75" customHeight="1" x14ac:dyDescent="0.3">
      <c r="A69" s="280"/>
      <c r="B69" s="281"/>
      <c r="C69" s="282">
        <v>1</v>
      </c>
      <c r="D69" s="282"/>
      <c r="E69" s="4">
        <v>55</v>
      </c>
      <c r="F69" s="281"/>
      <c r="G69" s="282">
        <v>1</v>
      </c>
      <c r="H69" s="282">
        <v>1</v>
      </c>
      <c r="I69" s="4"/>
      <c r="J69" s="283"/>
      <c r="K69" s="283"/>
      <c r="L69" s="286"/>
      <c r="M69" s="4">
        <v>52</v>
      </c>
      <c r="N69" s="62" t="s">
        <v>176</v>
      </c>
      <c r="O69" s="62" t="s">
        <v>448</v>
      </c>
      <c r="P69" s="62" t="s">
        <v>448</v>
      </c>
      <c r="Q69" s="60">
        <f t="shared" si="23"/>
        <v>0</v>
      </c>
      <c r="R69" s="60">
        <f t="shared" si="24"/>
        <v>0</v>
      </c>
      <c r="S69" s="60">
        <f t="shared" si="25"/>
        <v>0</v>
      </c>
      <c r="T69" s="60">
        <v>1</v>
      </c>
      <c r="U69" s="60">
        <v>1</v>
      </c>
      <c r="V69" s="64">
        <f t="shared" si="129"/>
        <v>542.79999999999995</v>
      </c>
      <c r="W69" s="64"/>
      <c r="X69" s="65">
        <v>542.79999999999995</v>
      </c>
      <c r="Y69" s="64"/>
      <c r="Z69" s="73"/>
      <c r="AA69" s="64">
        <f t="shared" si="130"/>
        <v>542.79999999999995</v>
      </c>
      <c r="AB69" s="64"/>
      <c r="AC69" s="65">
        <v>542.79999999999995</v>
      </c>
      <c r="AD69" s="64"/>
      <c r="AE69" s="73"/>
      <c r="AF69" s="64">
        <f t="shared" si="131"/>
        <v>542.79999999999995</v>
      </c>
      <c r="AG69" s="64"/>
      <c r="AH69" s="65">
        <v>542.79999999999995</v>
      </c>
      <c r="AI69" s="64"/>
      <c r="AJ69" s="73"/>
      <c r="AK69" s="64">
        <f t="shared" si="132"/>
        <v>236</v>
      </c>
      <c r="AL69" s="64"/>
      <c r="AM69" s="65">
        <v>236</v>
      </c>
      <c r="AN69" s="64"/>
      <c r="AO69" s="73"/>
      <c r="AP69" s="64" t="s">
        <v>506</v>
      </c>
      <c r="AQ69" s="64">
        <f t="shared" si="71"/>
        <v>542.79999999999995</v>
      </c>
      <c r="AR69" s="64"/>
      <c r="AS69" s="65">
        <v>542.79999999999995</v>
      </c>
      <c r="AT69" s="64"/>
      <c r="AU69" s="73"/>
      <c r="AV69" s="64">
        <f t="shared" si="9"/>
        <v>0</v>
      </c>
      <c r="AW69" s="64">
        <f t="shared" si="10"/>
        <v>0</v>
      </c>
      <c r="AX69" s="64">
        <f t="shared" si="11"/>
        <v>0</v>
      </c>
      <c r="AY69" s="64">
        <f t="shared" si="12"/>
        <v>0</v>
      </c>
      <c r="AZ69" s="64" t="e">
        <f>#REF!-AU69</f>
        <v>#REF!</v>
      </c>
      <c r="BA69" s="64">
        <f t="shared" si="133"/>
        <v>542.79999999999995</v>
      </c>
      <c r="BB69" s="64"/>
      <c r="BC69" s="65">
        <v>542.79999999999995</v>
      </c>
      <c r="BD69" s="64"/>
      <c r="BE69" s="73"/>
      <c r="BF69" s="64">
        <f t="shared" si="134"/>
        <v>0</v>
      </c>
      <c r="BG69" s="64"/>
      <c r="BH69" s="65"/>
      <c r="BI69" s="64"/>
      <c r="BJ69" s="73"/>
      <c r="BK69" s="64">
        <f t="shared" si="135"/>
        <v>542.79999999999995</v>
      </c>
      <c r="BL69" s="64"/>
      <c r="BM69" s="65">
        <v>542.79999999999995</v>
      </c>
      <c r="BN69" s="64"/>
      <c r="BO69" s="74"/>
      <c r="BP69" s="64">
        <f t="shared" si="136"/>
        <v>542.79999999999995</v>
      </c>
      <c r="BQ69" s="64"/>
      <c r="BR69" s="74">
        <v>542.79999999999995</v>
      </c>
      <c r="BS69" s="64"/>
      <c r="BT69" s="74"/>
      <c r="BU69" s="64">
        <f t="shared" si="137"/>
        <v>603.40715999999998</v>
      </c>
      <c r="BV69" s="64"/>
      <c r="BW69" s="64">
        <v>603.40715999999998</v>
      </c>
      <c r="BX69" s="64"/>
      <c r="BY69" s="64"/>
      <c r="BZ69" s="60">
        <f t="shared" si="138"/>
        <v>1146.2071599999999</v>
      </c>
      <c r="CA69" s="64">
        <f t="shared" si="13"/>
        <v>1146.2071599999999</v>
      </c>
      <c r="CB69" s="64">
        <f t="shared" si="14"/>
        <v>0</v>
      </c>
      <c r="CC69" s="64">
        <f t="shared" si="15"/>
        <v>1146.2071599999999</v>
      </c>
      <c r="CD69" s="64">
        <f t="shared" si="16"/>
        <v>0</v>
      </c>
      <c r="CE69" s="64">
        <f t="shared" si="139"/>
        <v>0</v>
      </c>
      <c r="CF69" s="64">
        <f t="shared" si="17"/>
        <v>0</v>
      </c>
      <c r="CG69" s="64">
        <f t="shared" si="18"/>
        <v>0</v>
      </c>
      <c r="CH69" s="64">
        <f t="shared" si="19"/>
        <v>0</v>
      </c>
      <c r="CI69" s="64">
        <f t="shared" si="20"/>
        <v>0</v>
      </c>
      <c r="CJ69" s="64">
        <f t="shared" si="140"/>
        <v>0</v>
      </c>
      <c r="CK69" s="66"/>
      <c r="CL69" s="67"/>
      <c r="CM69" s="67"/>
      <c r="CN69" s="64">
        <f t="shared" si="141"/>
        <v>0</v>
      </c>
      <c r="CO69" s="64"/>
      <c r="CP69" s="65"/>
      <c r="CQ69" s="64"/>
      <c r="CR69" s="73"/>
      <c r="CS69" s="64">
        <f t="shared" si="142"/>
        <v>0</v>
      </c>
      <c r="CT69" s="64"/>
      <c r="CU69" s="65"/>
      <c r="CV69" s="64"/>
      <c r="CW69" s="73"/>
      <c r="CX69" s="64">
        <f t="shared" si="143"/>
        <v>0</v>
      </c>
      <c r="CY69" s="64">
        <f t="shared" si="151"/>
        <v>0</v>
      </c>
      <c r="CZ69" s="64">
        <f t="shared" si="151"/>
        <v>0</v>
      </c>
      <c r="DA69" s="64">
        <f t="shared" si="151"/>
        <v>0</v>
      </c>
      <c r="DB69" s="64">
        <f t="shared" si="151"/>
        <v>0</v>
      </c>
      <c r="DC69" s="64"/>
      <c r="DD69" s="64"/>
      <c r="DE69" s="64"/>
      <c r="DF69" s="64">
        <f t="shared" si="144"/>
        <v>0</v>
      </c>
      <c r="DH69" s="64">
        <f t="shared" si="145"/>
        <v>542.79999999999995</v>
      </c>
      <c r="DI69" s="64">
        <f t="shared" si="146"/>
        <v>542.79999999999995</v>
      </c>
      <c r="DK69" s="64"/>
      <c r="DL69" s="64"/>
      <c r="DN69" s="64"/>
      <c r="DQ69" s="64">
        <f t="shared" si="149"/>
        <v>542.79999999999995</v>
      </c>
      <c r="DR69" s="64"/>
      <c r="DS69" s="74">
        <v>542.79999999999995</v>
      </c>
      <c r="DT69" s="64"/>
      <c r="DU69" s="74"/>
      <c r="DV69" s="64">
        <f t="shared" si="150"/>
        <v>603.40715999999998</v>
      </c>
      <c r="DW69" s="64"/>
      <c r="DX69" s="64">
        <v>603.40715999999998</v>
      </c>
      <c r="DY69" s="64"/>
      <c r="DZ69" s="64"/>
      <c r="EA69" s="375"/>
      <c r="EB69" s="375"/>
      <c r="EC69" s="375"/>
      <c r="ED69" s="375"/>
      <c r="EE69" s="375"/>
      <c r="EF69" s="375"/>
      <c r="EG69" s="375"/>
      <c r="EH69" s="375"/>
      <c r="EI69" s="375"/>
      <c r="EJ69" s="375"/>
      <c r="EK69" s="375"/>
      <c r="EL69" s="375"/>
      <c r="EM69" s="375"/>
      <c r="EN69" s="375"/>
      <c r="EO69" s="375"/>
      <c r="EP69" s="375"/>
      <c r="EQ69" s="375"/>
      <c r="ER69" s="375"/>
      <c r="ES69" s="375"/>
      <c r="ET69" s="375"/>
      <c r="EU69" s="375"/>
      <c r="EV69" s="375"/>
      <c r="EW69" s="375"/>
      <c r="EX69" s="375"/>
      <c r="EY69" s="375"/>
      <c r="EZ69" s="375"/>
      <c r="FA69" s="375"/>
      <c r="FB69" s="375"/>
      <c r="FC69" s="375"/>
      <c r="FD69" s="375"/>
      <c r="FE69" s="375"/>
      <c r="FF69" s="375"/>
      <c r="FG69" s="375"/>
      <c r="FH69" s="375"/>
      <c r="FI69" s="375"/>
      <c r="FJ69" s="375"/>
      <c r="FK69" s="375"/>
      <c r="FL69" s="375"/>
      <c r="FM69" s="375"/>
      <c r="FN69" s="375"/>
      <c r="FO69" s="375"/>
      <c r="FP69" s="375"/>
      <c r="FQ69" s="375"/>
      <c r="FR69" s="375"/>
      <c r="FS69" s="375"/>
      <c r="FT69" s="375"/>
      <c r="FU69" s="375"/>
      <c r="FV69" s="375"/>
      <c r="FW69" s="375"/>
      <c r="FX69" s="375"/>
      <c r="FY69" s="375"/>
      <c r="FZ69" s="375"/>
      <c r="GA69" s="375"/>
      <c r="GB69" s="375"/>
      <c r="GC69" s="375"/>
      <c r="GD69" s="375"/>
      <c r="GE69" s="375"/>
      <c r="GF69" s="375"/>
      <c r="GG69" s="375"/>
      <c r="GH69" s="375"/>
      <c r="GI69" s="375"/>
      <c r="GJ69" s="375"/>
      <c r="GK69" s="375"/>
      <c r="GL69" s="375"/>
      <c r="GM69" s="375"/>
      <c r="GN69" s="375"/>
      <c r="GO69" s="375"/>
      <c r="GP69" s="375"/>
      <c r="GQ69" s="375"/>
      <c r="GR69" s="375"/>
    </row>
    <row r="70" spans="1:200" s="61" customFormat="1" ht="15.75" customHeight="1" x14ac:dyDescent="0.3">
      <c r="A70" s="280"/>
      <c r="B70" s="281"/>
      <c r="C70" s="282"/>
      <c r="D70" s="282">
        <v>1</v>
      </c>
      <c r="E70" s="4">
        <v>56</v>
      </c>
      <c r="F70" s="281"/>
      <c r="G70" s="282"/>
      <c r="H70" s="282"/>
      <c r="I70" s="280"/>
      <c r="J70" s="280"/>
      <c r="K70" s="280"/>
      <c r="L70" s="280"/>
      <c r="M70" s="4">
        <v>53</v>
      </c>
      <c r="N70" s="62" t="s">
        <v>205</v>
      </c>
      <c r="O70" s="62">
        <v>0</v>
      </c>
      <c r="P70" s="62">
        <v>0</v>
      </c>
      <c r="Q70" s="60">
        <f t="shared" si="23"/>
        <v>0</v>
      </c>
      <c r="R70" s="60">
        <f t="shared" si="24"/>
        <v>0</v>
      </c>
      <c r="S70" s="60">
        <f t="shared" si="25"/>
        <v>0</v>
      </c>
      <c r="T70" s="60"/>
      <c r="U70" s="60"/>
      <c r="V70" s="64">
        <f t="shared" si="129"/>
        <v>0</v>
      </c>
      <c r="W70" s="64"/>
      <c r="X70" s="65">
        <v>0</v>
      </c>
      <c r="Y70" s="64"/>
      <c r="Z70" s="78"/>
      <c r="AA70" s="64">
        <f t="shared" si="130"/>
        <v>239.2</v>
      </c>
      <c r="AB70" s="64"/>
      <c r="AC70" s="65">
        <v>239.2</v>
      </c>
      <c r="AD70" s="64"/>
      <c r="AE70" s="78"/>
      <c r="AF70" s="64">
        <f t="shared" si="131"/>
        <v>239.2</v>
      </c>
      <c r="AG70" s="64"/>
      <c r="AH70" s="65">
        <v>239.2</v>
      </c>
      <c r="AI70" s="64"/>
      <c r="AJ70" s="78"/>
      <c r="AK70" s="64">
        <f t="shared" si="132"/>
        <v>104</v>
      </c>
      <c r="AL70" s="64"/>
      <c r="AM70" s="65">
        <v>104</v>
      </c>
      <c r="AN70" s="64"/>
      <c r="AO70" s="78"/>
      <c r="AP70" s="64"/>
      <c r="AQ70" s="64">
        <f t="shared" si="71"/>
        <v>0</v>
      </c>
      <c r="AR70" s="64"/>
      <c r="AS70" s="64"/>
      <c r="AT70" s="64"/>
      <c r="AU70" s="64"/>
      <c r="AV70" s="64">
        <f t="shared" si="9"/>
        <v>0</v>
      </c>
      <c r="AW70" s="64">
        <f t="shared" si="10"/>
        <v>0</v>
      </c>
      <c r="AX70" s="64">
        <f t="shared" si="11"/>
        <v>0</v>
      </c>
      <c r="AY70" s="64">
        <f t="shared" si="12"/>
        <v>0</v>
      </c>
      <c r="AZ70" s="64" t="e">
        <f>#REF!-AU70</f>
        <v>#REF!</v>
      </c>
      <c r="BA70" s="64">
        <f t="shared" si="133"/>
        <v>0</v>
      </c>
      <c r="BB70" s="64"/>
      <c r="BC70" s="64"/>
      <c r="BD70" s="64"/>
      <c r="BE70" s="64"/>
      <c r="BF70" s="64">
        <f t="shared" si="134"/>
        <v>0</v>
      </c>
      <c r="BG70" s="64"/>
      <c r="BH70" s="64"/>
      <c r="BI70" s="64"/>
      <c r="BJ70" s="64"/>
      <c r="BK70" s="64">
        <f t="shared" si="135"/>
        <v>0</v>
      </c>
      <c r="BL70" s="64"/>
      <c r="BM70" s="64"/>
      <c r="BN70" s="64"/>
      <c r="BO70" s="64"/>
      <c r="BP70" s="64">
        <f t="shared" si="136"/>
        <v>0</v>
      </c>
      <c r="BQ70" s="64"/>
      <c r="BR70" s="64"/>
      <c r="BS70" s="64"/>
      <c r="BT70" s="64"/>
      <c r="BU70" s="64">
        <f t="shared" si="137"/>
        <v>0</v>
      </c>
      <c r="BV70" s="64"/>
      <c r="BW70" s="64"/>
      <c r="BX70" s="64"/>
      <c r="BY70" s="64"/>
      <c r="BZ70" s="60">
        <f t="shared" si="138"/>
        <v>0</v>
      </c>
      <c r="CA70" s="64">
        <f t="shared" si="13"/>
        <v>0</v>
      </c>
      <c r="CB70" s="64">
        <f t="shared" si="14"/>
        <v>0</v>
      </c>
      <c r="CC70" s="64">
        <f t="shared" si="15"/>
        <v>0</v>
      </c>
      <c r="CD70" s="64">
        <f t="shared" si="16"/>
        <v>0</v>
      </c>
      <c r="CE70" s="64">
        <f t="shared" si="139"/>
        <v>0</v>
      </c>
      <c r="CF70" s="64">
        <f t="shared" si="17"/>
        <v>0</v>
      </c>
      <c r="CG70" s="64">
        <f t="shared" si="18"/>
        <v>0</v>
      </c>
      <c r="CH70" s="64">
        <f t="shared" si="19"/>
        <v>0</v>
      </c>
      <c r="CI70" s="64">
        <f t="shared" si="20"/>
        <v>0</v>
      </c>
      <c r="CJ70" s="64">
        <f t="shared" si="140"/>
        <v>0</v>
      </c>
      <c r="CK70" s="66"/>
      <c r="CL70" s="67"/>
      <c r="CM70" s="67"/>
      <c r="CN70" s="64">
        <f t="shared" si="141"/>
        <v>0</v>
      </c>
      <c r="CO70" s="64"/>
      <c r="CP70" s="64"/>
      <c r="CQ70" s="64"/>
      <c r="CR70" s="64"/>
      <c r="CS70" s="64">
        <f t="shared" si="142"/>
        <v>0</v>
      </c>
      <c r="CT70" s="64"/>
      <c r="CU70" s="64"/>
      <c r="CV70" s="64"/>
      <c r="CW70" s="64"/>
      <c r="CX70" s="64">
        <f t="shared" si="143"/>
        <v>0</v>
      </c>
      <c r="CY70" s="64">
        <f t="shared" si="151"/>
        <v>0</v>
      </c>
      <c r="CZ70" s="64">
        <f t="shared" si="151"/>
        <v>0</v>
      </c>
      <c r="DA70" s="64">
        <f t="shared" si="151"/>
        <v>0</v>
      </c>
      <c r="DB70" s="64">
        <f t="shared" si="151"/>
        <v>0</v>
      </c>
      <c r="DC70" s="64"/>
      <c r="DD70" s="64"/>
      <c r="DE70" s="64"/>
      <c r="DF70" s="64">
        <f t="shared" si="144"/>
        <v>0</v>
      </c>
      <c r="DH70" s="64">
        <f t="shared" si="145"/>
        <v>0</v>
      </c>
      <c r="DI70" s="64">
        <f t="shared" si="146"/>
        <v>0</v>
      </c>
      <c r="DK70" s="64"/>
      <c r="DL70" s="64"/>
      <c r="DN70" s="64"/>
      <c r="DQ70" s="64">
        <f t="shared" si="149"/>
        <v>0</v>
      </c>
      <c r="DR70" s="64"/>
      <c r="DS70" s="64"/>
      <c r="DT70" s="64"/>
      <c r="DU70" s="64"/>
      <c r="DV70" s="64">
        <f t="shared" si="150"/>
        <v>0</v>
      </c>
      <c r="DW70" s="64"/>
      <c r="DX70" s="64"/>
      <c r="DY70" s="64"/>
      <c r="DZ70" s="64"/>
      <c r="EA70" s="375"/>
      <c r="EB70" s="375"/>
      <c r="EC70" s="375"/>
      <c r="ED70" s="375"/>
      <c r="EE70" s="375"/>
      <c r="EF70" s="375"/>
      <c r="EG70" s="375"/>
      <c r="EH70" s="375"/>
      <c r="EI70" s="375"/>
      <c r="EJ70" s="375"/>
      <c r="EK70" s="375"/>
      <c r="EL70" s="375"/>
      <c r="EM70" s="375"/>
      <c r="EN70" s="375"/>
      <c r="EO70" s="375"/>
      <c r="EP70" s="375"/>
      <c r="EQ70" s="375"/>
      <c r="ER70" s="375"/>
      <c r="ES70" s="375"/>
      <c r="ET70" s="375"/>
      <c r="EU70" s="375"/>
      <c r="EV70" s="375"/>
      <c r="EW70" s="375"/>
      <c r="EX70" s="375"/>
      <c r="EY70" s="375"/>
      <c r="EZ70" s="375"/>
      <c r="FA70" s="375"/>
      <c r="FB70" s="375"/>
      <c r="FC70" s="375"/>
      <c r="FD70" s="375"/>
      <c r="FE70" s="375"/>
      <c r="FF70" s="375"/>
      <c r="FG70" s="375"/>
      <c r="FH70" s="375"/>
      <c r="FI70" s="375"/>
      <c r="FJ70" s="375"/>
      <c r="FK70" s="375"/>
      <c r="FL70" s="375"/>
      <c r="FM70" s="375"/>
      <c r="FN70" s="375"/>
      <c r="FO70" s="375"/>
      <c r="FP70" s="375"/>
      <c r="FQ70" s="375"/>
      <c r="FR70" s="375"/>
      <c r="FS70" s="375"/>
      <c r="FT70" s="375"/>
      <c r="FU70" s="375"/>
      <c r="FV70" s="375"/>
      <c r="FW70" s="375"/>
      <c r="FX70" s="375"/>
      <c r="FY70" s="375"/>
      <c r="FZ70" s="375"/>
      <c r="GA70" s="375"/>
      <c r="GB70" s="375"/>
      <c r="GC70" s="375"/>
      <c r="GD70" s="375"/>
      <c r="GE70" s="375"/>
      <c r="GF70" s="375"/>
      <c r="GG70" s="375"/>
      <c r="GH70" s="375"/>
      <c r="GI70" s="375"/>
      <c r="GJ70" s="375"/>
      <c r="GK70" s="375"/>
      <c r="GL70" s="375"/>
      <c r="GM70" s="375"/>
      <c r="GN70" s="375"/>
      <c r="GO70" s="375"/>
      <c r="GP70" s="375"/>
      <c r="GQ70" s="375"/>
      <c r="GR70" s="375"/>
    </row>
    <row r="71" spans="1:200" s="61" customFormat="1" ht="15.75" customHeight="1" x14ac:dyDescent="0.3">
      <c r="A71" s="280"/>
      <c r="B71" s="281"/>
      <c r="C71" s="282"/>
      <c r="D71" s="282">
        <v>1</v>
      </c>
      <c r="E71" s="4">
        <v>57</v>
      </c>
      <c r="F71" s="281"/>
      <c r="G71" s="282"/>
      <c r="H71" s="282"/>
      <c r="I71" s="280"/>
      <c r="J71" s="280"/>
      <c r="K71" s="280"/>
      <c r="L71" s="280"/>
      <c r="M71" s="4">
        <v>54</v>
      </c>
      <c r="N71" s="62" t="s">
        <v>206</v>
      </c>
      <c r="O71" s="62">
        <v>0</v>
      </c>
      <c r="P71" s="62">
        <v>0</v>
      </c>
      <c r="Q71" s="60">
        <f t="shared" si="23"/>
        <v>0</v>
      </c>
      <c r="R71" s="60">
        <f t="shared" si="24"/>
        <v>0</v>
      </c>
      <c r="S71" s="60">
        <f t="shared" si="25"/>
        <v>0</v>
      </c>
      <c r="T71" s="60"/>
      <c r="U71" s="60"/>
      <c r="V71" s="64">
        <f t="shared" si="129"/>
        <v>0</v>
      </c>
      <c r="W71" s="64"/>
      <c r="X71" s="65">
        <v>0</v>
      </c>
      <c r="Y71" s="64"/>
      <c r="Z71" s="78"/>
      <c r="AA71" s="64">
        <f t="shared" si="130"/>
        <v>6.9</v>
      </c>
      <c r="AB71" s="64"/>
      <c r="AC71" s="65">
        <v>6.9</v>
      </c>
      <c r="AD71" s="64"/>
      <c r="AE71" s="78"/>
      <c r="AF71" s="64">
        <f t="shared" si="131"/>
        <v>6.9</v>
      </c>
      <c r="AG71" s="64"/>
      <c r="AH71" s="65">
        <v>6.9</v>
      </c>
      <c r="AI71" s="64"/>
      <c r="AJ71" s="78"/>
      <c r="AK71" s="64">
        <f t="shared" si="132"/>
        <v>3</v>
      </c>
      <c r="AL71" s="64"/>
      <c r="AM71" s="65">
        <v>3</v>
      </c>
      <c r="AN71" s="64"/>
      <c r="AO71" s="78"/>
      <c r="AP71" s="64"/>
      <c r="AQ71" s="64">
        <f t="shared" si="71"/>
        <v>0</v>
      </c>
      <c r="AR71" s="64"/>
      <c r="AS71" s="64"/>
      <c r="AT71" s="64"/>
      <c r="AU71" s="64"/>
      <c r="AV71" s="64">
        <f t="shared" ref="AV71:AV134" si="152">AW71+AX71+AY71</f>
        <v>0</v>
      </c>
      <c r="AW71" s="64">
        <f t="shared" ref="AW71:AW134" si="153">W71-AR71</f>
        <v>0</v>
      </c>
      <c r="AX71" s="64">
        <f t="shared" ref="AX71:AX134" si="154">X71-AS71</f>
        <v>0</v>
      </c>
      <c r="AY71" s="64">
        <f t="shared" ref="AY71:AY134" si="155">Y71-AT71</f>
        <v>0</v>
      </c>
      <c r="AZ71" s="64" t="e">
        <f>#REF!-AU71</f>
        <v>#REF!</v>
      </c>
      <c r="BA71" s="64">
        <f t="shared" si="133"/>
        <v>0</v>
      </c>
      <c r="BB71" s="64"/>
      <c r="BC71" s="64"/>
      <c r="BD71" s="64"/>
      <c r="BE71" s="64"/>
      <c r="BF71" s="64">
        <f t="shared" si="134"/>
        <v>0</v>
      </c>
      <c r="BG71" s="64"/>
      <c r="BH71" s="64"/>
      <c r="BI71" s="64"/>
      <c r="BJ71" s="64"/>
      <c r="BK71" s="64">
        <f t="shared" si="135"/>
        <v>0</v>
      </c>
      <c r="BL71" s="64"/>
      <c r="BM71" s="64"/>
      <c r="BN71" s="64"/>
      <c r="BO71" s="64"/>
      <c r="BP71" s="64">
        <f t="shared" si="136"/>
        <v>0</v>
      </c>
      <c r="BQ71" s="64"/>
      <c r="BR71" s="64"/>
      <c r="BS71" s="64"/>
      <c r="BT71" s="64"/>
      <c r="BU71" s="64">
        <f t="shared" si="137"/>
        <v>0</v>
      </c>
      <c r="BV71" s="64"/>
      <c r="BW71" s="64"/>
      <c r="BX71" s="64"/>
      <c r="BY71" s="64"/>
      <c r="BZ71" s="60">
        <f t="shared" si="138"/>
        <v>0</v>
      </c>
      <c r="CA71" s="64">
        <f t="shared" ref="CA71:CA134" si="156">CB71+CC71+CD71</f>
        <v>0</v>
      </c>
      <c r="CB71" s="64">
        <f t="shared" ref="CB71:CB134" si="157">BQ71+BV71</f>
        <v>0</v>
      </c>
      <c r="CC71" s="64">
        <f t="shared" ref="CC71:CC134" si="158">BR71+BW71</f>
        <v>0</v>
      </c>
      <c r="CD71" s="64">
        <f t="shared" ref="CD71:CD134" si="159">BS71+BX71</f>
        <v>0</v>
      </c>
      <c r="CE71" s="64">
        <f t="shared" si="139"/>
        <v>0</v>
      </c>
      <c r="CF71" s="64">
        <f t="shared" ref="CF71:CF134" si="160">CG71+CH71+CI71</f>
        <v>0</v>
      </c>
      <c r="CG71" s="64">
        <f t="shared" ref="CG71:CG134" si="161">BL71-BQ71</f>
        <v>0</v>
      </c>
      <c r="CH71" s="64">
        <f t="shared" ref="CH71:CH134" si="162">BM71-BR71</f>
        <v>0</v>
      </c>
      <c r="CI71" s="64">
        <f t="shared" ref="CI71:CI134" si="163">BN71-BS71</f>
        <v>0</v>
      </c>
      <c r="CJ71" s="64">
        <f t="shared" si="140"/>
        <v>0</v>
      </c>
      <c r="CK71" s="66"/>
      <c r="CL71" s="67"/>
      <c r="CM71" s="67"/>
      <c r="CN71" s="64">
        <f t="shared" si="141"/>
        <v>0</v>
      </c>
      <c r="CO71" s="64"/>
      <c r="CP71" s="64"/>
      <c r="CQ71" s="64"/>
      <c r="CR71" s="64"/>
      <c r="CS71" s="64">
        <f t="shared" si="142"/>
        <v>0</v>
      </c>
      <c r="CT71" s="64"/>
      <c r="CU71" s="64"/>
      <c r="CV71" s="64"/>
      <c r="CW71" s="64"/>
      <c r="CX71" s="64">
        <f t="shared" si="143"/>
        <v>0</v>
      </c>
      <c r="CY71" s="64">
        <f t="shared" si="151"/>
        <v>0</v>
      </c>
      <c r="CZ71" s="64">
        <f t="shared" si="151"/>
        <v>0</v>
      </c>
      <c r="DA71" s="64">
        <f t="shared" si="151"/>
        <v>0</v>
      </c>
      <c r="DB71" s="64">
        <f t="shared" si="151"/>
        <v>0</v>
      </c>
      <c r="DC71" s="64"/>
      <c r="DD71" s="64"/>
      <c r="DE71" s="64"/>
      <c r="DF71" s="64">
        <f t="shared" si="144"/>
        <v>0</v>
      </c>
      <c r="DH71" s="64">
        <f t="shared" si="145"/>
        <v>0</v>
      </c>
      <c r="DI71" s="64">
        <f t="shared" si="146"/>
        <v>0</v>
      </c>
      <c r="DK71" s="64"/>
      <c r="DL71" s="64"/>
      <c r="DN71" s="64"/>
      <c r="DQ71" s="64">
        <f t="shared" si="149"/>
        <v>0</v>
      </c>
      <c r="DR71" s="64"/>
      <c r="DS71" s="64"/>
      <c r="DT71" s="64"/>
      <c r="DU71" s="64"/>
      <c r="DV71" s="64">
        <f t="shared" si="150"/>
        <v>0</v>
      </c>
      <c r="DW71" s="64"/>
      <c r="DX71" s="64"/>
      <c r="DY71" s="64"/>
      <c r="DZ71" s="64"/>
      <c r="EA71" s="375"/>
      <c r="EB71" s="375"/>
      <c r="EC71" s="375"/>
      <c r="ED71" s="375"/>
      <c r="EE71" s="375"/>
      <c r="EF71" s="375"/>
      <c r="EG71" s="375"/>
      <c r="EH71" s="375"/>
      <c r="EI71" s="375"/>
      <c r="EJ71" s="375"/>
      <c r="EK71" s="375"/>
      <c r="EL71" s="375"/>
      <c r="EM71" s="375"/>
      <c r="EN71" s="375"/>
      <c r="EO71" s="375"/>
      <c r="EP71" s="375"/>
      <c r="EQ71" s="375"/>
      <c r="ER71" s="375"/>
      <c r="ES71" s="375"/>
      <c r="ET71" s="375"/>
      <c r="EU71" s="375"/>
      <c r="EV71" s="375"/>
      <c r="EW71" s="375"/>
      <c r="EX71" s="375"/>
      <c r="EY71" s="375"/>
      <c r="EZ71" s="375"/>
      <c r="FA71" s="375"/>
      <c r="FB71" s="375"/>
      <c r="FC71" s="375"/>
      <c r="FD71" s="375"/>
      <c r="FE71" s="375"/>
      <c r="FF71" s="375"/>
      <c r="FG71" s="375"/>
      <c r="FH71" s="375"/>
      <c r="FI71" s="375"/>
      <c r="FJ71" s="375"/>
      <c r="FK71" s="375"/>
      <c r="FL71" s="375"/>
      <c r="FM71" s="375"/>
      <c r="FN71" s="375"/>
      <c r="FO71" s="375"/>
      <c r="FP71" s="375"/>
      <c r="FQ71" s="375"/>
      <c r="FR71" s="375"/>
      <c r="FS71" s="375"/>
      <c r="FT71" s="375"/>
      <c r="FU71" s="375"/>
      <c r="FV71" s="375"/>
      <c r="FW71" s="375"/>
      <c r="FX71" s="375"/>
      <c r="FY71" s="375"/>
      <c r="FZ71" s="375"/>
      <c r="GA71" s="375"/>
      <c r="GB71" s="375"/>
      <c r="GC71" s="375"/>
      <c r="GD71" s="375"/>
      <c r="GE71" s="375"/>
      <c r="GF71" s="375"/>
      <c r="GG71" s="375"/>
      <c r="GH71" s="375"/>
      <c r="GI71" s="375"/>
      <c r="GJ71" s="375"/>
      <c r="GK71" s="375"/>
      <c r="GL71" s="375"/>
      <c r="GM71" s="375"/>
      <c r="GN71" s="375"/>
      <c r="GO71" s="375"/>
      <c r="GP71" s="375"/>
      <c r="GQ71" s="375"/>
      <c r="GR71" s="375"/>
    </row>
    <row r="72" spans="1:200" s="61" customFormat="1" ht="15.75" customHeight="1" x14ac:dyDescent="0.3">
      <c r="A72" s="280"/>
      <c r="B72" s="281"/>
      <c r="C72" s="282">
        <v>1</v>
      </c>
      <c r="D72" s="282"/>
      <c r="E72" s="4">
        <v>58</v>
      </c>
      <c r="F72" s="281"/>
      <c r="G72" s="282">
        <v>1</v>
      </c>
      <c r="H72" s="282"/>
      <c r="I72" s="280"/>
      <c r="J72" s="280"/>
      <c r="K72" s="280"/>
      <c r="L72" s="280"/>
      <c r="M72" s="283">
        <v>55</v>
      </c>
      <c r="N72" s="62" t="s">
        <v>38</v>
      </c>
      <c r="O72" s="62" t="s">
        <v>450</v>
      </c>
      <c r="P72" s="62" t="s">
        <v>448</v>
      </c>
      <c r="Q72" s="60">
        <f t="shared" ref="Q72:Q135" si="164">BL72-BQ72</f>
        <v>0</v>
      </c>
      <c r="R72" s="60">
        <f t="shared" ref="R72:R135" si="165">BM72-BR72</f>
        <v>0</v>
      </c>
      <c r="S72" s="60">
        <f t="shared" ref="S72:S135" si="166">BN72-BS72</f>
        <v>0</v>
      </c>
      <c r="T72" s="60">
        <v>1</v>
      </c>
      <c r="U72" s="60">
        <v>1</v>
      </c>
      <c r="V72" s="64">
        <f t="shared" si="129"/>
        <v>547.4</v>
      </c>
      <c r="W72" s="64"/>
      <c r="X72" s="65">
        <v>547.4</v>
      </c>
      <c r="Y72" s="64"/>
      <c r="Z72" s="78"/>
      <c r="AA72" s="64">
        <f t="shared" si="130"/>
        <v>547.4</v>
      </c>
      <c r="AB72" s="64"/>
      <c r="AC72" s="65">
        <v>547.4</v>
      </c>
      <c r="AD72" s="64"/>
      <c r="AE72" s="78"/>
      <c r="AF72" s="64">
        <f t="shared" si="131"/>
        <v>547.4</v>
      </c>
      <c r="AG72" s="64"/>
      <c r="AH72" s="65">
        <v>547.4</v>
      </c>
      <c r="AI72" s="64"/>
      <c r="AJ72" s="78"/>
      <c r="AK72" s="64">
        <f t="shared" si="132"/>
        <v>238</v>
      </c>
      <c r="AL72" s="64"/>
      <c r="AM72" s="65">
        <v>238</v>
      </c>
      <c r="AN72" s="64"/>
      <c r="AO72" s="78"/>
      <c r="AP72" s="64" t="s">
        <v>513</v>
      </c>
      <c r="AQ72" s="64">
        <f t="shared" si="71"/>
        <v>547.4</v>
      </c>
      <c r="AR72" s="64"/>
      <c r="AS72" s="65">
        <v>547.4</v>
      </c>
      <c r="AT72" s="64"/>
      <c r="AU72" s="64"/>
      <c r="AV72" s="64">
        <f t="shared" si="152"/>
        <v>0</v>
      </c>
      <c r="AW72" s="64">
        <f t="shared" si="153"/>
        <v>0</v>
      </c>
      <c r="AX72" s="64">
        <f t="shared" si="154"/>
        <v>0</v>
      </c>
      <c r="AY72" s="64">
        <f t="shared" si="155"/>
        <v>0</v>
      </c>
      <c r="AZ72" s="64" t="e">
        <f>#REF!-AU72</f>
        <v>#REF!</v>
      </c>
      <c r="BA72" s="64">
        <f t="shared" si="133"/>
        <v>547.4</v>
      </c>
      <c r="BB72" s="64"/>
      <c r="BC72" s="65">
        <v>547.4</v>
      </c>
      <c r="BD72" s="64"/>
      <c r="BE72" s="64"/>
      <c r="BF72" s="64">
        <f t="shared" si="134"/>
        <v>0</v>
      </c>
      <c r="BG72" s="64"/>
      <c r="BH72" s="64"/>
      <c r="BI72" s="64"/>
      <c r="BJ72" s="64"/>
      <c r="BK72" s="64">
        <f t="shared" si="135"/>
        <v>547.4</v>
      </c>
      <c r="BL72" s="64"/>
      <c r="BM72" s="65">
        <v>547.4</v>
      </c>
      <c r="BN72" s="64"/>
      <c r="BO72" s="64"/>
      <c r="BP72" s="64">
        <f t="shared" si="136"/>
        <v>547.4</v>
      </c>
      <c r="BQ72" s="64"/>
      <c r="BR72" s="64">
        <v>547.4</v>
      </c>
      <c r="BS72" s="64"/>
      <c r="BT72" s="64"/>
      <c r="BU72" s="64">
        <f t="shared" si="137"/>
        <v>547.25091999999995</v>
      </c>
      <c r="BV72" s="64"/>
      <c r="BW72" s="64">
        <v>547.25091999999995</v>
      </c>
      <c r="BX72" s="64"/>
      <c r="BY72" s="64"/>
      <c r="BZ72" s="60">
        <f t="shared" si="138"/>
        <v>1094.65092</v>
      </c>
      <c r="CA72" s="64">
        <f t="shared" si="156"/>
        <v>1094.65092</v>
      </c>
      <c r="CB72" s="64">
        <f t="shared" si="157"/>
        <v>0</v>
      </c>
      <c r="CC72" s="64">
        <f t="shared" si="158"/>
        <v>1094.65092</v>
      </c>
      <c r="CD72" s="64">
        <f t="shared" si="159"/>
        <v>0</v>
      </c>
      <c r="CE72" s="64">
        <f t="shared" si="139"/>
        <v>0</v>
      </c>
      <c r="CF72" s="64">
        <f t="shared" si="160"/>
        <v>0</v>
      </c>
      <c r="CG72" s="64">
        <f t="shared" si="161"/>
        <v>0</v>
      </c>
      <c r="CH72" s="64">
        <f t="shared" si="162"/>
        <v>0</v>
      </c>
      <c r="CI72" s="64">
        <f t="shared" si="163"/>
        <v>0</v>
      </c>
      <c r="CJ72" s="64">
        <f t="shared" si="140"/>
        <v>0</v>
      </c>
      <c r="CK72" s="66"/>
      <c r="CL72" s="67"/>
      <c r="CM72" s="67"/>
      <c r="CN72" s="64">
        <f t="shared" si="141"/>
        <v>0</v>
      </c>
      <c r="CO72" s="64"/>
      <c r="CP72" s="64"/>
      <c r="CQ72" s="64"/>
      <c r="CR72" s="64"/>
      <c r="CS72" s="64">
        <f t="shared" si="142"/>
        <v>0</v>
      </c>
      <c r="CT72" s="64"/>
      <c r="CU72" s="64"/>
      <c r="CV72" s="64"/>
      <c r="CW72" s="64"/>
      <c r="CX72" s="64">
        <f t="shared" si="143"/>
        <v>0</v>
      </c>
      <c r="CY72" s="64">
        <f t="shared" si="151"/>
        <v>0</v>
      </c>
      <c r="CZ72" s="64">
        <f t="shared" si="151"/>
        <v>0</v>
      </c>
      <c r="DA72" s="64">
        <f t="shared" si="151"/>
        <v>0</v>
      </c>
      <c r="DB72" s="64">
        <f t="shared" si="151"/>
        <v>0</v>
      </c>
      <c r="DC72" s="64"/>
      <c r="DD72" s="64"/>
      <c r="DE72" s="64"/>
      <c r="DF72" s="64">
        <f t="shared" si="144"/>
        <v>0</v>
      </c>
      <c r="DH72" s="64">
        <f t="shared" si="145"/>
        <v>547.4</v>
      </c>
      <c r="DI72" s="64">
        <f t="shared" si="146"/>
        <v>547.4</v>
      </c>
      <c r="DK72" s="64"/>
      <c r="DL72" s="64"/>
      <c r="DN72" s="64"/>
      <c r="DQ72" s="64">
        <f t="shared" si="149"/>
        <v>547.4</v>
      </c>
      <c r="DR72" s="64"/>
      <c r="DS72" s="64">
        <v>547.4</v>
      </c>
      <c r="DT72" s="64"/>
      <c r="DU72" s="64"/>
      <c r="DV72" s="64">
        <f t="shared" si="150"/>
        <v>547.25</v>
      </c>
      <c r="DW72" s="64"/>
      <c r="DX72" s="64">
        <v>547.25</v>
      </c>
      <c r="DY72" s="64"/>
      <c r="DZ72" s="64"/>
      <c r="EA72" s="375"/>
      <c r="EB72" s="375"/>
      <c r="EC72" s="375"/>
      <c r="ED72" s="375"/>
      <c r="EE72" s="375"/>
      <c r="EF72" s="375"/>
      <c r="EG72" s="375"/>
      <c r="EH72" s="375"/>
      <c r="EI72" s="375"/>
      <c r="EJ72" s="375"/>
      <c r="EK72" s="375"/>
      <c r="EL72" s="375"/>
      <c r="EM72" s="375"/>
      <c r="EN72" s="375"/>
      <c r="EO72" s="375"/>
      <c r="EP72" s="375"/>
      <c r="EQ72" s="375"/>
      <c r="ER72" s="375"/>
      <c r="ES72" s="375"/>
      <c r="ET72" s="375"/>
      <c r="EU72" s="375"/>
      <c r="EV72" s="375"/>
      <c r="EW72" s="375"/>
      <c r="EX72" s="375"/>
      <c r="EY72" s="375"/>
      <c r="EZ72" s="375"/>
      <c r="FA72" s="375"/>
      <c r="FB72" s="375"/>
      <c r="FC72" s="375"/>
      <c r="FD72" s="375"/>
      <c r="FE72" s="375"/>
      <c r="FF72" s="375"/>
      <c r="FG72" s="375"/>
      <c r="FH72" s="375"/>
      <c r="FI72" s="375"/>
      <c r="FJ72" s="375"/>
      <c r="FK72" s="375"/>
      <c r="FL72" s="375"/>
      <c r="FM72" s="375"/>
      <c r="FN72" s="375"/>
      <c r="FO72" s="375"/>
      <c r="FP72" s="375"/>
      <c r="FQ72" s="375"/>
      <c r="FR72" s="375"/>
      <c r="FS72" s="375"/>
      <c r="FT72" s="375"/>
      <c r="FU72" s="375"/>
      <c r="FV72" s="375"/>
      <c r="FW72" s="375"/>
      <c r="FX72" s="375"/>
      <c r="FY72" s="375"/>
      <c r="FZ72" s="375"/>
      <c r="GA72" s="375"/>
      <c r="GB72" s="375"/>
      <c r="GC72" s="375"/>
      <c r="GD72" s="375"/>
      <c r="GE72" s="375"/>
      <c r="GF72" s="375"/>
      <c r="GG72" s="375"/>
      <c r="GH72" s="375"/>
      <c r="GI72" s="375"/>
      <c r="GJ72" s="375"/>
      <c r="GK72" s="375"/>
      <c r="GL72" s="375"/>
      <c r="GM72" s="375"/>
      <c r="GN72" s="375"/>
      <c r="GO72" s="375"/>
      <c r="GP72" s="375"/>
      <c r="GQ72" s="375"/>
      <c r="GR72" s="375"/>
    </row>
    <row r="73" spans="1:200" s="61" customFormat="1" ht="15.75" customHeight="1" x14ac:dyDescent="0.3">
      <c r="A73" s="280"/>
      <c r="B73" s="281"/>
      <c r="C73" s="282"/>
      <c r="D73" s="282">
        <v>1</v>
      </c>
      <c r="E73" s="4">
        <v>59</v>
      </c>
      <c r="F73" s="281"/>
      <c r="G73" s="282"/>
      <c r="H73" s="282">
        <v>1</v>
      </c>
      <c r="I73" s="4"/>
      <c r="J73" s="283"/>
      <c r="K73" s="283"/>
      <c r="L73" s="286"/>
      <c r="M73" s="4">
        <v>56</v>
      </c>
      <c r="N73" s="62" t="s">
        <v>93</v>
      </c>
      <c r="O73" s="62" t="s">
        <v>450</v>
      </c>
      <c r="P73" s="62" t="s">
        <v>448</v>
      </c>
      <c r="Q73" s="60">
        <f t="shared" si="164"/>
        <v>0</v>
      </c>
      <c r="R73" s="60">
        <f t="shared" si="165"/>
        <v>0</v>
      </c>
      <c r="S73" s="60">
        <f t="shared" si="166"/>
        <v>0</v>
      </c>
      <c r="T73" s="60">
        <v>1</v>
      </c>
      <c r="U73" s="60">
        <v>2</v>
      </c>
      <c r="V73" s="64">
        <f t="shared" si="129"/>
        <v>1213.2449999999999</v>
      </c>
      <c r="W73" s="64"/>
      <c r="X73" s="65">
        <v>1213.2449999999999</v>
      </c>
      <c r="Y73" s="64"/>
      <c r="Z73" s="73"/>
      <c r="AA73" s="64">
        <f t="shared" si="130"/>
        <v>816.5</v>
      </c>
      <c r="AB73" s="64"/>
      <c r="AC73" s="65">
        <v>816.5</v>
      </c>
      <c r="AD73" s="64"/>
      <c r="AE73" s="73"/>
      <c r="AF73" s="64">
        <f t="shared" si="131"/>
        <v>816.5</v>
      </c>
      <c r="AG73" s="64"/>
      <c r="AH73" s="65">
        <v>816.5</v>
      </c>
      <c r="AI73" s="64"/>
      <c r="AJ73" s="73"/>
      <c r="AK73" s="64">
        <f t="shared" si="132"/>
        <v>355</v>
      </c>
      <c r="AL73" s="64"/>
      <c r="AM73" s="65">
        <v>355</v>
      </c>
      <c r="AN73" s="64"/>
      <c r="AO73" s="73"/>
      <c r="AP73" s="64" t="s">
        <v>437</v>
      </c>
      <c r="AQ73" s="64">
        <f t="shared" si="71"/>
        <v>1213.2449999999999</v>
      </c>
      <c r="AR73" s="64"/>
      <c r="AS73" s="65">
        <f>355+461.5+396.745</f>
        <v>1213.2449999999999</v>
      </c>
      <c r="AT73" s="64"/>
      <c r="AU73" s="73"/>
      <c r="AV73" s="64">
        <f t="shared" si="152"/>
        <v>0</v>
      </c>
      <c r="AW73" s="64">
        <f t="shared" si="153"/>
        <v>0</v>
      </c>
      <c r="AX73" s="64">
        <f t="shared" si="154"/>
        <v>0</v>
      </c>
      <c r="AY73" s="64">
        <f t="shared" si="155"/>
        <v>0</v>
      </c>
      <c r="AZ73" s="64" t="e">
        <f>#REF!-AU73</f>
        <v>#REF!</v>
      </c>
      <c r="BA73" s="64">
        <f t="shared" si="133"/>
        <v>1213.2449999999999</v>
      </c>
      <c r="BB73" s="64"/>
      <c r="BC73" s="65">
        <f>355+461.5+396.745</f>
        <v>1213.2449999999999</v>
      </c>
      <c r="BD73" s="64"/>
      <c r="BE73" s="73"/>
      <c r="BF73" s="64">
        <f t="shared" si="134"/>
        <v>0</v>
      </c>
      <c r="BG73" s="64"/>
      <c r="BH73" s="73"/>
      <c r="BI73" s="64"/>
      <c r="BJ73" s="73"/>
      <c r="BK73" s="64">
        <f t="shared" si="135"/>
        <v>1213.2449999999999</v>
      </c>
      <c r="BL73" s="64"/>
      <c r="BM73" s="65">
        <f>355+461.5+396.745</f>
        <v>1213.2449999999999</v>
      </c>
      <c r="BN73" s="64"/>
      <c r="BO73" s="74"/>
      <c r="BP73" s="64">
        <f t="shared" si="136"/>
        <v>1213.2449999999999</v>
      </c>
      <c r="BQ73" s="64"/>
      <c r="BR73" s="74">
        <f>355+396.745+461.5</f>
        <v>1213.2449999999999</v>
      </c>
      <c r="BS73" s="64"/>
      <c r="BT73" s="74"/>
      <c r="BU73" s="64">
        <f t="shared" si="137"/>
        <v>567.69800000000009</v>
      </c>
      <c r="BV73" s="64"/>
      <c r="BW73" s="64">
        <f>250.252+132.4+185.046</f>
        <v>567.69800000000009</v>
      </c>
      <c r="BX73" s="64"/>
      <c r="BY73" s="64"/>
      <c r="BZ73" s="60">
        <f t="shared" si="138"/>
        <v>1780.943</v>
      </c>
      <c r="CA73" s="64">
        <f t="shared" si="156"/>
        <v>1780.943</v>
      </c>
      <c r="CB73" s="64">
        <f t="shared" si="157"/>
        <v>0</v>
      </c>
      <c r="CC73" s="64">
        <f t="shared" si="158"/>
        <v>1780.943</v>
      </c>
      <c r="CD73" s="64">
        <f t="shared" si="159"/>
        <v>0</v>
      </c>
      <c r="CE73" s="64">
        <f t="shared" si="139"/>
        <v>0</v>
      </c>
      <c r="CF73" s="64">
        <f t="shared" si="160"/>
        <v>0</v>
      </c>
      <c r="CG73" s="64">
        <f t="shared" si="161"/>
        <v>0</v>
      </c>
      <c r="CH73" s="64">
        <f t="shared" si="162"/>
        <v>0</v>
      </c>
      <c r="CI73" s="64">
        <f t="shared" si="163"/>
        <v>0</v>
      </c>
      <c r="CJ73" s="64">
        <f t="shared" si="140"/>
        <v>0</v>
      </c>
      <c r="CK73" s="66"/>
      <c r="CL73" s="67"/>
      <c r="CM73" s="67"/>
      <c r="CN73" s="64">
        <f t="shared" si="141"/>
        <v>0</v>
      </c>
      <c r="CO73" s="64"/>
      <c r="CP73" s="73"/>
      <c r="CQ73" s="64"/>
      <c r="CR73" s="73"/>
      <c r="CS73" s="64">
        <f t="shared" si="142"/>
        <v>0</v>
      </c>
      <c r="CT73" s="64"/>
      <c r="CU73" s="73"/>
      <c r="CV73" s="64"/>
      <c r="CW73" s="73"/>
      <c r="CX73" s="64">
        <f t="shared" si="143"/>
        <v>0</v>
      </c>
      <c r="CY73" s="64">
        <f t="shared" si="151"/>
        <v>0</v>
      </c>
      <c r="CZ73" s="64">
        <f t="shared" si="151"/>
        <v>0</v>
      </c>
      <c r="DA73" s="64">
        <f t="shared" si="151"/>
        <v>0</v>
      </c>
      <c r="DB73" s="64">
        <f t="shared" si="151"/>
        <v>0</v>
      </c>
      <c r="DC73" s="64"/>
      <c r="DD73" s="64"/>
      <c r="DE73" s="64"/>
      <c r="DF73" s="64">
        <f t="shared" si="144"/>
        <v>0</v>
      </c>
      <c r="DH73" s="64">
        <f t="shared" si="145"/>
        <v>1213.2449999999999</v>
      </c>
      <c r="DI73" s="64">
        <f t="shared" si="146"/>
        <v>1213.2449999999999</v>
      </c>
      <c r="DK73" s="64"/>
      <c r="DL73" s="64"/>
      <c r="DN73" s="64"/>
      <c r="DQ73" s="64">
        <f t="shared" si="149"/>
        <v>1213.2449999999999</v>
      </c>
      <c r="DR73" s="64"/>
      <c r="DS73" s="74">
        <f>355+396.745+461.5</f>
        <v>1213.2449999999999</v>
      </c>
      <c r="DT73" s="64"/>
      <c r="DU73" s="74"/>
      <c r="DV73" s="64">
        <f t="shared" si="150"/>
        <v>435.298</v>
      </c>
      <c r="DW73" s="64"/>
      <c r="DX73" s="64">
        <v>435.298</v>
      </c>
      <c r="DY73" s="64"/>
      <c r="DZ73" s="64"/>
      <c r="EA73" s="375"/>
      <c r="EB73" s="375"/>
      <c r="EC73" s="375"/>
      <c r="ED73" s="375"/>
      <c r="EE73" s="375"/>
      <c r="EF73" s="375"/>
      <c r="EG73" s="375"/>
      <c r="EH73" s="375"/>
      <c r="EI73" s="375"/>
      <c r="EJ73" s="375"/>
      <c r="EK73" s="375"/>
      <c r="EL73" s="375"/>
      <c r="EM73" s="375"/>
      <c r="EN73" s="375"/>
      <c r="EO73" s="375"/>
      <c r="EP73" s="375"/>
      <c r="EQ73" s="375"/>
      <c r="ER73" s="375"/>
      <c r="ES73" s="375"/>
      <c r="ET73" s="375"/>
      <c r="EU73" s="375"/>
      <c r="EV73" s="375"/>
      <c r="EW73" s="375"/>
      <c r="EX73" s="375"/>
      <c r="EY73" s="375"/>
      <c r="EZ73" s="375"/>
      <c r="FA73" s="375"/>
      <c r="FB73" s="375"/>
      <c r="FC73" s="375"/>
      <c r="FD73" s="375"/>
      <c r="FE73" s="375"/>
      <c r="FF73" s="375"/>
      <c r="FG73" s="375"/>
      <c r="FH73" s="375"/>
      <c r="FI73" s="375"/>
      <c r="FJ73" s="375"/>
      <c r="FK73" s="375"/>
      <c r="FL73" s="375"/>
      <c r="FM73" s="375"/>
      <c r="FN73" s="375"/>
      <c r="FO73" s="375"/>
      <c r="FP73" s="375"/>
      <c r="FQ73" s="375"/>
      <c r="FR73" s="375"/>
      <c r="FS73" s="375"/>
      <c r="FT73" s="375"/>
      <c r="FU73" s="375"/>
      <c r="FV73" s="375"/>
      <c r="FW73" s="375"/>
      <c r="FX73" s="375"/>
      <c r="FY73" s="375"/>
      <c r="FZ73" s="375"/>
      <c r="GA73" s="375"/>
      <c r="GB73" s="375"/>
      <c r="GC73" s="375"/>
      <c r="GD73" s="375"/>
      <c r="GE73" s="375"/>
      <c r="GF73" s="375"/>
      <c r="GG73" s="375"/>
      <c r="GH73" s="375"/>
      <c r="GI73" s="375"/>
      <c r="GJ73" s="375"/>
      <c r="GK73" s="375"/>
      <c r="GL73" s="375"/>
      <c r="GM73" s="375"/>
      <c r="GN73" s="375"/>
      <c r="GO73" s="375"/>
      <c r="GP73" s="375"/>
      <c r="GQ73" s="375"/>
      <c r="GR73" s="375"/>
    </row>
    <row r="74" spans="1:200" s="61" customFormat="1" ht="15.75" customHeight="1" x14ac:dyDescent="0.3">
      <c r="A74" s="280"/>
      <c r="B74" s="281"/>
      <c r="C74" s="282">
        <v>1</v>
      </c>
      <c r="D74" s="282"/>
      <c r="E74" s="4">
        <v>60</v>
      </c>
      <c r="F74" s="281"/>
      <c r="G74" s="282">
        <v>1</v>
      </c>
      <c r="H74" s="282">
        <v>1</v>
      </c>
      <c r="I74" s="4"/>
      <c r="J74" s="283"/>
      <c r="K74" s="283"/>
      <c r="L74" s="286"/>
      <c r="M74" s="4">
        <v>57</v>
      </c>
      <c r="N74" s="62" t="s">
        <v>39</v>
      </c>
      <c r="O74" s="62" t="s">
        <v>448</v>
      </c>
      <c r="P74" s="62" t="s">
        <v>450</v>
      </c>
      <c r="Q74" s="60">
        <f t="shared" si="164"/>
        <v>0</v>
      </c>
      <c r="R74" s="60">
        <f t="shared" si="165"/>
        <v>0</v>
      </c>
      <c r="S74" s="60">
        <f t="shared" si="166"/>
        <v>0</v>
      </c>
      <c r="T74" s="60">
        <v>1</v>
      </c>
      <c r="U74" s="60">
        <v>3</v>
      </c>
      <c r="V74" s="64">
        <f t="shared" si="129"/>
        <v>2126.6999999999998</v>
      </c>
      <c r="W74" s="64"/>
      <c r="X74" s="65">
        <v>1446.7</v>
      </c>
      <c r="Y74" s="64">
        <v>680</v>
      </c>
      <c r="Z74" s="73"/>
      <c r="AA74" s="64">
        <f t="shared" si="130"/>
        <v>1446.7</v>
      </c>
      <c r="AB74" s="64"/>
      <c r="AC74" s="65">
        <v>1446.7</v>
      </c>
      <c r="AD74" s="64"/>
      <c r="AE74" s="73"/>
      <c r="AF74" s="64">
        <f t="shared" si="131"/>
        <v>1446.7</v>
      </c>
      <c r="AG74" s="64"/>
      <c r="AH74" s="65">
        <v>1446.7</v>
      </c>
      <c r="AI74" s="64"/>
      <c r="AJ74" s="73"/>
      <c r="AK74" s="64">
        <f t="shared" si="132"/>
        <v>629</v>
      </c>
      <c r="AL74" s="64"/>
      <c r="AM74" s="65">
        <v>629</v>
      </c>
      <c r="AN74" s="64"/>
      <c r="AO74" s="73"/>
      <c r="AP74" s="64" t="s">
        <v>445</v>
      </c>
      <c r="AQ74" s="64">
        <f t="shared" si="71"/>
        <v>2126.6999999999998</v>
      </c>
      <c r="AR74" s="64"/>
      <c r="AS74" s="65">
        <f>629+817.7</f>
        <v>1446.7</v>
      </c>
      <c r="AT74" s="64">
        <v>680</v>
      </c>
      <c r="AU74" s="73"/>
      <c r="AV74" s="64">
        <f t="shared" si="152"/>
        <v>0</v>
      </c>
      <c r="AW74" s="64">
        <f t="shared" si="153"/>
        <v>0</v>
      </c>
      <c r="AX74" s="64">
        <f t="shared" si="154"/>
        <v>0</v>
      </c>
      <c r="AY74" s="64">
        <f t="shared" si="155"/>
        <v>0</v>
      </c>
      <c r="AZ74" s="64" t="e">
        <f>#REF!-AU74</f>
        <v>#REF!</v>
      </c>
      <c r="BA74" s="64">
        <f t="shared" si="133"/>
        <v>2126.6999999999998</v>
      </c>
      <c r="BB74" s="64"/>
      <c r="BC74" s="65">
        <f>629+817.7</f>
        <v>1446.7</v>
      </c>
      <c r="BD74" s="64">
        <v>680</v>
      </c>
      <c r="BE74" s="73"/>
      <c r="BF74" s="64">
        <f t="shared" si="134"/>
        <v>0</v>
      </c>
      <c r="BG74" s="64"/>
      <c r="BH74" s="65"/>
      <c r="BI74" s="64"/>
      <c r="BJ74" s="73"/>
      <c r="BK74" s="64">
        <f t="shared" si="135"/>
        <v>2126.6999999999998</v>
      </c>
      <c r="BL74" s="64"/>
      <c r="BM74" s="65">
        <f>629+817.7</f>
        <v>1446.7</v>
      </c>
      <c r="BN74" s="64">
        <v>680</v>
      </c>
      <c r="BO74" s="74"/>
      <c r="BP74" s="64">
        <f t="shared" si="136"/>
        <v>2126.6999999999998</v>
      </c>
      <c r="BQ74" s="64"/>
      <c r="BR74" s="74">
        <f>817.7+629</f>
        <v>1446.7</v>
      </c>
      <c r="BS74" s="64">
        <f>440+240</f>
        <v>680</v>
      </c>
      <c r="BT74" s="74"/>
      <c r="BU74" s="64">
        <f t="shared" si="137"/>
        <v>1682.47738</v>
      </c>
      <c r="BV74" s="64"/>
      <c r="BW74" s="64">
        <f>865.82806+574.60932</f>
        <v>1440.4373800000001</v>
      </c>
      <c r="BX74" s="64">
        <f>157.731+84.309</f>
        <v>242.04</v>
      </c>
      <c r="BY74" s="64"/>
      <c r="BZ74" s="60">
        <f t="shared" si="138"/>
        <v>3809.1773800000001</v>
      </c>
      <c r="CA74" s="64">
        <f t="shared" si="156"/>
        <v>3809.1773800000001</v>
      </c>
      <c r="CB74" s="64">
        <f t="shared" si="157"/>
        <v>0</v>
      </c>
      <c r="CC74" s="64">
        <f t="shared" si="158"/>
        <v>2887.1373800000001</v>
      </c>
      <c r="CD74" s="64">
        <f t="shared" si="159"/>
        <v>922.04</v>
      </c>
      <c r="CE74" s="64">
        <f t="shared" si="139"/>
        <v>0</v>
      </c>
      <c r="CF74" s="64">
        <f t="shared" si="160"/>
        <v>0</v>
      </c>
      <c r="CG74" s="64">
        <f t="shared" si="161"/>
        <v>0</v>
      </c>
      <c r="CH74" s="64">
        <f t="shared" si="162"/>
        <v>0</v>
      </c>
      <c r="CI74" s="64">
        <f t="shared" si="163"/>
        <v>0</v>
      </c>
      <c r="CJ74" s="64">
        <f t="shared" si="140"/>
        <v>0</v>
      </c>
      <c r="CK74" s="66"/>
      <c r="CL74" s="67"/>
      <c r="CM74" s="67"/>
      <c r="CN74" s="64">
        <f t="shared" si="141"/>
        <v>0</v>
      </c>
      <c r="CO74" s="64"/>
      <c r="CP74" s="65"/>
      <c r="CQ74" s="64"/>
      <c r="CR74" s="73"/>
      <c r="CS74" s="64">
        <f t="shared" si="142"/>
        <v>0</v>
      </c>
      <c r="CT74" s="64"/>
      <c r="CU74" s="65"/>
      <c r="CV74" s="64"/>
      <c r="CW74" s="73"/>
      <c r="CX74" s="64">
        <f t="shared" si="143"/>
        <v>0</v>
      </c>
      <c r="CY74" s="64">
        <f t="shared" si="151"/>
        <v>0</v>
      </c>
      <c r="CZ74" s="64">
        <f t="shared" si="151"/>
        <v>0</v>
      </c>
      <c r="DA74" s="64">
        <f t="shared" si="151"/>
        <v>0</v>
      </c>
      <c r="DB74" s="64">
        <f t="shared" si="151"/>
        <v>0</v>
      </c>
      <c r="DC74" s="64"/>
      <c r="DD74" s="64"/>
      <c r="DE74" s="64"/>
      <c r="DF74" s="64">
        <f t="shared" si="144"/>
        <v>0</v>
      </c>
      <c r="DH74" s="64">
        <f t="shared" si="145"/>
        <v>2126.6999999999998</v>
      </c>
      <c r="DI74" s="64">
        <f t="shared" si="146"/>
        <v>2126.6999999999998</v>
      </c>
      <c r="DK74" s="64"/>
      <c r="DL74" s="64"/>
      <c r="DN74" s="64"/>
      <c r="DQ74" s="64">
        <f t="shared" si="149"/>
        <v>1446.7</v>
      </c>
      <c r="DR74" s="64"/>
      <c r="DS74" s="74">
        <f>817.7+629</f>
        <v>1446.7</v>
      </c>
      <c r="DT74" s="64"/>
      <c r="DU74" s="74"/>
      <c r="DV74" s="64">
        <f t="shared" si="150"/>
        <v>1440.4373800000001</v>
      </c>
      <c r="DW74" s="64"/>
      <c r="DX74" s="64">
        <v>1440.4373800000001</v>
      </c>
      <c r="DY74" s="64"/>
      <c r="DZ74" s="64"/>
      <c r="EA74" s="375"/>
      <c r="EB74" s="375"/>
      <c r="EC74" s="375"/>
      <c r="ED74" s="375"/>
      <c r="EE74" s="375"/>
      <c r="EF74" s="375"/>
      <c r="EG74" s="375"/>
      <c r="EH74" s="375"/>
      <c r="EI74" s="375"/>
      <c r="EJ74" s="375"/>
      <c r="EK74" s="375"/>
      <c r="EL74" s="375"/>
      <c r="EM74" s="375"/>
      <c r="EN74" s="375"/>
      <c r="EO74" s="375"/>
      <c r="EP74" s="375"/>
      <c r="EQ74" s="375"/>
      <c r="ER74" s="375"/>
      <c r="ES74" s="375"/>
      <c r="ET74" s="375"/>
      <c r="EU74" s="375"/>
      <c r="EV74" s="375"/>
      <c r="EW74" s="375"/>
      <c r="EX74" s="375"/>
      <c r="EY74" s="375"/>
      <c r="EZ74" s="375"/>
      <c r="FA74" s="375"/>
      <c r="FB74" s="375"/>
      <c r="FC74" s="375"/>
      <c r="FD74" s="375"/>
      <c r="FE74" s="375"/>
      <c r="FF74" s="375"/>
      <c r="FG74" s="375"/>
      <c r="FH74" s="375"/>
      <c r="FI74" s="375"/>
      <c r="FJ74" s="375"/>
      <c r="FK74" s="375"/>
      <c r="FL74" s="375"/>
      <c r="FM74" s="375"/>
      <c r="FN74" s="375"/>
      <c r="FO74" s="375"/>
      <c r="FP74" s="375"/>
      <c r="FQ74" s="375"/>
      <c r="FR74" s="375"/>
      <c r="FS74" s="375"/>
      <c r="FT74" s="375"/>
      <c r="FU74" s="375"/>
      <c r="FV74" s="375"/>
      <c r="FW74" s="375"/>
      <c r="FX74" s="375"/>
      <c r="FY74" s="375"/>
      <c r="FZ74" s="375"/>
      <c r="GA74" s="375"/>
      <c r="GB74" s="375"/>
      <c r="GC74" s="375"/>
      <c r="GD74" s="375"/>
      <c r="GE74" s="375"/>
      <c r="GF74" s="375"/>
      <c r="GG74" s="375"/>
      <c r="GH74" s="375"/>
      <c r="GI74" s="375"/>
      <c r="GJ74" s="375"/>
      <c r="GK74" s="375"/>
      <c r="GL74" s="375"/>
      <c r="GM74" s="375"/>
      <c r="GN74" s="375"/>
      <c r="GO74" s="375"/>
      <c r="GP74" s="375"/>
      <c r="GQ74" s="375"/>
      <c r="GR74" s="375"/>
    </row>
    <row r="75" spans="1:200" s="61" customFormat="1" ht="15.75" customHeight="1" x14ac:dyDescent="0.3">
      <c r="A75" s="280"/>
      <c r="B75" s="281"/>
      <c r="C75" s="282">
        <v>1</v>
      </c>
      <c r="D75" s="282"/>
      <c r="E75" s="4">
        <v>61</v>
      </c>
      <c r="F75" s="281"/>
      <c r="G75" s="282">
        <v>1</v>
      </c>
      <c r="H75" s="282">
        <v>1</v>
      </c>
      <c r="I75" s="466"/>
      <c r="J75" s="467"/>
      <c r="K75" s="467"/>
      <c r="L75" s="467"/>
      <c r="M75" s="4">
        <v>58</v>
      </c>
      <c r="N75" s="62" t="s">
        <v>28</v>
      </c>
      <c r="O75" s="62" t="s">
        <v>450</v>
      </c>
      <c r="P75" s="62" t="s">
        <v>450</v>
      </c>
      <c r="Q75" s="60">
        <f t="shared" si="164"/>
        <v>0</v>
      </c>
      <c r="R75" s="60">
        <f t="shared" si="165"/>
        <v>0</v>
      </c>
      <c r="S75" s="60">
        <f t="shared" si="166"/>
        <v>0</v>
      </c>
      <c r="T75" s="60">
        <v>1</v>
      </c>
      <c r="U75" s="60">
        <v>2</v>
      </c>
      <c r="V75" s="64">
        <f t="shared" si="129"/>
        <v>742.9</v>
      </c>
      <c r="W75" s="64"/>
      <c r="X75" s="65">
        <v>742.9</v>
      </c>
      <c r="Y75" s="64"/>
      <c r="Z75" s="73"/>
      <c r="AA75" s="64">
        <f t="shared" si="130"/>
        <v>742.9</v>
      </c>
      <c r="AB75" s="64"/>
      <c r="AC75" s="65">
        <v>742.9</v>
      </c>
      <c r="AD75" s="64"/>
      <c r="AE75" s="73"/>
      <c r="AF75" s="64">
        <f t="shared" si="131"/>
        <v>742.9</v>
      </c>
      <c r="AG75" s="64"/>
      <c r="AH75" s="65">
        <v>742.9</v>
      </c>
      <c r="AI75" s="64"/>
      <c r="AJ75" s="73"/>
      <c r="AK75" s="64">
        <f t="shared" si="132"/>
        <v>323</v>
      </c>
      <c r="AL75" s="64"/>
      <c r="AM75" s="65">
        <v>323</v>
      </c>
      <c r="AN75" s="64"/>
      <c r="AO75" s="73"/>
      <c r="AP75" s="64" t="s">
        <v>491</v>
      </c>
      <c r="AQ75" s="64">
        <f t="shared" si="71"/>
        <v>742.9</v>
      </c>
      <c r="AR75" s="64"/>
      <c r="AS75" s="65">
        <f>323+419.9</f>
        <v>742.9</v>
      </c>
      <c r="AT75" s="64"/>
      <c r="AU75" s="73"/>
      <c r="AV75" s="64">
        <f t="shared" si="152"/>
        <v>0</v>
      </c>
      <c r="AW75" s="64">
        <f t="shared" si="153"/>
        <v>0</v>
      </c>
      <c r="AX75" s="64">
        <f t="shared" si="154"/>
        <v>0</v>
      </c>
      <c r="AY75" s="64">
        <f t="shared" si="155"/>
        <v>0</v>
      </c>
      <c r="AZ75" s="64" t="e">
        <f>#REF!-AU75</f>
        <v>#REF!</v>
      </c>
      <c r="BA75" s="64">
        <f t="shared" si="133"/>
        <v>742.9</v>
      </c>
      <c r="BB75" s="64"/>
      <c r="BC75" s="65">
        <f>323+419.9</f>
        <v>742.9</v>
      </c>
      <c r="BD75" s="64"/>
      <c r="BE75" s="73"/>
      <c r="BF75" s="64">
        <f t="shared" si="134"/>
        <v>0</v>
      </c>
      <c r="BG75" s="64"/>
      <c r="BH75" s="65"/>
      <c r="BI75" s="64"/>
      <c r="BJ75" s="73"/>
      <c r="BK75" s="64">
        <f t="shared" si="135"/>
        <v>742.9</v>
      </c>
      <c r="BL75" s="64"/>
      <c r="BM75" s="65">
        <f>323+419.9</f>
        <v>742.9</v>
      </c>
      <c r="BN75" s="64"/>
      <c r="BO75" s="74"/>
      <c r="BP75" s="64">
        <f t="shared" si="136"/>
        <v>742.9</v>
      </c>
      <c r="BQ75" s="64"/>
      <c r="BR75" s="74">
        <f>323+419.9</f>
        <v>742.9</v>
      </c>
      <c r="BS75" s="64"/>
      <c r="BT75" s="74"/>
      <c r="BU75" s="64">
        <f t="shared" si="137"/>
        <v>437.21619999999996</v>
      </c>
      <c r="BV75" s="64"/>
      <c r="BW75" s="64">
        <f>221.9742+215.242</f>
        <v>437.21619999999996</v>
      </c>
      <c r="BX75" s="64"/>
      <c r="BY75" s="64"/>
      <c r="BZ75" s="60">
        <f t="shared" si="138"/>
        <v>1180.1161999999999</v>
      </c>
      <c r="CA75" s="64">
        <f t="shared" si="156"/>
        <v>1180.1161999999999</v>
      </c>
      <c r="CB75" s="64">
        <f t="shared" si="157"/>
        <v>0</v>
      </c>
      <c r="CC75" s="64">
        <f t="shared" si="158"/>
        <v>1180.1161999999999</v>
      </c>
      <c r="CD75" s="64">
        <f t="shared" si="159"/>
        <v>0</v>
      </c>
      <c r="CE75" s="64">
        <f t="shared" si="139"/>
        <v>0</v>
      </c>
      <c r="CF75" s="64">
        <f t="shared" si="160"/>
        <v>0</v>
      </c>
      <c r="CG75" s="64">
        <f t="shared" si="161"/>
        <v>0</v>
      </c>
      <c r="CH75" s="64">
        <f t="shared" si="162"/>
        <v>0</v>
      </c>
      <c r="CI75" s="64">
        <f t="shared" si="163"/>
        <v>0</v>
      </c>
      <c r="CJ75" s="64">
        <f t="shared" si="140"/>
        <v>0</v>
      </c>
      <c r="CK75" s="66"/>
      <c r="CL75" s="67"/>
      <c r="CM75" s="67"/>
      <c r="CN75" s="64">
        <f t="shared" si="141"/>
        <v>0</v>
      </c>
      <c r="CO75" s="64"/>
      <c r="CP75" s="65"/>
      <c r="CQ75" s="64"/>
      <c r="CR75" s="73"/>
      <c r="CS75" s="64">
        <f t="shared" si="142"/>
        <v>0</v>
      </c>
      <c r="CT75" s="64"/>
      <c r="CU75" s="65"/>
      <c r="CV75" s="64"/>
      <c r="CW75" s="73"/>
      <c r="CX75" s="64">
        <f t="shared" si="143"/>
        <v>0</v>
      </c>
      <c r="CY75" s="64">
        <f t="shared" si="151"/>
        <v>0</v>
      </c>
      <c r="CZ75" s="64">
        <f t="shared" si="151"/>
        <v>0</v>
      </c>
      <c r="DA75" s="64">
        <f t="shared" si="151"/>
        <v>0</v>
      </c>
      <c r="DB75" s="64">
        <f t="shared" si="151"/>
        <v>0</v>
      </c>
      <c r="DC75" s="64"/>
      <c r="DD75" s="64"/>
      <c r="DE75" s="64"/>
      <c r="DF75" s="64">
        <f t="shared" si="144"/>
        <v>0</v>
      </c>
      <c r="DH75" s="64">
        <f t="shared" si="145"/>
        <v>742.9</v>
      </c>
      <c r="DI75" s="64">
        <f t="shared" si="146"/>
        <v>742.9</v>
      </c>
      <c r="DK75" s="64"/>
      <c r="DL75" s="64"/>
      <c r="DN75" s="64"/>
      <c r="DQ75" s="64">
        <f t="shared" si="149"/>
        <v>742.9</v>
      </c>
      <c r="DR75" s="64"/>
      <c r="DS75" s="74">
        <f>323+419.9</f>
        <v>742.9</v>
      </c>
      <c r="DT75" s="64"/>
      <c r="DU75" s="74"/>
      <c r="DV75" s="64">
        <f t="shared" si="150"/>
        <v>437.21620000000001</v>
      </c>
      <c r="DW75" s="64"/>
      <c r="DX75" s="64">
        <v>437.21620000000001</v>
      </c>
      <c r="DY75" s="64"/>
      <c r="DZ75" s="64"/>
      <c r="EA75" s="375"/>
      <c r="EB75" s="375"/>
      <c r="EC75" s="375"/>
      <c r="ED75" s="375"/>
      <c r="EE75" s="375"/>
      <c r="EF75" s="375"/>
      <c r="EG75" s="375"/>
      <c r="EH75" s="375"/>
      <c r="EI75" s="375"/>
      <c r="EJ75" s="375"/>
      <c r="EK75" s="375"/>
      <c r="EL75" s="375"/>
      <c r="EM75" s="375"/>
      <c r="EN75" s="375"/>
      <c r="EO75" s="375"/>
      <c r="EP75" s="375"/>
      <c r="EQ75" s="375"/>
      <c r="ER75" s="375"/>
      <c r="ES75" s="375"/>
      <c r="ET75" s="375"/>
      <c r="EU75" s="375"/>
      <c r="EV75" s="375"/>
      <c r="EW75" s="375"/>
      <c r="EX75" s="375"/>
      <c r="EY75" s="375"/>
      <c r="EZ75" s="375"/>
      <c r="FA75" s="375"/>
      <c r="FB75" s="375"/>
      <c r="FC75" s="375"/>
      <c r="FD75" s="375"/>
      <c r="FE75" s="375"/>
      <c r="FF75" s="375"/>
      <c r="FG75" s="375"/>
      <c r="FH75" s="375"/>
      <c r="FI75" s="375"/>
      <c r="FJ75" s="375"/>
      <c r="FK75" s="375"/>
      <c r="FL75" s="375"/>
      <c r="FM75" s="375"/>
      <c r="FN75" s="375"/>
      <c r="FO75" s="375"/>
      <c r="FP75" s="375"/>
      <c r="FQ75" s="375"/>
      <c r="FR75" s="375"/>
      <c r="FS75" s="375"/>
      <c r="FT75" s="375"/>
      <c r="FU75" s="375"/>
      <c r="FV75" s="375"/>
      <c r="FW75" s="375"/>
      <c r="FX75" s="375"/>
      <c r="FY75" s="375"/>
      <c r="FZ75" s="375"/>
      <c r="GA75" s="375"/>
      <c r="GB75" s="375"/>
      <c r="GC75" s="375"/>
      <c r="GD75" s="375"/>
      <c r="GE75" s="375"/>
      <c r="GF75" s="375"/>
      <c r="GG75" s="375"/>
      <c r="GH75" s="375"/>
      <c r="GI75" s="375"/>
      <c r="GJ75" s="375"/>
      <c r="GK75" s="375"/>
      <c r="GL75" s="375"/>
      <c r="GM75" s="375"/>
      <c r="GN75" s="375"/>
      <c r="GO75" s="375"/>
      <c r="GP75" s="375"/>
      <c r="GQ75" s="375"/>
      <c r="GR75" s="375"/>
    </row>
    <row r="76" spans="1:200" s="61" customFormat="1" ht="15.75" customHeight="1" x14ac:dyDescent="0.3">
      <c r="A76" s="280"/>
      <c r="B76" s="281"/>
      <c r="C76" s="282">
        <v>1</v>
      </c>
      <c r="D76" s="282"/>
      <c r="E76" s="4">
        <v>62</v>
      </c>
      <c r="F76" s="281"/>
      <c r="G76" s="282"/>
      <c r="H76" s="282">
        <v>1</v>
      </c>
      <c r="I76" s="470"/>
      <c r="J76" s="472"/>
      <c r="K76" s="283"/>
      <c r="L76" s="286"/>
      <c r="M76" s="4">
        <v>59</v>
      </c>
      <c r="N76" s="62" t="s">
        <v>40</v>
      </c>
      <c r="O76" s="62" t="s">
        <v>450</v>
      </c>
      <c r="P76" s="62" t="s">
        <v>448</v>
      </c>
      <c r="Q76" s="60">
        <f t="shared" si="164"/>
        <v>0</v>
      </c>
      <c r="R76" s="60">
        <f t="shared" si="165"/>
        <v>0</v>
      </c>
      <c r="S76" s="60">
        <f t="shared" si="166"/>
        <v>0</v>
      </c>
      <c r="T76" s="60">
        <v>1</v>
      </c>
      <c r="U76" s="60">
        <v>1</v>
      </c>
      <c r="V76" s="64">
        <f t="shared" si="129"/>
        <v>5512.6</v>
      </c>
      <c r="W76" s="64"/>
      <c r="X76" s="65">
        <v>1499.6</v>
      </c>
      <c r="Y76" s="64">
        <v>4013</v>
      </c>
      <c r="Z76" s="73"/>
      <c r="AA76" s="64">
        <f t="shared" si="130"/>
        <v>5512.6</v>
      </c>
      <c r="AB76" s="64"/>
      <c r="AC76" s="65">
        <v>1499.6</v>
      </c>
      <c r="AD76" s="64">
        <v>4013</v>
      </c>
      <c r="AE76" s="73"/>
      <c r="AF76" s="64">
        <f t="shared" si="131"/>
        <v>1499.6</v>
      </c>
      <c r="AG76" s="64"/>
      <c r="AH76" s="65">
        <v>1499.6</v>
      </c>
      <c r="AI76" s="64"/>
      <c r="AJ76" s="73"/>
      <c r="AK76" s="64">
        <f t="shared" si="132"/>
        <v>652</v>
      </c>
      <c r="AL76" s="64"/>
      <c r="AM76" s="65">
        <v>652</v>
      </c>
      <c r="AN76" s="64"/>
      <c r="AO76" s="73"/>
      <c r="AP76" s="64" t="s">
        <v>401</v>
      </c>
      <c r="AQ76" s="64">
        <f t="shared" si="71"/>
        <v>5512.6</v>
      </c>
      <c r="AR76" s="64"/>
      <c r="AS76" s="65">
        <v>1499.6</v>
      </c>
      <c r="AT76" s="64">
        <v>4013</v>
      </c>
      <c r="AU76" s="73"/>
      <c r="AV76" s="64">
        <f t="shared" si="152"/>
        <v>0</v>
      </c>
      <c r="AW76" s="64">
        <f t="shared" si="153"/>
        <v>0</v>
      </c>
      <c r="AX76" s="64">
        <f t="shared" si="154"/>
        <v>0</v>
      </c>
      <c r="AY76" s="64">
        <f t="shared" si="155"/>
        <v>0</v>
      </c>
      <c r="AZ76" s="64" t="e">
        <f>#REF!-AU76</f>
        <v>#REF!</v>
      </c>
      <c r="BA76" s="64">
        <f t="shared" si="133"/>
        <v>5512.6</v>
      </c>
      <c r="BB76" s="64"/>
      <c r="BC76" s="65">
        <v>1499.6</v>
      </c>
      <c r="BD76" s="64">
        <v>4013</v>
      </c>
      <c r="BE76" s="73"/>
      <c r="BF76" s="64">
        <f t="shared" si="134"/>
        <v>0</v>
      </c>
      <c r="BG76" s="64"/>
      <c r="BH76" s="64"/>
      <c r="BI76" s="64"/>
      <c r="BJ76" s="73"/>
      <c r="BK76" s="64">
        <f t="shared" si="135"/>
        <v>5512.6</v>
      </c>
      <c r="BL76" s="64"/>
      <c r="BM76" s="65">
        <v>1499.6</v>
      </c>
      <c r="BN76" s="64">
        <v>4013</v>
      </c>
      <c r="BO76" s="74"/>
      <c r="BP76" s="64">
        <f t="shared" si="136"/>
        <v>5512.6</v>
      </c>
      <c r="BQ76" s="64"/>
      <c r="BR76" s="64">
        <f>847.6+652</f>
        <v>1499.6</v>
      </c>
      <c r="BS76" s="64">
        <v>4013</v>
      </c>
      <c r="BT76" s="74"/>
      <c r="BU76" s="64">
        <f t="shared" si="137"/>
        <v>2024.45605</v>
      </c>
      <c r="BV76" s="64"/>
      <c r="BW76" s="64">
        <f>319.25938+367.14467</f>
        <v>686.4040500000001</v>
      </c>
      <c r="BX76" s="64">
        <v>1338.0519999999999</v>
      </c>
      <c r="BY76" s="64"/>
      <c r="BZ76" s="60">
        <f t="shared" si="138"/>
        <v>7537.0560499999992</v>
      </c>
      <c r="CA76" s="64">
        <f t="shared" si="156"/>
        <v>7537.0560499999992</v>
      </c>
      <c r="CB76" s="64">
        <f t="shared" si="157"/>
        <v>0</v>
      </c>
      <c r="CC76" s="64">
        <f t="shared" si="158"/>
        <v>2186.00405</v>
      </c>
      <c r="CD76" s="64">
        <f t="shared" si="159"/>
        <v>5351.0519999999997</v>
      </c>
      <c r="CE76" s="64">
        <f t="shared" si="139"/>
        <v>0</v>
      </c>
      <c r="CF76" s="64">
        <f t="shared" si="160"/>
        <v>0</v>
      </c>
      <c r="CG76" s="64">
        <f t="shared" si="161"/>
        <v>0</v>
      </c>
      <c r="CH76" s="64">
        <f t="shared" si="162"/>
        <v>0</v>
      </c>
      <c r="CI76" s="64">
        <f t="shared" si="163"/>
        <v>0</v>
      </c>
      <c r="CJ76" s="64">
        <f t="shared" si="140"/>
        <v>0</v>
      </c>
      <c r="CK76" s="66"/>
      <c r="CL76" s="67"/>
      <c r="CM76" s="67"/>
      <c r="CN76" s="64">
        <f t="shared" si="141"/>
        <v>0</v>
      </c>
      <c r="CO76" s="64"/>
      <c r="CP76" s="64"/>
      <c r="CQ76" s="64"/>
      <c r="CR76" s="73"/>
      <c r="CS76" s="64">
        <f t="shared" si="142"/>
        <v>0</v>
      </c>
      <c r="CT76" s="64"/>
      <c r="CU76" s="64"/>
      <c r="CV76" s="64"/>
      <c r="CW76" s="73"/>
      <c r="CX76" s="64">
        <f t="shared" si="143"/>
        <v>0</v>
      </c>
      <c r="CY76" s="64">
        <f t="shared" si="151"/>
        <v>0</v>
      </c>
      <c r="CZ76" s="64">
        <f t="shared" si="151"/>
        <v>0</v>
      </c>
      <c r="DA76" s="64">
        <f t="shared" si="151"/>
        <v>0</v>
      </c>
      <c r="DB76" s="64">
        <f t="shared" si="151"/>
        <v>0</v>
      </c>
      <c r="DC76" s="64"/>
      <c r="DD76" s="64"/>
      <c r="DE76" s="64"/>
      <c r="DF76" s="64">
        <f t="shared" si="144"/>
        <v>0</v>
      </c>
      <c r="DH76" s="64">
        <f t="shared" si="145"/>
        <v>5512.6</v>
      </c>
      <c r="DI76" s="64">
        <f t="shared" si="146"/>
        <v>5512.6</v>
      </c>
      <c r="DK76" s="64"/>
      <c r="DL76" s="64"/>
      <c r="DN76" s="64"/>
      <c r="DQ76" s="64">
        <f t="shared" si="149"/>
        <v>1499.6</v>
      </c>
      <c r="DR76" s="64"/>
      <c r="DS76" s="64">
        <f>847.6+652</f>
        <v>1499.6</v>
      </c>
      <c r="DT76" s="64"/>
      <c r="DU76" s="74"/>
      <c r="DV76" s="64">
        <f t="shared" si="150"/>
        <v>0</v>
      </c>
      <c r="DW76" s="64"/>
      <c r="DX76" s="64"/>
      <c r="DY76" s="64"/>
      <c r="DZ76" s="64"/>
      <c r="EA76" s="375"/>
      <c r="EB76" s="375"/>
      <c r="EC76" s="375"/>
      <c r="ED76" s="375"/>
      <c r="EE76" s="375"/>
      <c r="EF76" s="375"/>
      <c r="EG76" s="375"/>
      <c r="EH76" s="375"/>
      <c r="EI76" s="375"/>
      <c r="EJ76" s="375"/>
      <c r="EK76" s="375"/>
      <c r="EL76" s="375"/>
      <c r="EM76" s="375"/>
      <c r="EN76" s="375"/>
      <c r="EO76" s="375"/>
      <c r="EP76" s="375"/>
      <c r="EQ76" s="375"/>
      <c r="ER76" s="375"/>
      <c r="ES76" s="375"/>
      <c r="ET76" s="375"/>
      <c r="EU76" s="375"/>
      <c r="EV76" s="375"/>
      <c r="EW76" s="375"/>
      <c r="EX76" s="375"/>
      <c r="EY76" s="375"/>
      <c r="EZ76" s="375"/>
      <c r="FA76" s="375"/>
      <c r="FB76" s="375"/>
      <c r="FC76" s="375"/>
      <c r="FD76" s="375"/>
      <c r="FE76" s="375"/>
      <c r="FF76" s="375"/>
      <c r="FG76" s="375"/>
      <c r="FH76" s="375"/>
      <c r="FI76" s="375"/>
      <c r="FJ76" s="375"/>
      <c r="FK76" s="375"/>
      <c r="FL76" s="375"/>
      <c r="FM76" s="375"/>
      <c r="FN76" s="375"/>
      <c r="FO76" s="375"/>
      <c r="FP76" s="375"/>
      <c r="FQ76" s="375"/>
      <c r="FR76" s="375"/>
      <c r="FS76" s="375"/>
      <c r="FT76" s="375"/>
      <c r="FU76" s="375"/>
      <c r="FV76" s="375"/>
      <c r="FW76" s="375"/>
      <c r="FX76" s="375"/>
      <c r="FY76" s="375"/>
      <c r="FZ76" s="375"/>
      <c r="GA76" s="375"/>
      <c r="GB76" s="375"/>
      <c r="GC76" s="375"/>
      <c r="GD76" s="375"/>
      <c r="GE76" s="375"/>
      <c r="GF76" s="375"/>
      <c r="GG76" s="375"/>
      <c r="GH76" s="375"/>
      <c r="GI76" s="375"/>
      <c r="GJ76" s="375"/>
      <c r="GK76" s="375"/>
      <c r="GL76" s="375"/>
      <c r="GM76" s="375"/>
      <c r="GN76" s="375"/>
      <c r="GO76" s="375"/>
      <c r="GP76" s="375"/>
      <c r="GQ76" s="375"/>
      <c r="GR76" s="375"/>
    </row>
    <row r="77" spans="1:200" s="61" customFormat="1" ht="15.75" customHeight="1" x14ac:dyDescent="0.3">
      <c r="A77" s="280"/>
      <c r="B77" s="281"/>
      <c r="C77" s="282"/>
      <c r="D77" s="282">
        <v>1</v>
      </c>
      <c r="E77" s="4">
        <v>63</v>
      </c>
      <c r="F77" s="281"/>
      <c r="G77" s="282"/>
      <c r="H77" s="282">
        <v>1</v>
      </c>
      <c r="I77" s="471"/>
      <c r="J77" s="473"/>
      <c r="K77" s="283"/>
      <c r="L77" s="286"/>
      <c r="M77" s="4">
        <v>60</v>
      </c>
      <c r="N77" s="62" t="s">
        <v>94</v>
      </c>
      <c r="O77" s="62" t="s">
        <v>448</v>
      </c>
      <c r="P77" s="62" t="s">
        <v>448</v>
      </c>
      <c r="Q77" s="60">
        <f t="shared" si="164"/>
        <v>0</v>
      </c>
      <c r="R77" s="60">
        <f t="shared" si="165"/>
        <v>0</v>
      </c>
      <c r="S77" s="60">
        <f t="shared" si="166"/>
        <v>0</v>
      </c>
      <c r="T77" s="60">
        <v>1</v>
      </c>
      <c r="U77" s="60"/>
      <c r="V77" s="64">
        <f t="shared" si="129"/>
        <v>416.3</v>
      </c>
      <c r="W77" s="64"/>
      <c r="X77" s="65">
        <v>416.3</v>
      </c>
      <c r="Y77" s="64"/>
      <c r="Z77" s="73"/>
      <c r="AA77" s="64">
        <f t="shared" si="130"/>
        <v>416.3</v>
      </c>
      <c r="AB77" s="64"/>
      <c r="AC77" s="65">
        <v>416.3</v>
      </c>
      <c r="AD77" s="64"/>
      <c r="AE77" s="73"/>
      <c r="AF77" s="64">
        <f t="shared" si="131"/>
        <v>416.3</v>
      </c>
      <c r="AG77" s="64"/>
      <c r="AH77" s="65">
        <v>416.3</v>
      </c>
      <c r="AI77" s="64"/>
      <c r="AJ77" s="73"/>
      <c r="AK77" s="64">
        <f t="shared" si="132"/>
        <v>181</v>
      </c>
      <c r="AL77" s="64"/>
      <c r="AM77" s="65">
        <v>181</v>
      </c>
      <c r="AN77" s="64"/>
      <c r="AO77" s="73"/>
      <c r="AP77" s="64" t="s">
        <v>342</v>
      </c>
      <c r="AQ77" s="64">
        <f t="shared" si="71"/>
        <v>416.3</v>
      </c>
      <c r="AR77" s="64"/>
      <c r="AS77" s="65">
        <v>416.3</v>
      </c>
      <c r="AT77" s="64"/>
      <c r="AU77" s="64"/>
      <c r="AV77" s="64">
        <f t="shared" si="152"/>
        <v>0</v>
      </c>
      <c r="AW77" s="64">
        <f t="shared" si="153"/>
        <v>0</v>
      </c>
      <c r="AX77" s="64">
        <f t="shared" si="154"/>
        <v>0</v>
      </c>
      <c r="AY77" s="64">
        <f t="shared" si="155"/>
        <v>0</v>
      </c>
      <c r="AZ77" s="64" t="e">
        <f>#REF!-AU77</f>
        <v>#REF!</v>
      </c>
      <c r="BA77" s="64">
        <f t="shared" si="133"/>
        <v>416.3</v>
      </c>
      <c r="BB77" s="64"/>
      <c r="BC77" s="65">
        <v>416.3</v>
      </c>
      <c r="BD77" s="64"/>
      <c r="BE77" s="64"/>
      <c r="BF77" s="64">
        <f t="shared" si="134"/>
        <v>0</v>
      </c>
      <c r="BG77" s="64"/>
      <c r="BH77" s="64"/>
      <c r="BI77" s="64"/>
      <c r="BJ77" s="64"/>
      <c r="BK77" s="64">
        <f t="shared" si="135"/>
        <v>416.3</v>
      </c>
      <c r="BL77" s="64"/>
      <c r="BM77" s="65">
        <v>416.3</v>
      </c>
      <c r="BN77" s="64"/>
      <c r="BO77" s="64"/>
      <c r="BP77" s="64">
        <f t="shared" si="136"/>
        <v>416.3</v>
      </c>
      <c r="BQ77" s="64"/>
      <c r="BR77" s="64">
        <v>416.3</v>
      </c>
      <c r="BS77" s="64"/>
      <c r="BT77" s="64"/>
      <c r="BU77" s="64">
        <f t="shared" si="137"/>
        <v>1094.3179500000001</v>
      </c>
      <c r="BV77" s="64"/>
      <c r="BW77" s="64">
        <v>1094.3179500000001</v>
      </c>
      <c r="BX77" s="64"/>
      <c r="BY77" s="64"/>
      <c r="BZ77" s="60">
        <f t="shared" si="138"/>
        <v>1510.6179500000001</v>
      </c>
      <c r="CA77" s="64">
        <f t="shared" si="156"/>
        <v>1510.6179500000001</v>
      </c>
      <c r="CB77" s="64">
        <f t="shared" si="157"/>
        <v>0</v>
      </c>
      <c r="CC77" s="64">
        <f t="shared" si="158"/>
        <v>1510.6179500000001</v>
      </c>
      <c r="CD77" s="64">
        <f t="shared" si="159"/>
        <v>0</v>
      </c>
      <c r="CE77" s="64">
        <f t="shared" si="139"/>
        <v>0</v>
      </c>
      <c r="CF77" s="64">
        <f t="shared" si="160"/>
        <v>0</v>
      </c>
      <c r="CG77" s="64">
        <f t="shared" si="161"/>
        <v>0</v>
      </c>
      <c r="CH77" s="64">
        <f t="shared" si="162"/>
        <v>0</v>
      </c>
      <c r="CI77" s="64">
        <f t="shared" si="163"/>
        <v>0</v>
      </c>
      <c r="CJ77" s="64">
        <f t="shared" si="140"/>
        <v>0</v>
      </c>
      <c r="CK77" s="66"/>
      <c r="CL77" s="67"/>
      <c r="CM77" s="67"/>
      <c r="CN77" s="64">
        <f t="shared" si="141"/>
        <v>0</v>
      </c>
      <c r="CO77" s="64"/>
      <c r="CP77" s="64"/>
      <c r="CQ77" s="64"/>
      <c r="CR77" s="64"/>
      <c r="CS77" s="64">
        <f t="shared" si="142"/>
        <v>0</v>
      </c>
      <c r="CT77" s="64"/>
      <c r="CU77" s="64"/>
      <c r="CV77" s="64"/>
      <c r="CW77" s="64"/>
      <c r="CX77" s="64">
        <f t="shared" si="143"/>
        <v>0</v>
      </c>
      <c r="CY77" s="64">
        <f t="shared" si="151"/>
        <v>0</v>
      </c>
      <c r="CZ77" s="64">
        <f t="shared" si="151"/>
        <v>0</v>
      </c>
      <c r="DA77" s="64">
        <f t="shared" si="151"/>
        <v>0</v>
      </c>
      <c r="DB77" s="64">
        <f t="shared" si="151"/>
        <v>0</v>
      </c>
      <c r="DC77" s="64"/>
      <c r="DD77" s="64"/>
      <c r="DE77" s="64"/>
      <c r="DF77" s="64">
        <f t="shared" si="144"/>
        <v>0</v>
      </c>
      <c r="DH77" s="64">
        <f t="shared" si="145"/>
        <v>416.3</v>
      </c>
      <c r="DI77" s="64">
        <f t="shared" si="146"/>
        <v>416.3</v>
      </c>
      <c r="DK77" s="64"/>
      <c r="DL77" s="64"/>
      <c r="DN77" s="64"/>
      <c r="DQ77" s="64">
        <f t="shared" si="149"/>
        <v>416.3</v>
      </c>
      <c r="DR77" s="64"/>
      <c r="DS77" s="64">
        <v>416.3</v>
      </c>
      <c r="DT77" s="64"/>
      <c r="DU77" s="64"/>
      <c r="DV77" s="64">
        <f t="shared" si="150"/>
        <v>0</v>
      </c>
      <c r="DW77" s="64"/>
      <c r="DX77" s="64"/>
      <c r="DY77" s="64"/>
      <c r="DZ77" s="64"/>
      <c r="EA77" s="375"/>
      <c r="EB77" s="375"/>
      <c r="EC77" s="375"/>
      <c r="ED77" s="375"/>
      <c r="EE77" s="375"/>
      <c r="EF77" s="375"/>
      <c r="EG77" s="375"/>
      <c r="EH77" s="375"/>
      <c r="EI77" s="375"/>
      <c r="EJ77" s="375"/>
      <c r="EK77" s="375"/>
      <c r="EL77" s="375"/>
      <c r="EM77" s="375"/>
      <c r="EN77" s="375"/>
      <c r="EO77" s="375"/>
      <c r="EP77" s="375"/>
      <c r="EQ77" s="375"/>
      <c r="ER77" s="375"/>
      <c r="ES77" s="375"/>
      <c r="ET77" s="375"/>
      <c r="EU77" s="375"/>
      <c r="EV77" s="375"/>
      <c r="EW77" s="375"/>
      <c r="EX77" s="375"/>
      <c r="EY77" s="375"/>
      <c r="EZ77" s="375"/>
      <c r="FA77" s="375"/>
      <c r="FB77" s="375"/>
      <c r="FC77" s="375"/>
      <c r="FD77" s="375"/>
      <c r="FE77" s="375"/>
      <c r="FF77" s="375"/>
      <c r="FG77" s="375"/>
      <c r="FH77" s="375"/>
      <c r="FI77" s="375"/>
      <c r="FJ77" s="375"/>
      <c r="FK77" s="375"/>
      <c r="FL77" s="375"/>
      <c r="FM77" s="375"/>
      <c r="FN77" s="375"/>
      <c r="FO77" s="375"/>
      <c r="FP77" s="375"/>
      <c r="FQ77" s="375"/>
      <c r="FR77" s="375"/>
      <c r="FS77" s="375"/>
      <c r="FT77" s="375"/>
      <c r="FU77" s="375"/>
      <c r="FV77" s="375"/>
      <c r="FW77" s="375"/>
      <c r="FX77" s="375"/>
      <c r="FY77" s="375"/>
      <c r="FZ77" s="375"/>
      <c r="GA77" s="375"/>
      <c r="GB77" s="375"/>
      <c r="GC77" s="375"/>
      <c r="GD77" s="375"/>
      <c r="GE77" s="375"/>
      <c r="GF77" s="375"/>
      <c r="GG77" s="375"/>
      <c r="GH77" s="375"/>
      <c r="GI77" s="375"/>
      <c r="GJ77" s="375"/>
      <c r="GK77" s="375"/>
      <c r="GL77" s="375"/>
      <c r="GM77" s="375"/>
      <c r="GN77" s="375"/>
      <c r="GO77" s="375"/>
      <c r="GP77" s="375"/>
      <c r="GQ77" s="375"/>
      <c r="GR77" s="375"/>
    </row>
    <row r="78" spans="1:200" s="61" customFormat="1" ht="15.75" customHeight="1" x14ac:dyDescent="0.3">
      <c r="A78" s="280"/>
      <c r="B78" s="281"/>
      <c r="C78" s="282"/>
      <c r="D78" s="282">
        <v>1</v>
      </c>
      <c r="E78" s="4">
        <v>64</v>
      </c>
      <c r="F78" s="281"/>
      <c r="G78" s="282"/>
      <c r="H78" s="282"/>
      <c r="I78" s="474"/>
      <c r="J78" s="475"/>
      <c r="K78" s="475"/>
      <c r="L78" s="288"/>
      <c r="M78" s="4">
        <v>61</v>
      </c>
      <c r="N78" s="62" t="s">
        <v>207</v>
      </c>
      <c r="O78" s="63">
        <v>0</v>
      </c>
      <c r="P78" s="63">
        <v>0</v>
      </c>
      <c r="Q78" s="64">
        <f t="shared" si="164"/>
        <v>0</v>
      </c>
      <c r="R78" s="64">
        <f t="shared" si="165"/>
        <v>0</v>
      </c>
      <c r="S78" s="64">
        <f t="shared" si="166"/>
        <v>0</v>
      </c>
      <c r="T78" s="63"/>
      <c r="U78" s="63"/>
      <c r="V78" s="64">
        <f t="shared" si="129"/>
        <v>0</v>
      </c>
      <c r="W78" s="64"/>
      <c r="X78" s="65">
        <v>0</v>
      </c>
      <c r="Y78" s="64"/>
      <c r="Z78" s="60"/>
      <c r="AA78" s="64">
        <f t="shared" si="130"/>
        <v>618.70000000000005</v>
      </c>
      <c r="AB78" s="64"/>
      <c r="AC78" s="65">
        <v>618.70000000000005</v>
      </c>
      <c r="AD78" s="64"/>
      <c r="AE78" s="60"/>
      <c r="AF78" s="64">
        <f t="shared" si="131"/>
        <v>618.70000000000005</v>
      </c>
      <c r="AG78" s="64"/>
      <c r="AH78" s="65">
        <v>618.70000000000005</v>
      </c>
      <c r="AI78" s="64"/>
      <c r="AJ78" s="60"/>
      <c r="AK78" s="64">
        <f t="shared" si="132"/>
        <v>269</v>
      </c>
      <c r="AL78" s="64"/>
      <c r="AM78" s="65">
        <v>269</v>
      </c>
      <c r="AN78" s="64"/>
      <c r="AO78" s="64"/>
      <c r="AP78" s="64"/>
      <c r="AQ78" s="64">
        <f t="shared" si="71"/>
        <v>0</v>
      </c>
      <c r="AR78" s="64"/>
      <c r="AS78" s="64"/>
      <c r="AT78" s="64"/>
      <c r="AU78" s="64"/>
      <c r="AV78" s="64">
        <f t="shared" si="152"/>
        <v>0</v>
      </c>
      <c r="AW78" s="64">
        <f t="shared" si="153"/>
        <v>0</v>
      </c>
      <c r="AX78" s="64">
        <f t="shared" si="154"/>
        <v>0</v>
      </c>
      <c r="AY78" s="64">
        <f t="shared" si="155"/>
        <v>0</v>
      </c>
      <c r="AZ78" s="64" t="e">
        <f>#REF!-AU78</f>
        <v>#REF!</v>
      </c>
      <c r="BA78" s="64">
        <f t="shared" si="133"/>
        <v>0</v>
      </c>
      <c r="BB78" s="64"/>
      <c r="BC78" s="64"/>
      <c r="BD78" s="64"/>
      <c r="BE78" s="64"/>
      <c r="BF78" s="64">
        <f t="shared" si="134"/>
        <v>0</v>
      </c>
      <c r="BG78" s="64"/>
      <c r="BH78" s="64"/>
      <c r="BI78" s="64"/>
      <c r="BJ78" s="64"/>
      <c r="BK78" s="64">
        <f t="shared" si="135"/>
        <v>0</v>
      </c>
      <c r="BL78" s="64"/>
      <c r="BM78" s="64"/>
      <c r="BN78" s="64"/>
      <c r="BO78" s="64"/>
      <c r="BP78" s="64">
        <f t="shared" si="136"/>
        <v>0</v>
      </c>
      <c r="BQ78" s="64"/>
      <c r="BR78" s="64"/>
      <c r="BS78" s="64"/>
      <c r="BT78" s="64"/>
      <c r="BU78" s="64">
        <f t="shared" si="137"/>
        <v>0</v>
      </c>
      <c r="BV78" s="64"/>
      <c r="BW78" s="64"/>
      <c r="BX78" s="64"/>
      <c r="BY78" s="64"/>
      <c r="BZ78" s="60">
        <f t="shared" si="138"/>
        <v>0</v>
      </c>
      <c r="CA78" s="64">
        <f t="shared" si="156"/>
        <v>0</v>
      </c>
      <c r="CB78" s="64">
        <f t="shared" si="157"/>
        <v>0</v>
      </c>
      <c r="CC78" s="64">
        <f t="shared" si="158"/>
        <v>0</v>
      </c>
      <c r="CD78" s="64">
        <f t="shared" si="159"/>
        <v>0</v>
      </c>
      <c r="CE78" s="64">
        <f t="shared" si="139"/>
        <v>0</v>
      </c>
      <c r="CF78" s="64">
        <f t="shared" si="160"/>
        <v>0</v>
      </c>
      <c r="CG78" s="64">
        <f t="shared" si="161"/>
        <v>0</v>
      </c>
      <c r="CH78" s="64">
        <f t="shared" si="162"/>
        <v>0</v>
      </c>
      <c r="CI78" s="64">
        <f t="shared" si="163"/>
        <v>0</v>
      </c>
      <c r="CJ78" s="64">
        <f t="shared" si="140"/>
        <v>0</v>
      </c>
      <c r="CK78" s="66"/>
      <c r="CL78" s="67"/>
      <c r="CM78" s="67"/>
      <c r="CN78" s="64">
        <f t="shared" si="141"/>
        <v>0</v>
      </c>
      <c r="CO78" s="64"/>
      <c r="CP78" s="64"/>
      <c r="CQ78" s="64"/>
      <c r="CR78" s="64"/>
      <c r="CS78" s="64">
        <f t="shared" si="142"/>
        <v>0</v>
      </c>
      <c r="CT78" s="64"/>
      <c r="CU78" s="64"/>
      <c r="CV78" s="64"/>
      <c r="CW78" s="64"/>
      <c r="CX78" s="64">
        <f t="shared" si="143"/>
        <v>0</v>
      </c>
      <c r="CY78" s="64">
        <f t="shared" si="151"/>
        <v>0</v>
      </c>
      <c r="CZ78" s="64">
        <f t="shared" si="151"/>
        <v>0</v>
      </c>
      <c r="DA78" s="64">
        <f t="shared" si="151"/>
        <v>0</v>
      </c>
      <c r="DB78" s="64">
        <f t="shared" si="151"/>
        <v>0</v>
      </c>
      <c r="DC78" s="64"/>
      <c r="DD78" s="64"/>
      <c r="DE78" s="64"/>
      <c r="DF78" s="64">
        <f t="shared" si="144"/>
        <v>0</v>
      </c>
      <c r="DH78" s="64">
        <f t="shared" si="145"/>
        <v>0</v>
      </c>
      <c r="DI78" s="64">
        <f t="shared" si="146"/>
        <v>0</v>
      </c>
      <c r="DK78" s="64"/>
      <c r="DL78" s="64"/>
      <c r="DN78" s="64"/>
      <c r="DQ78" s="64">
        <f t="shared" si="149"/>
        <v>0</v>
      </c>
      <c r="DR78" s="64"/>
      <c r="DS78" s="64"/>
      <c r="DT78" s="64"/>
      <c r="DU78" s="64"/>
      <c r="DV78" s="64">
        <f t="shared" si="150"/>
        <v>0</v>
      </c>
      <c r="DW78" s="64"/>
      <c r="DX78" s="64"/>
      <c r="DY78" s="64"/>
      <c r="DZ78" s="64"/>
      <c r="EA78" s="375"/>
      <c r="EB78" s="375"/>
      <c r="EC78" s="375"/>
      <c r="ED78" s="375"/>
      <c r="EE78" s="375"/>
      <c r="EF78" s="375"/>
      <c r="EG78" s="375"/>
      <c r="EH78" s="375"/>
      <c r="EI78" s="375"/>
      <c r="EJ78" s="375"/>
      <c r="EK78" s="375"/>
      <c r="EL78" s="375"/>
      <c r="EM78" s="375"/>
      <c r="EN78" s="375"/>
      <c r="EO78" s="375"/>
      <c r="EP78" s="375"/>
      <c r="EQ78" s="375"/>
      <c r="ER78" s="375"/>
      <c r="ES78" s="375"/>
      <c r="ET78" s="375"/>
      <c r="EU78" s="375"/>
      <c r="EV78" s="375"/>
      <c r="EW78" s="375"/>
      <c r="EX78" s="375"/>
      <c r="EY78" s="375"/>
      <c r="EZ78" s="375"/>
      <c r="FA78" s="375"/>
      <c r="FB78" s="375"/>
      <c r="FC78" s="375"/>
      <c r="FD78" s="375"/>
      <c r="FE78" s="375"/>
      <c r="FF78" s="375"/>
      <c r="FG78" s="375"/>
      <c r="FH78" s="375"/>
      <c r="FI78" s="375"/>
      <c r="FJ78" s="375"/>
      <c r="FK78" s="375"/>
      <c r="FL78" s="375"/>
      <c r="FM78" s="375"/>
      <c r="FN78" s="375"/>
      <c r="FO78" s="375"/>
      <c r="FP78" s="375"/>
      <c r="FQ78" s="375"/>
      <c r="FR78" s="375"/>
      <c r="FS78" s="375"/>
      <c r="FT78" s="375"/>
      <c r="FU78" s="375"/>
      <c r="FV78" s="375"/>
      <c r="FW78" s="375"/>
      <c r="FX78" s="375"/>
      <c r="FY78" s="375"/>
      <c r="FZ78" s="375"/>
      <c r="GA78" s="375"/>
      <c r="GB78" s="375"/>
      <c r="GC78" s="375"/>
      <c r="GD78" s="375"/>
      <c r="GE78" s="375"/>
      <c r="GF78" s="375"/>
      <c r="GG78" s="375"/>
      <c r="GH78" s="375"/>
      <c r="GI78" s="375"/>
      <c r="GJ78" s="375"/>
      <c r="GK78" s="375"/>
      <c r="GL78" s="375"/>
      <c r="GM78" s="375"/>
      <c r="GN78" s="375"/>
      <c r="GO78" s="375"/>
      <c r="GP78" s="375"/>
      <c r="GQ78" s="375"/>
      <c r="GR78" s="375"/>
    </row>
    <row r="79" spans="1:200" s="48" customFormat="1" ht="23.25" customHeight="1" x14ac:dyDescent="0.3">
      <c r="A79" s="276"/>
      <c r="B79" s="277"/>
      <c r="C79" s="278"/>
      <c r="D79" s="278"/>
      <c r="E79" s="279"/>
      <c r="F79" s="277"/>
      <c r="G79" s="278"/>
      <c r="H79" s="278"/>
      <c r="I79" s="279"/>
      <c r="J79" s="292"/>
      <c r="K79" s="292"/>
      <c r="L79" s="293"/>
      <c r="M79" s="279"/>
      <c r="N79" s="42" t="s">
        <v>3</v>
      </c>
      <c r="O79" s="42"/>
      <c r="P79" s="42"/>
      <c r="Q79" s="43">
        <f t="shared" si="164"/>
        <v>0</v>
      </c>
      <c r="R79" s="43">
        <f t="shared" si="165"/>
        <v>110.61209999999846</v>
      </c>
      <c r="S79" s="43">
        <f t="shared" si="166"/>
        <v>10.937489999996615</v>
      </c>
      <c r="T79" s="43">
        <f>T80+T81+T82+T83+T84+T85+T86+T87+T88+T89+T90+T91+T92+T93</f>
        <v>11</v>
      </c>
      <c r="U79" s="43">
        <f>U80+U81+U82+U83+U84+U85+U86+U87+U88+U89+U90+U91+U92+U93</f>
        <v>22</v>
      </c>
      <c r="V79" s="43">
        <f t="shared" ref="V79:Z79" si="167">SUM(V80:V93)-V81</f>
        <v>99284.5</v>
      </c>
      <c r="W79" s="43">
        <f t="shared" si="167"/>
        <v>0</v>
      </c>
      <c r="X79" s="43">
        <f t="shared" si="167"/>
        <v>24288.2</v>
      </c>
      <c r="Y79" s="43">
        <f t="shared" si="167"/>
        <v>74996.3</v>
      </c>
      <c r="Z79" s="43">
        <f t="shared" si="167"/>
        <v>0</v>
      </c>
      <c r="AA79" s="43">
        <f t="shared" ref="AA79:AE79" si="168">SUM(AA80:AA93)-AA81</f>
        <v>101053.3</v>
      </c>
      <c r="AB79" s="43">
        <f t="shared" si="168"/>
        <v>0</v>
      </c>
      <c r="AC79" s="43">
        <f t="shared" si="168"/>
        <v>24817.000000000004</v>
      </c>
      <c r="AD79" s="43">
        <f t="shared" si="168"/>
        <v>76236.3</v>
      </c>
      <c r="AE79" s="43">
        <f t="shared" si="168"/>
        <v>0</v>
      </c>
      <c r="AF79" s="43">
        <f t="shared" ref="AF79:AJ79" si="169">SUM(AF80:AF93)-AF81</f>
        <v>68616.999999999985</v>
      </c>
      <c r="AG79" s="43">
        <f t="shared" si="169"/>
        <v>0</v>
      </c>
      <c r="AH79" s="43">
        <f t="shared" si="169"/>
        <v>24817.000000000004</v>
      </c>
      <c r="AI79" s="43">
        <f t="shared" si="169"/>
        <v>43800</v>
      </c>
      <c r="AJ79" s="43">
        <f t="shared" si="169"/>
        <v>0</v>
      </c>
      <c r="AK79" s="45">
        <f t="shared" ref="AK79:AO79" si="170">SUM(AK80:AK93)-AK81</f>
        <v>54590</v>
      </c>
      <c r="AL79" s="43">
        <f t="shared" si="170"/>
        <v>0</v>
      </c>
      <c r="AM79" s="43">
        <f t="shared" si="170"/>
        <v>10790</v>
      </c>
      <c r="AN79" s="43">
        <f t="shared" si="170"/>
        <v>43800</v>
      </c>
      <c r="AO79" s="43">
        <f t="shared" si="170"/>
        <v>0</v>
      </c>
      <c r="AP79" s="44"/>
      <c r="AQ79" s="43">
        <f>SUM(AQ80:AQ93)-AQ81</f>
        <v>99284.5</v>
      </c>
      <c r="AR79" s="43">
        <f>SUM(AR80:AR93)-AR81</f>
        <v>0</v>
      </c>
      <c r="AS79" s="43">
        <f>SUM(AS80:AS93)-AS81</f>
        <v>24288.2</v>
      </c>
      <c r="AT79" s="43">
        <f>SUM(AT80:AT93)-AT81</f>
        <v>74996.3</v>
      </c>
      <c r="AU79" s="43">
        <f>SUM(AU80:AU93)-AU81</f>
        <v>0</v>
      </c>
      <c r="AV79" s="43">
        <f t="shared" si="152"/>
        <v>0</v>
      </c>
      <c r="AW79" s="43">
        <f t="shared" si="153"/>
        <v>0</v>
      </c>
      <c r="AX79" s="43">
        <f t="shared" si="154"/>
        <v>0</v>
      </c>
      <c r="AY79" s="43">
        <f t="shared" si="155"/>
        <v>0</v>
      </c>
      <c r="AZ79" s="43" t="e">
        <f t="shared" ref="AZ79:BE79" si="171">SUM(AZ80:AZ93)-AZ81</f>
        <v>#REF!</v>
      </c>
      <c r="BA79" s="43">
        <f t="shared" si="171"/>
        <v>99284.5</v>
      </c>
      <c r="BB79" s="43">
        <f t="shared" si="171"/>
        <v>0</v>
      </c>
      <c r="BC79" s="43">
        <f t="shared" si="171"/>
        <v>24288.2</v>
      </c>
      <c r="BD79" s="43">
        <f t="shared" si="171"/>
        <v>74996.3</v>
      </c>
      <c r="BE79" s="43">
        <f t="shared" si="171"/>
        <v>0</v>
      </c>
      <c r="BF79" s="43">
        <f t="shared" ref="BF79:CJ79" si="172">SUM(BF80:BF93)-BF81</f>
        <v>0</v>
      </c>
      <c r="BG79" s="43">
        <f t="shared" si="172"/>
        <v>0</v>
      </c>
      <c r="BH79" s="43">
        <f t="shared" si="172"/>
        <v>0</v>
      </c>
      <c r="BI79" s="43">
        <f t="shared" si="172"/>
        <v>0</v>
      </c>
      <c r="BJ79" s="43">
        <f t="shared" si="172"/>
        <v>0</v>
      </c>
      <c r="BK79" s="43">
        <f t="shared" si="172"/>
        <v>99284.5</v>
      </c>
      <c r="BL79" s="43">
        <f t="shared" si="172"/>
        <v>0</v>
      </c>
      <c r="BM79" s="43">
        <f t="shared" si="172"/>
        <v>24288.2</v>
      </c>
      <c r="BN79" s="43">
        <f t="shared" si="172"/>
        <v>74996.3</v>
      </c>
      <c r="BO79" s="43">
        <f t="shared" si="172"/>
        <v>0</v>
      </c>
      <c r="BP79" s="43">
        <f t="shared" si="172"/>
        <v>99162.950410000005</v>
      </c>
      <c r="BQ79" s="43">
        <f t="shared" si="172"/>
        <v>0</v>
      </c>
      <c r="BR79" s="43">
        <f t="shared" si="172"/>
        <v>24177.587900000002</v>
      </c>
      <c r="BS79" s="43">
        <f t="shared" si="172"/>
        <v>74985.362510000006</v>
      </c>
      <c r="BT79" s="43">
        <f t="shared" si="172"/>
        <v>0</v>
      </c>
      <c r="BU79" s="45">
        <f t="shared" si="172"/>
        <v>50571.546439999991</v>
      </c>
      <c r="BV79" s="304">
        <f t="shared" si="172"/>
        <v>0</v>
      </c>
      <c r="BW79" s="304">
        <f t="shared" si="172"/>
        <v>24986.360650000002</v>
      </c>
      <c r="BX79" s="304">
        <f t="shared" si="172"/>
        <v>25585.185790000003</v>
      </c>
      <c r="BY79" s="43">
        <f t="shared" si="172"/>
        <v>0</v>
      </c>
      <c r="BZ79" s="43">
        <f t="shared" si="172"/>
        <v>149734.49685000003</v>
      </c>
      <c r="CA79" s="43">
        <f t="shared" si="156"/>
        <v>149734.49685</v>
      </c>
      <c r="CB79" s="43">
        <f t="shared" si="157"/>
        <v>0</v>
      </c>
      <c r="CC79" s="43">
        <f t="shared" si="158"/>
        <v>49163.948550000001</v>
      </c>
      <c r="CD79" s="43">
        <f t="shared" si="159"/>
        <v>100570.54830000001</v>
      </c>
      <c r="CE79" s="43">
        <f t="shared" si="172"/>
        <v>0</v>
      </c>
      <c r="CF79" s="43">
        <f t="shared" si="160"/>
        <v>121.54958999999508</v>
      </c>
      <c r="CG79" s="43">
        <f t="shared" si="161"/>
        <v>0</v>
      </c>
      <c r="CH79" s="43">
        <f t="shared" si="162"/>
        <v>110.61209999999846</v>
      </c>
      <c r="CI79" s="43">
        <f t="shared" si="163"/>
        <v>10.937489999996615</v>
      </c>
      <c r="CJ79" s="43">
        <f t="shared" si="172"/>
        <v>0</v>
      </c>
      <c r="CK79" s="46">
        <f>CL79+CN79-BF79</f>
        <v>99284.499999999985</v>
      </c>
      <c r="CL79" s="47">
        <f t="shared" ref="CL79:DF79" si="173">SUM(CL80:CL93)-CL81</f>
        <v>99284.499999999985</v>
      </c>
      <c r="CM79" s="47">
        <f t="shared" si="173"/>
        <v>87391.799999999988</v>
      </c>
      <c r="CN79" s="43">
        <f t="shared" si="173"/>
        <v>0</v>
      </c>
      <c r="CO79" s="43">
        <f t="shared" si="173"/>
        <v>0</v>
      </c>
      <c r="CP79" s="43">
        <f t="shared" si="173"/>
        <v>0</v>
      </c>
      <c r="CQ79" s="43">
        <f t="shared" si="173"/>
        <v>0</v>
      </c>
      <c r="CR79" s="43">
        <f t="shared" si="173"/>
        <v>0</v>
      </c>
      <c r="CS79" s="43">
        <f t="shared" si="173"/>
        <v>0</v>
      </c>
      <c r="CT79" s="43">
        <f t="shared" si="173"/>
        <v>0</v>
      </c>
      <c r="CU79" s="43">
        <f t="shared" si="173"/>
        <v>0</v>
      </c>
      <c r="CV79" s="43">
        <f t="shared" si="173"/>
        <v>0</v>
      </c>
      <c r="CW79" s="43">
        <f t="shared" si="173"/>
        <v>0</v>
      </c>
      <c r="CX79" s="43">
        <f t="shared" si="173"/>
        <v>0</v>
      </c>
      <c r="CY79" s="43">
        <f t="shared" si="173"/>
        <v>0</v>
      </c>
      <c r="CZ79" s="43">
        <f t="shared" si="173"/>
        <v>0</v>
      </c>
      <c r="DA79" s="43">
        <f t="shared" si="173"/>
        <v>0</v>
      </c>
      <c r="DB79" s="43">
        <f t="shared" si="173"/>
        <v>0</v>
      </c>
      <c r="DC79" s="43">
        <f t="shared" si="173"/>
        <v>0</v>
      </c>
      <c r="DD79" s="43">
        <f t="shared" si="173"/>
        <v>0</v>
      </c>
      <c r="DE79" s="43">
        <f t="shared" si="173"/>
        <v>0</v>
      </c>
      <c r="DF79" s="43">
        <f t="shared" si="173"/>
        <v>121.54958999999963</v>
      </c>
      <c r="DH79" s="43">
        <f>SUM(DH80:DH93)-DH81</f>
        <v>99284.5</v>
      </c>
      <c r="DI79" s="43">
        <f>SUM(DI80:DI93)-DI81</f>
        <v>99162.950410000005</v>
      </c>
      <c r="DK79" s="43">
        <f>SUM(DK80:DK93)-DK81</f>
        <v>99162.95040999999</v>
      </c>
      <c r="DL79" s="43">
        <f>SUM(DL80:DL93)-DL81</f>
        <v>121.54958999999963</v>
      </c>
      <c r="DN79" s="43">
        <f>SUM(DN80:DN93)-DN81</f>
        <v>-11771.150410000007</v>
      </c>
      <c r="DO79" s="49">
        <f>DF79-DN79</f>
        <v>11892.700000000008</v>
      </c>
      <c r="DP79" s="49"/>
      <c r="DQ79" s="43">
        <f>SUM(DQ80:DQ93)-DQ81</f>
        <v>94553.887900000002</v>
      </c>
      <c r="DR79" s="43">
        <f t="shared" ref="DR79:DU79" si="174">SUM(DR80:DR93)-DR81</f>
        <v>0</v>
      </c>
      <c r="DS79" s="43">
        <f t="shared" si="174"/>
        <v>24177.587900000002</v>
      </c>
      <c r="DT79" s="43">
        <f t="shared" si="174"/>
        <v>70376.3</v>
      </c>
      <c r="DU79" s="43">
        <f t="shared" si="174"/>
        <v>0</v>
      </c>
      <c r="DV79" s="43">
        <f>SUM(DV80:DV93)-DV81</f>
        <v>37279.752959999998</v>
      </c>
      <c r="DW79" s="43">
        <f t="shared" ref="DW79:DZ79" si="175">SUM(DW80:DW93)-DW81</f>
        <v>0</v>
      </c>
      <c r="DX79" s="43">
        <f t="shared" si="175"/>
        <v>13494.462340000002</v>
      </c>
      <c r="DY79" s="43">
        <f t="shared" si="175"/>
        <v>23785.29062</v>
      </c>
      <c r="DZ79" s="43">
        <f t="shared" si="175"/>
        <v>0</v>
      </c>
      <c r="EA79" s="372"/>
      <c r="EB79" s="372"/>
      <c r="EC79" s="372"/>
      <c r="ED79" s="372"/>
      <c r="EE79" s="372"/>
      <c r="EF79" s="372"/>
      <c r="EG79" s="372"/>
      <c r="EH79" s="372"/>
      <c r="EI79" s="372"/>
      <c r="EJ79" s="372"/>
      <c r="EK79" s="372"/>
      <c r="EL79" s="372"/>
      <c r="EM79" s="372"/>
      <c r="EN79" s="372"/>
      <c r="EO79" s="372"/>
      <c r="EP79" s="372"/>
      <c r="EQ79" s="372"/>
      <c r="ER79" s="372"/>
      <c r="ES79" s="372"/>
      <c r="ET79" s="372"/>
      <c r="EU79" s="372"/>
      <c r="EV79" s="372"/>
      <c r="EW79" s="372"/>
      <c r="EX79" s="372"/>
      <c r="EY79" s="372"/>
      <c r="EZ79" s="372"/>
      <c r="FA79" s="372"/>
      <c r="FB79" s="372"/>
      <c r="FC79" s="372"/>
      <c r="FD79" s="372"/>
      <c r="FE79" s="372"/>
      <c r="FF79" s="372"/>
      <c r="FG79" s="372"/>
      <c r="FH79" s="372"/>
      <c r="FI79" s="372"/>
      <c r="FJ79" s="372"/>
      <c r="FK79" s="372"/>
      <c r="FL79" s="372"/>
      <c r="FM79" s="372"/>
      <c r="FN79" s="372"/>
      <c r="FO79" s="372"/>
      <c r="FP79" s="372"/>
      <c r="FQ79" s="372"/>
      <c r="FR79" s="372"/>
      <c r="FS79" s="372"/>
      <c r="FT79" s="372"/>
      <c r="FU79" s="372"/>
      <c r="FV79" s="372"/>
      <c r="FW79" s="372"/>
      <c r="FX79" s="372"/>
      <c r="FY79" s="372"/>
      <c r="FZ79" s="372"/>
      <c r="GA79" s="372"/>
      <c r="GB79" s="372"/>
      <c r="GC79" s="372"/>
      <c r="GD79" s="372"/>
      <c r="GE79" s="372"/>
      <c r="GF79" s="372"/>
      <c r="GG79" s="372"/>
      <c r="GH79" s="372"/>
      <c r="GI79" s="372"/>
      <c r="GJ79" s="372"/>
      <c r="GK79" s="372"/>
      <c r="GL79" s="372"/>
      <c r="GM79" s="372"/>
      <c r="GN79" s="372"/>
      <c r="GO79" s="372"/>
      <c r="GP79" s="372"/>
      <c r="GQ79" s="372"/>
      <c r="GR79" s="372"/>
    </row>
    <row r="80" spans="1:200" s="61" customFormat="1" ht="15" customHeight="1" x14ac:dyDescent="0.3">
      <c r="A80" s="280"/>
      <c r="B80" s="281">
        <v>1</v>
      </c>
      <c r="C80" s="282"/>
      <c r="D80" s="282"/>
      <c r="E80" s="4">
        <v>65</v>
      </c>
      <c r="F80" s="281">
        <v>1</v>
      </c>
      <c r="G80" s="282"/>
      <c r="H80" s="282"/>
      <c r="I80" s="474"/>
      <c r="J80" s="475"/>
      <c r="K80" s="475"/>
      <c r="L80" s="288"/>
      <c r="M80" s="4">
        <v>62</v>
      </c>
      <c r="N80" s="62" t="s">
        <v>208</v>
      </c>
      <c r="O80" s="63" t="s">
        <v>448</v>
      </c>
      <c r="P80" s="63">
        <v>0</v>
      </c>
      <c r="Q80" s="64">
        <f t="shared" si="164"/>
        <v>0</v>
      </c>
      <c r="R80" s="64">
        <f t="shared" si="165"/>
        <v>0</v>
      </c>
      <c r="S80" s="64">
        <f t="shared" si="166"/>
        <v>0</v>
      </c>
      <c r="T80" s="63"/>
      <c r="U80" s="63"/>
      <c r="V80" s="64">
        <f t="shared" ref="V80:V93" si="176">W80+X80+Y80+Z80</f>
        <v>0</v>
      </c>
      <c r="W80" s="64"/>
      <c r="X80" s="64">
        <v>0</v>
      </c>
      <c r="Y80" s="64"/>
      <c r="Z80" s="60"/>
      <c r="AA80" s="64">
        <f t="shared" ref="AA80:AA93" si="177">AB80+AC80+AD80+AE80</f>
        <v>0</v>
      </c>
      <c r="AB80" s="64"/>
      <c r="AC80" s="64">
        <v>0</v>
      </c>
      <c r="AD80" s="64"/>
      <c r="AE80" s="60"/>
      <c r="AF80" s="64">
        <f t="shared" ref="AF80:AF93" si="178">AG80+AH80+AI80+AJ80</f>
        <v>0</v>
      </c>
      <c r="AG80" s="64"/>
      <c r="AH80" s="64">
        <v>0</v>
      </c>
      <c r="AI80" s="64"/>
      <c r="AJ80" s="60"/>
      <c r="AK80" s="64">
        <f t="shared" ref="AK80:AK93" si="179">AL80+AM80+AN80+AO80</f>
        <v>10</v>
      </c>
      <c r="AL80" s="64"/>
      <c r="AM80" s="64">
        <v>10</v>
      </c>
      <c r="AN80" s="64"/>
      <c r="AO80" s="64"/>
      <c r="AP80" s="64"/>
      <c r="AQ80" s="64">
        <f t="shared" si="71"/>
        <v>0</v>
      </c>
      <c r="AR80" s="64"/>
      <c r="AS80" s="64"/>
      <c r="AT80" s="64"/>
      <c r="AU80" s="64"/>
      <c r="AV80" s="64">
        <f t="shared" si="152"/>
        <v>0</v>
      </c>
      <c r="AW80" s="64">
        <f t="shared" si="153"/>
        <v>0</v>
      </c>
      <c r="AX80" s="64">
        <f t="shared" si="154"/>
        <v>0</v>
      </c>
      <c r="AY80" s="64">
        <f t="shared" si="155"/>
        <v>0</v>
      </c>
      <c r="AZ80" s="64" t="e">
        <f>#REF!-AU80</f>
        <v>#REF!</v>
      </c>
      <c r="BA80" s="64">
        <f t="shared" ref="BA80:BA93" si="180">BB80+BC80+BD80+BE80</f>
        <v>0</v>
      </c>
      <c r="BB80" s="64"/>
      <c r="BC80" s="64"/>
      <c r="BD80" s="64"/>
      <c r="BE80" s="64"/>
      <c r="BF80" s="64">
        <f t="shared" ref="BF80:BF93" si="181">BG80+BH80+BI80+BJ80</f>
        <v>0</v>
      </c>
      <c r="BG80" s="64"/>
      <c r="BH80" s="64"/>
      <c r="BI80" s="64"/>
      <c r="BJ80" s="64"/>
      <c r="BK80" s="64">
        <f t="shared" ref="BK80:BK93" si="182">BL80+BM80+BN80+BO80</f>
        <v>0</v>
      </c>
      <c r="BL80" s="64"/>
      <c r="BM80" s="64"/>
      <c r="BN80" s="64"/>
      <c r="BO80" s="64"/>
      <c r="BP80" s="64">
        <f t="shared" ref="BP80:BP93" si="183">BQ80+BR80+BS80+BT80</f>
        <v>0</v>
      </c>
      <c r="BQ80" s="64"/>
      <c r="BR80" s="64"/>
      <c r="BS80" s="64"/>
      <c r="BT80" s="64"/>
      <c r="BU80" s="64">
        <f t="shared" ref="BU80:BU93" si="184">BV80+BW80+BX80+BY80</f>
        <v>0</v>
      </c>
      <c r="BV80" s="64"/>
      <c r="BW80" s="64"/>
      <c r="BX80" s="64"/>
      <c r="BY80" s="64"/>
      <c r="BZ80" s="60">
        <f t="shared" ref="BZ80:BZ93" si="185">CA80</f>
        <v>0</v>
      </c>
      <c r="CA80" s="64">
        <f t="shared" si="156"/>
        <v>0</v>
      </c>
      <c r="CB80" s="64">
        <f t="shared" si="157"/>
        <v>0</v>
      </c>
      <c r="CC80" s="64">
        <f t="shared" si="158"/>
        <v>0</v>
      </c>
      <c r="CD80" s="64">
        <f t="shared" si="159"/>
        <v>0</v>
      </c>
      <c r="CE80" s="64">
        <f t="shared" ref="CE80:CE93" si="186">BT80+BY80</f>
        <v>0</v>
      </c>
      <c r="CF80" s="64">
        <f t="shared" si="160"/>
        <v>0</v>
      </c>
      <c r="CG80" s="64">
        <f t="shared" si="161"/>
        <v>0</v>
      </c>
      <c r="CH80" s="64">
        <f t="shared" si="162"/>
        <v>0</v>
      </c>
      <c r="CI80" s="64">
        <f t="shared" si="163"/>
        <v>0</v>
      </c>
      <c r="CJ80" s="64">
        <f t="shared" ref="CJ80:CJ93" si="187">BO80-BT80</f>
        <v>0</v>
      </c>
      <c r="CK80" s="66"/>
      <c r="CL80" s="67"/>
      <c r="CM80" s="67">
        <f>CN80</f>
        <v>0</v>
      </c>
      <c r="CN80" s="64">
        <f t="shared" ref="CN80:CN93" si="188">CO80+CP80+CQ80+CR80</f>
        <v>0</v>
      </c>
      <c r="CO80" s="64"/>
      <c r="CP80" s="64"/>
      <c r="CQ80" s="64"/>
      <c r="CR80" s="64"/>
      <c r="CS80" s="64">
        <f t="shared" ref="CS80:CS93" si="189">CT80+CU80+CV80+CW80</f>
        <v>0</v>
      </c>
      <c r="CT80" s="64"/>
      <c r="CU80" s="64"/>
      <c r="CV80" s="64"/>
      <c r="CW80" s="64"/>
      <c r="CX80" s="64">
        <f t="shared" ref="CX80:CX93" si="190">CY80+CZ80+DA80+DB80</f>
        <v>0</v>
      </c>
      <c r="CY80" s="64">
        <f t="shared" ref="CY80:DB93" si="191">CO80-CT80</f>
        <v>0</v>
      </c>
      <c r="CZ80" s="64">
        <f t="shared" si="191"/>
        <v>0</v>
      </c>
      <c r="DA80" s="64">
        <f t="shared" si="191"/>
        <v>0</v>
      </c>
      <c r="DB80" s="64">
        <f t="shared" si="191"/>
        <v>0</v>
      </c>
      <c r="DC80" s="64"/>
      <c r="DD80" s="64"/>
      <c r="DE80" s="64"/>
      <c r="DF80" s="64">
        <f t="shared" ref="DF80:DF93" si="192">CF80+CX80+DE80</f>
        <v>0</v>
      </c>
      <c r="DH80" s="64">
        <f t="shared" ref="DH80:DH93" si="193">BK80+CN80+DC80</f>
        <v>0</v>
      </c>
      <c r="DI80" s="64">
        <f t="shared" ref="DI80:DI93" si="194">BP80+CS80+DD80</f>
        <v>0</v>
      </c>
      <c r="DK80" s="64">
        <f t="shared" ref="DK80:DK81" si="195">DI80</f>
        <v>0</v>
      </c>
      <c r="DL80" s="64">
        <f t="shared" ref="DL80:DL81" si="196">DF80</f>
        <v>0</v>
      </c>
      <c r="DN80" s="64">
        <f>CM80-DK80</f>
        <v>0</v>
      </c>
      <c r="DQ80" s="64">
        <f t="shared" ref="DQ80:DQ93" si="197">DR80+DS80+DT80+DU80</f>
        <v>0</v>
      </c>
      <c r="DR80" s="64"/>
      <c r="DS80" s="64"/>
      <c r="DT80" s="64"/>
      <c r="DU80" s="64"/>
      <c r="DV80" s="64">
        <f t="shared" ref="DV80:DV93" si="198">DW80+DX80+DY80+DZ80</f>
        <v>0</v>
      </c>
      <c r="DW80" s="64"/>
      <c r="DX80" s="64"/>
      <c r="DY80" s="64"/>
      <c r="DZ80" s="64"/>
      <c r="EA80" s="375"/>
      <c r="EB80" s="375"/>
      <c r="EC80" s="375"/>
      <c r="ED80" s="375"/>
      <c r="EE80" s="375"/>
      <c r="EF80" s="375"/>
      <c r="EG80" s="375"/>
      <c r="EH80" s="375"/>
      <c r="EI80" s="375"/>
      <c r="EJ80" s="375"/>
      <c r="EK80" s="375"/>
      <c r="EL80" s="375"/>
      <c r="EM80" s="375"/>
      <c r="EN80" s="375"/>
      <c r="EO80" s="375"/>
      <c r="EP80" s="375"/>
      <c r="EQ80" s="375"/>
      <c r="ER80" s="375"/>
      <c r="ES80" s="375"/>
      <c r="ET80" s="375"/>
      <c r="EU80" s="375"/>
      <c r="EV80" s="375"/>
      <c r="EW80" s="375"/>
      <c r="EX80" s="375"/>
      <c r="EY80" s="375"/>
      <c r="EZ80" s="375"/>
      <c r="FA80" s="375"/>
      <c r="FB80" s="375"/>
      <c r="FC80" s="375"/>
      <c r="FD80" s="375"/>
      <c r="FE80" s="375"/>
      <c r="FF80" s="375"/>
      <c r="FG80" s="375"/>
      <c r="FH80" s="375"/>
      <c r="FI80" s="375"/>
      <c r="FJ80" s="375"/>
      <c r="FK80" s="375"/>
      <c r="FL80" s="375"/>
      <c r="FM80" s="375"/>
      <c r="FN80" s="375"/>
      <c r="FO80" s="375"/>
      <c r="FP80" s="375"/>
      <c r="FQ80" s="375"/>
      <c r="FR80" s="375"/>
      <c r="FS80" s="375"/>
      <c r="FT80" s="375"/>
      <c r="FU80" s="375"/>
      <c r="FV80" s="375"/>
      <c r="FW80" s="375"/>
      <c r="FX80" s="375"/>
      <c r="FY80" s="375"/>
      <c r="FZ80" s="375"/>
      <c r="GA80" s="375"/>
      <c r="GB80" s="375"/>
      <c r="GC80" s="375"/>
      <c r="GD80" s="375"/>
      <c r="GE80" s="375"/>
      <c r="GF80" s="375"/>
      <c r="GG80" s="375"/>
      <c r="GH80" s="375"/>
      <c r="GI80" s="375"/>
      <c r="GJ80" s="375"/>
      <c r="GK80" s="375"/>
      <c r="GL80" s="375"/>
      <c r="GM80" s="375"/>
      <c r="GN80" s="375"/>
      <c r="GO80" s="375"/>
      <c r="GP80" s="375"/>
      <c r="GQ80" s="375"/>
      <c r="GR80" s="375"/>
    </row>
    <row r="81" spans="1:200" s="61" customFormat="1" ht="15.75" hidden="1" customHeight="1" x14ac:dyDescent="0.25">
      <c r="A81" s="280"/>
      <c r="B81" s="281"/>
      <c r="C81" s="282"/>
      <c r="D81" s="282"/>
      <c r="E81" s="4"/>
      <c r="F81" s="281"/>
      <c r="G81" s="282"/>
      <c r="H81" s="282"/>
      <c r="I81" s="466"/>
      <c r="J81" s="467"/>
      <c r="K81" s="467"/>
      <c r="L81" s="467"/>
      <c r="M81" s="4"/>
      <c r="N81" s="371" t="s">
        <v>249</v>
      </c>
      <c r="O81" s="69"/>
      <c r="P81" s="63">
        <v>0</v>
      </c>
      <c r="Q81" s="64">
        <f t="shared" si="164"/>
        <v>0</v>
      </c>
      <c r="R81" s="64">
        <f t="shared" si="165"/>
        <v>0</v>
      </c>
      <c r="S81" s="64">
        <f t="shared" si="166"/>
        <v>0</v>
      </c>
      <c r="T81" s="69"/>
      <c r="U81" s="69"/>
      <c r="V81" s="64">
        <f t="shared" si="176"/>
        <v>0</v>
      </c>
      <c r="W81" s="64"/>
      <c r="X81" s="64"/>
      <c r="Y81" s="64"/>
      <c r="Z81" s="60"/>
      <c r="AA81" s="64">
        <f t="shared" si="177"/>
        <v>0</v>
      </c>
      <c r="AB81" s="64"/>
      <c r="AC81" s="64"/>
      <c r="AD81" s="64"/>
      <c r="AE81" s="60"/>
      <c r="AF81" s="64">
        <f t="shared" si="178"/>
        <v>0</v>
      </c>
      <c r="AG81" s="64"/>
      <c r="AH81" s="64"/>
      <c r="AI81" s="64"/>
      <c r="AJ81" s="60"/>
      <c r="AK81" s="64">
        <f t="shared" si="179"/>
        <v>0</v>
      </c>
      <c r="AL81" s="64"/>
      <c r="AM81" s="64"/>
      <c r="AN81" s="64"/>
      <c r="AO81" s="64"/>
      <c r="AP81" s="64"/>
      <c r="AQ81" s="64">
        <f t="shared" si="71"/>
        <v>0</v>
      </c>
      <c r="AR81" s="64"/>
      <c r="AS81" s="64"/>
      <c r="AT81" s="64"/>
      <c r="AU81" s="64"/>
      <c r="AV81" s="64">
        <f t="shared" si="152"/>
        <v>0</v>
      </c>
      <c r="AW81" s="64">
        <f t="shared" si="153"/>
        <v>0</v>
      </c>
      <c r="AX81" s="64">
        <f t="shared" si="154"/>
        <v>0</v>
      </c>
      <c r="AY81" s="64">
        <f t="shared" si="155"/>
        <v>0</v>
      </c>
      <c r="AZ81" s="64" t="e">
        <f>#REF!-AU81</f>
        <v>#REF!</v>
      </c>
      <c r="BA81" s="64">
        <f t="shared" si="180"/>
        <v>0</v>
      </c>
      <c r="BB81" s="64"/>
      <c r="BC81" s="64"/>
      <c r="BD81" s="64"/>
      <c r="BE81" s="64"/>
      <c r="BF81" s="64">
        <f t="shared" si="181"/>
        <v>0</v>
      </c>
      <c r="BG81" s="64"/>
      <c r="BH81" s="64"/>
      <c r="BI81" s="64"/>
      <c r="BJ81" s="64"/>
      <c r="BK81" s="64">
        <f t="shared" si="182"/>
        <v>0</v>
      </c>
      <c r="BL81" s="64"/>
      <c r="BM81" s="64"/>
      <c r="BN81" s="64"/>
      <c r="BO81" s="64"/>
      <c r="BP81" s="64">
        <f t="shared" si="183"/>
        <v>0</v>
      </c>
      <c r="BQ81" s="64"/>
      <c r="BR81" s="64"/>
      <c r="BS81" s="64"/>
      <c r="BT81" s="64"/>
      <c r="BU81" s="64">
        <f t="shared" si="184"/>
        <v>0</v>
      </c>
      <c r="BV81" s="64"/>
      <c r="BW81" s="64"/>
      <c r="BX81" s="64"/>
      <c r="BY81" s="64"/>
      <c r="BZ81" s="60">
        <f t="shared" si="185"/>
        <v>0</v>
      </c>
      <c r="CA81" s="64">
        <f t="shared" si="156"/>
        <v>0</v>
      </c>
      <c r="CB81" s="64">
        <f t="shared" si="157"/>
        <v>0</v>
      </c>
      <c r="CC81" s="64">
        <f t="shared" si="158"/>
        <v>0</v>
      </c>
      <c r="CD81" s="64">
        <f t="shared" si="159"/>
        <v>0</v>
      </c>
      <c r="CE81" s="64">
        <f t="shared" si="186"/>
        <v>0</v>
      </c>
      <c r="CF81" s="64">
        <f t="shared" si="160"/>
        <v>0</v>
      </c>
      <c r="CG81" s="64">
        <f t="shared" si="161"/>
        <v>0</v>
      </c>
      <c r="CH81" s="64">
        <f t="shared" si="162"/>
        <v>0</v>
      </c>
      <c r="CI81" s="64">
        <f t="shared" si="163"/>
        <v>0</v>
      </c>
      <c r="CJ81" s="64">
        <f t="shared" si="187"/>
        <v>0</v>
      </c>
      <c r="CK81" s="66"/>
      <c r="CL81" s="67"/>
      <c r="CM81" s="67"/>
      <c r="CN81" s="64">
        <f t="shared" si="188"/>
        <v>0</v>
      </c>
      <c r="CO81" s="64"/>
      <c r="CP81" s="64"/>
      <c r="CQ81" s="64"/>
      <c r="CR81" s="64"/>
      <c r="CS81" s="64">
        <f t="shared" si="189"/>
        <v>0</v>
      </c>
      <c r="CT81" s="64"/>
      <c r="CU81" s="64"/>
      <c r="CV81" s="64"/>
      <c r="CW81" s="64"/>
      <c r="CX81" s="64">
        <f t="shared" si="190"/>
        <v>0</v>
      </c>
      <c r="CY81" s="64">
        <f t="shared" si="191"/>
        <v>0</v>
      </c>
      <c r="CZ81" s="64">
        <f t="shared" si="191"/>
        <v>0</v>
      </c>
      <c r="DA81" s="64">
        <f t="shared" si="191"/>
        <v>0</v>
      </c>
      <c r="DB81" s="64">
        <f t="shared" si="191"/>
        <v>0</v>
      </c>
      <c r="DC81" s="64"/>
      <c r="DD81" s="64"/>
      <c r="DE81" s="64"/>
      <c r="DF81" s="64">
        <f t="shared" si="192"/>
        <v>0</v>
      </c>
      <c r="DH81" s="64">
        <f t="shared" si="193"/>
        <v>0</v>
      </c>
      <c r="DI81" s="64">
        <f t="shared" si="194"/>
        <v>0</v>
      </c>
      <c r="DK81" s="64">
        <f t="shared" si="195"/>
        <v>0</v>
      </c>
      <c r="DL81" s="64">
        <f t="shared" si="196"/>
        <v>0</v>
      </c>
      <c r="DN81" s="64"/>
      <c r="DQ81" s="64">
        <f t="shared" si="197"/>
        <v>0</v>
      </c>
      <c r="DR81" s="64"/>
      <c r="DS81" s="64"/>
      <c r="DT81" s="64"/>
      <c r="DU81" s="64"/>
      <c r="DV81" s="64">
        <f t="shared" si="198"/>
        <v>0</v>
      </c>
      <c r="DW81" s="64"/>
      <c r="DX81" s="64"/>
      <c r="DY81" s="64"/>
      <c r="DZ81" s="64"/>
      <c r="EA81" s="375"/>
      <c r="EB81" s="375"/>
      <c r="EC81" s="375"/>
      <c r="ED81" s="375"/>
      <c r="EE81" s="375"/>
      <c r="EF81" s="375"/>
      <c r="EG81" s="375"/>
      <c r="EH81" s="375"/>
      <c r="EI81" s="375"/>
      <c r="EJ81" s="375"/>
      <c r="EK81" s="375"/>
      <c r="EL81" s="375"/>
      <c r="EM81" s="375"/>
      <c r="EN81" s="375"/>
      <c r="EO81" s="375"/>
      <c r="EP81" s="375"/>
      <c r="EQ81" s="375"/>
      <c r="ER81" s="375"/>
      <c r="ES81" s="375"/>
      <c r="ET81" s="375"/>
      <c r="EU81" s="375"/>
      <c r="EV81" s="375"/>
      <c r="EW81" s="375"/>
      <c r="EX81" s="375"/>
      <c r="EY81" s="375"/>
      <c r="EZ81" s="375"/>
      <c r="FA81" s="375"/>
      <c r="FB81" s="375"/>
      <c r="FC81" s="375"/>
      <c r="FD81" s="375"/>
      <c r="FE81" s="375"/>
      <c r="FF81" s="375"/>
      <c r="FG81" s="375"/>
      <c r="FH81" s="375"/>
      <c r="FI81" s="375"/>
      <c r="FJ81" s="375"/>
      <c r="FK81" s="375"/>
      <c r="FL81" s="375"/>
      <c r="FM81" s="375"/>
      <c r="FN81" s="375"/>
      <c r="FO81" s="375"/>
      <c r="FP81" s="375"/>
      <c r="FQ81" s="375"/>
      <c r="FR81" s="375"/>
      <c r="FS81" s="375"/>
      <c r="FT81" s="375"/>
      <c r="FU81" s="375"/>
      <c r="FV81" s="375"/>
      <c r="FW81" s="375"/>
      <c r="FX81" s="375"/>
      <c r="FY81" s="375"/>
      <c r="FZ81" s="375"/>
      <c r="GA81" s="375"/>
      <c r="GB81" s="375"/>
      <c r="GC81" s="375"/>
      <c r="GD81" s="375"/>
      <c r="GE81" s="375"/>
      <c r="GF81" s="375"/>
      <c r="GG81" s="375"/>
      <c r="GH81" s="375"/>
      <c r="GI81" s="375"/>
      <c r="GJ81" s="375"/>
      <c r="GK81" s="375"/>
      <c r="GL81" s="375"/>
      <c r="GM81" s="375"/>
      <c r="GN81" s="375"/>
      <c r="GO81" s="375"/>
      <c r="GP81" s="375"/>
      <c r="GQ81" s="375"/>
      <c r="GR81" s="375"/>
    </row>
    <row r="82" spans="1:200" s="61" customFormat="1" ht="15.75" customHeight="1" x14ac:dyDescent="0.3">
      <c r="A82" s="280"/>
      <c r="B82" s="281"/>
      <c r="C82" s="282">
        <v>1</v>
      </c>
      <c r="D82" s="282"/>
      <c r="E82" s="4">
        <v>66</v>
      </c>
      <c r="F82" s="281"/>
      <c r="G82" s="282">
        <v>1</v>
      </c>
      <c r="H82" s="282">
        <v>1</v>
      </c>
      <c r="I82" s="4"/>
      <c r="J82" s="283"/>
      <c r="K82" s="283"/>
      <c r="L82" s="286"/>
      <c r="M82" s="4">
        <v>63</v>
      </c>
      <c r="N82" s="62" t="s">
        <v>29</v>
      </c>
      <c r="O82" s="62" t="s">
        <v>448</v>
      </c>
      <c r="P82" s="62" t="s">
        <v>450</v>
      </c>
      <c r="Q82" s="60">
        <f t="shared" si="164"/>
        <v>0</v>
      </c>
      <c r="R82" s="60">
        <f t="shared" si="165"/>
        <v>0</v>
      </c>
      <c r="S82" s="60">
        <f t="shared" si="166"/>
        <v>0</v>
      </c>
      <c r="T82" s="60">
        <v>1</v>
      </c>
      <c r="U82" s="60">
        <v>2</v>
      </c>
      <c r="V82" s="64">
        <f t="shared" si="176"/>
        <v>39489.300000000003</v>
      </c>
      <c r="W82" s="64"/>
      <c r="X82" s="65">
        <v>2279.3000000000002</v>
      </c>
      <c r="Y82" s="64">
        <v>37210</v>
      </c>
      <c r="Z82" s="73"/>
      <c r="AA82" s="64">
        <f t="shared" si="177"/>
        <v>39489.300000000003</v>
      </c>
      <c r="AB82" s="64"/>
      <c r="AC82" s="65">
        <v>2279.3000000000002</v>
      </c>
      <c r="AD82" s="64">
        <v>37210</v>
      </c>
      <c r="AE82" s="73"/>
      <c r="AF82" s="64">
        <f t="shared" si="178"/>
        <v>23879.3</v>
      </c>
      <c r="AG82" s="64"/>
      <c r="AH82" s="65">
        <v>2279.3000000000002</v>
      </c>
      <c r="AI82" s="64">
        <v>21600</v>
      </c>
      <c r="AJ82" s="73"/>
      <c r="AK82" s="64">
        <f t="shared" si="179"/>
        <v>22581</v>
      </c>
      <c r="AL82" s="64"/>
      <c r="AM82" s="65">
        <v>981</v>
      </c>
      <c r="AN82" s="64">
        <v>21600</v>
      </c>
      <c r="AO82" s="73"/>
      <c r="AP82" s="64" t="s">
        <v>405</v>
      </c>
      <c r="AQ82" s="64">
        <f t="shared" si="71"/>
        <v>39489.300000000003</v>
      </c>
      <c r="AR82" s="64"/>
      <c r="AS82" s="65">
        <f>981+1298.3</f>
        <v>2279.3000000000002</v>
      </c>
      <c r="AT82" s="64">
        <f>21600+15610</f>
        <v>37210</v>
      </c>
      <c r="AU82" s="73"/>
      <c r="AV82" s="64">
        <f t="shared" si="152"/>
        <v>0</v>
      </c>
      <c r="AW82" s="64">
        <f t="shared" si="153"/>
        <v>0</v>
      </c>
      <c r="AX82" s="64">
        <f t="shared" si="154"/>
        <v>0</v>
      </c>
      <c r="AY82" s="64">
        <f t="shared" si="155"/>
        <v>0</v>
      </c>
      <c r="AZ82" s="64" t="e">
        <f>#REF!-AU82</f>
        <v>#REF!</v>
      </c>
      <c r="BA82" s="64">
        <f t="shared" si="180"/>
        <v>39489.300000000003</v>
      </c>
      <c r="BB82" s="64"/>
      <c r="BC82" s="65">
        <f>981+1298.3</f>
        <v>2279.3000000000002</v>
      </c>
      <c r="BD82" s="64">
        <f>21600+15610</f>
        <v>37210</v>
      </c>
      <c r="BE82" s="73"/>
      <c r="BF82" s="64">
        <f t="shared" si="181"/>
        <v>0</v>
      </c>
      <c r="BG82" s="64"/>
      <c r="BH82" s="73"/>
      <c r="BI82" s="64"/>
      <c r="BJ82" s="73"/>
      <c r="BK82" s="64">
        <f t="shared" si="182"/>
        <v>39489.300000000003</v>
      </c>
      <c r="BL82" s="64"/>
      <c r="BM82" s="65">
        <f>981+1298.3</f>
        <v>2279.3000000000002</v>
      </c>
      <c r="BN82" s="64">
        <f>21600+15610</f>
        <v>37210</v>
      </c>
      <c r="BO82" s="74"/>
      <c r="BP82" s="64">
        <f t="shared" si="183"/>
        <v>39489.300000000003</v>
      </c>
      <c r="BQ82" s="64"/>
      <c r="BR82" s="74">
        <v>2279.3000000000002</v>
      </c>
      <c r="BS82" s="64">
        <f>602.96604+997.03396+21500+13000+1110</f>
        <v>37210</v>
      </c>
      <c r="BT82" s="73"/>
      <c r="BU82" s="64">
        <f t="shared" si="184"/>
        <v>21282.431639999999</v>
      </c>
      <c r="BV82" s="64"/>
      <c r="BW82" s="64">
        <v>8465.9476400000003</v>
      </c>
      <c r="BX82" s="64">
        <f>59.72+341.60004+206.58596+4402.314+7172.723+633.541</f>
        <v>12816.483999999999</v>
      </c>
      <c r="BY82" s="64"/>
      <c r="BZ82" s="60">
        <f t="shared" si="185"/>
        <v>60771.731639999998</v>
      </c>
      <c r="CA82" s="64">
        <f t="shared" si="156"/>
        <v>60771.731639999998</v>
      </c>
      <c r="CB82" s="64">
        <f t="shared" si="157"/>
        <v>0</v>
      </c>
      <c r="CC82" s="64">
        <f t="shared" si="158"/>
        <v>10745.247640000001</v>
      </c>
      <c r="CD82" s="64">
        <f t="shared" si="159"/>
        <v>50026.483999999997</v>
      </c>
      <c r="CE82" s="64">
        <f t="shared" si="186"/>
        <v>0</v>
      </c>
      <c r="CF82" s="64">
        <f t="shared" si="160"/>
        <v>0</v>
      </c>
      <c r="CG82" s="64">
        <f t="shared" si="161"/>
        <v>0</v>
      </c>
      <c r="CH82" s="64">
        <f t="shared" si="162"/>
        <v>0</v>
      </c>
      <c r="CI82" s="64">
        <f t="shared" si="163"/>
        <v>0</v>
      </c>
      <c r="CJ82" s="64">
        <f t="shared" si="187"/>
        <v>0</v>
      </c>
      <c r="CK82" s="66"/>
      <c r="CL82" s="76">
        <f>BA82+BA83+BA85+BA89+BA90+BA91+BA93</f>
        <v>87391.799999999988</v>
      </c>
      <c r="CM82" s="76">
        <f>CL82+CN82+CN85+CN89-BF79</f>
        <v>87391.799999999988</v>
      </c>
      <c r="CN82" s="64">
        <f t="shared" si="188"/>
        <v>0</v>
      </c>
      <c r="CO82" s="64"/>
      <c r="CP82" s="73"/>
      <c r="CQ82" s="64"/>
      <c r="CR82" s="73"/>
      <c r="CS82" s="64">
        <f t="shared" si="189"/>
        <v>0</v>
      </c>
      <c r="CT82" s="64"/>
      <c r="CU82" s="73"/>
      <c r="CV82" s="64"/>
      <c r="CW82" s="73"/>
      <c r="CX82" s="64">
        <f t="shared" si="190"/>
        <v>0</v>
      </c>
      <c r="CY82" s="64">
        <f t="shared" si="191"/>
        <v>0</v>
      </c>
      <c r="CZ82" s="64">
        <f t="shared" si="191"/>
        <v>0</v>
      </c>
      <c r="DA82" s="64">
        <f t="shared" si="191"/>
        <v>0</v>
      </c>
      <c r="DB82" s="64">
        <f t="shared" si="191"/>
        <v>0</v>
      </c>
      <c r="DC82" s="64"/>
      <c r="DD82" s="64"/>
      <c r="DE82" s="64"/>
      <c r="DF82" s="64">
        <f t="shared" si="192"/>
        <v>0</v>
      </c>
      <c r="DH82" s="64">
        <f t="shared" si="193"/>
        <v>39489.300000000003</v>
      </c>
      <c r="DI82" s="64">
        <f t="shared" si="194"/>
        <v>39489.300000000003</v>
      </c>
      <c r="DK82" s="77">
        <f>DI82+DI83+DI85+DI89+DI90+DI91+DI93</f>
        <v>87372.570999999996</v>
      </c>
      <c r="DL82" s="77">
        <f>DF82+DF83+DF85+DF89+DF90+DF91+DF93</f>
        <v>19.229000000000042</v>
      </c>
      <c r="DN82" s="64">
        <f>CM82-DK82</f>
        <v>19.228999999992084</v>
      </c>
      <c r="DQ82" s="64">
        <f t="shared" si="197"/>
        <v>38379.300000000003</v>
      </c>
      <c r="DR82" s="64"/>
      <c r="DS82" s="74">
        <v>2279.3000000000002</v>
      </c>
      <c r="DT82" s="64">
        <v>36100</v>
      </c>
      <c r="DU82" s="73"/>
      <c r="DV82" s="64">
        <f t="shared" si="198"/>
        <v>20648.890639999998</v>
      </c>
      <c r="DW82" s="64"/>
      <c r="DX82" s="64">
        <v>8465.9476400000003</v>
      </c>
      <c r="DY82" s="64">
        <v>12182.942999999999</v>
      </c>
      <c r="DZ82" s="64"/>
      <c r="EA82" s="375"/>
      <c r="EB82" s="375"/>
      <c r="EC82" s="375"/>
      <c r="ED82" s="375"/>
      <c r="EE82" s="375"/>
      <c r="EF82" s="375"/>
      <c r="EG82" s="375"/>
      <c r="EH82" s="375"/>
      <c r="EI82" s="375"/>
      <c r="EJ82" s="375"/>
      <c r="EK82" s="375"/>
      <c r="EL82" s="375"/>
      <c r="EM82" s="375"/>
      <c r="EN82" s="375"/>
      <c r="EO82" s="375"/>
      <c r="EP82" s="375"/>
      <c r="EQ82" s="375"/>
      <c r="ER82" s="375"/>
      <c r="ES82" s="375"/>
      <c r="ET82" s="375"/>
      <c r="EU82" s="375"/>
      <c r="EV82" s="375"/>
      <c r="EW82" s="375"/>
      <c r="EX82" s="375"/>
      <c r="EY82" s="375"/>
      <c r="EZ82" s="375"/>
      <c r="FA82" s="375"/>
      <c r="FB82" s="375"/>
      <c r="FC82" s="375"/>
      <c r="FD82" s="375"/>
      <c r="FE82" s="375"/>
      <c r="FF82" s="375"/>
      <c r="FG82" s="375"/>
      <c r="FH82" s="375"/>
      <c r="FI82" s="375"/>
      <c r="FJ82" s="375"/>
      <c r="FK82" s="375"/>
      <c r="FL82" s="375"/>
      <c r="FM82" s="375"/>
      <c r="FN82" s="375"/>
      <c r="FO82" s="375"/>
      <c r="FP82" s="375"/>
      <c r="FQ82" s="375"/>
      <c r="FR82" s="375"/>
      <c r="FS82" s="375"/>
      <c r="FT82" s="375"/>
      <c r="FU82" s="375"/>
      <c r="FV82" s="375"/>
      <c r="FW82" s="375"/>
      <c r="FX82" s="375"/>
      <c r="FY82" s="375"/>
      <c r="FZ82" s="375"/>
      <c r="GA82" s="375"/>
      <c r="GB82" s="375"/>
      <c r="GC82" s="375"/>
      <c r="GD82" s="375"/>
      <c r="GE82" s="375"/>
      <c r="GF82" s="375"/>
      <c r="GG82" s="375"/>
      <c r="GH82" s="375"/>
      <c r="GI82" s="375"/>
      <c r="GJ82" s="375"/>
      <c r="GK82" s="375"/>
      <c r="GL82" s="375"/>
      <c r="GM82" s="375"/>
      <c r="GN82" s="375"/>
      <c r="GO82" s="375"/>
      <c r="GP82" s="375"/>
      <c r="GQ82" s="375"/>
      <c r="GR82" s="375"/>
    </row>
    <row r="83" spans="1:200" s="61" customFormat="1" ht="15.6" customHeight="1" x14ac:dyDescent="0.3">
      <c r="A83" s="280"/>
      <c r="B83" s="281"/>
      <c r="C83" s="282">
        <v>1</v>
      </c>
      <c r="D83" s="282"/>
      <c r="E83" s="4">
        <v>67</v>
      </c>
      <c r="F83" s="281"/>
      <c r="G83" s="282"/>
      <c r="H83" s="282"/>
      <c r="I83" s="474"/>
      <c r="J83" s="475"/>
      <c r="K83" s="475"/>
      <c r="L83" s="288"/>
      <c r="M83" s="4">
        <v>64</v>
      </c>
      <c r="N83" s="62" t="s">
        <v>209</v>
      </c>
      <c r="O83" s="62">
        <v>0</v>
      </c>
      <c r="P83" s="62">
        <v>0</v>
      </c>
      <c r="Q83" s="60">
        <f t="shared" si="164"/>
        <v>0</v>
      </c>
      <c r="R83" s="60">
        <f t="shared" si="165"/>
        <v>0</v>
      </c>
      <c r="S83" s="60">
        <f t="shared" si="166"/>
        <v>0</v>
      </c>
      <c r="T83" s="60"/>
      <c r="U83" s="60"/>
      <c r="V83" s="64">
        <f t="shared" si="176"/>
        <v>0</v>
      </c>
      <c r="W83" s="64"/>
      <c r="X83" s="65">
        <v>0</v>
      </c>
      <c r="Y83" s="64"/>
      <c r="Z83" s="78"/>
      <c r="AA83" s="64">
        <f t="shared" si="177"/>
        <v>340.4</v>
      </c>
      <c r="AB83" s="64"/>
      <c r="AC83" s="65">
        <v>340.4</v>
      </c>
      <c r="AD83" s="64"/>
      <c r="AE83" s="78"/>
      <c r="AF83" s="64">
        <f t="shared" si="178"/>
        <v>340.4</v>
      </c>
      <c r="AG83" s="64"/>
      <c r="AH83" s="65">
        <v>340.4</v>
      </c>
      <c r="AI83" s="64"/>
      <c r="AJ83" s="78"/>
      <c r="AK83" s="64">
        <f t="shared" si="179"/>
        <v>148</v>
      </c>
      <c r="AL83" s="64"/>
      <c r="AM83" s="65">
        <v>148</v>
      </c>
      <c r="AN83" s="64"/>
      <c r="AP83" s="98"/>
      <c r="AQ83" s="64">
        <f t="shared" si="71"/>
        <v>0</v>
      </c>
      <c r="AR83" s="64"/>
      <c r="AS83" s="64"/>
      <c r="AT83" s="64"/>
      <c r="AU83" s="64"/>
      <c r="AV83" s="64">
        <f t="shared" si="152"/>
        <v>0</v>
      </c>
      <c r="AW83" s="64">
        <f t="shared" si="153"/>
        <v>0</v>
      </c>
      <c r="AX83" s="64">
        <f t="shared" si="154"/>
        <v>0</v>
      </c>
      <c r="AY83" s="64">
        <f t="shared" si="155"/>
        <v>0</v>
      </c>
      <c r="AZ83" s="64" t="e">
        <f>#REF!-AU83</f>
        <v>#REF!</v>
      </c>
      <c r="BA83" s="64">
        <f t="shared" si="180"/>
        <v>0</v>
      </c>
      <c r="BB83" s="64"/>
      <c r="BC83" s="64"/>
      <c r="BD83" s="64"/>
      <c r="BE83" s="64"/>
      <c r="BF83" s="64">
        <f t="shared" si="181"/>
        <v>0</v>
      </c>
      <c r="BG83" s="64"/>
      <c r="BH83" s="64"/>
      <c r="BI83" s="64"/>
      <c r="BJ83" s="64"/>
      <c r="BK83" s="64">
        <f t="shared" si="182"/>
        <v>0</v>
      </c>
      <c r="BL83" s="64"/>
      <c r="BM83" s="64"/>
      <c r="BN83" s="64"/>
      <c r="BO83" s="64"/>
      <c r="BP83" s="64">
        <f t="shared" si="183"/>
        <v>0</v>
      </c>
      <c r="BQ83" s="64"/>
      <c r="BR83" s="64"/>
      <c r="BS83" s="64"/>
      <c r="BT83" s="64"/>
      <c r="BU83" s="64">
        <f t="shared" si="184"/>
        <v>0</v>
      </c>
      <c r="BV83" s="64"/>
      <c r="BW83" s="64"/>
      <c r="BX83" s="64"/>
      <c r="BY83" s="64"/>
      <c r="BZ83" s="60">
        <f t="shared" si="185"/>
        <v>0</v>
      </c>
      <c r="CA83" s="64">
        <f t="shared" si="156"/>
        <v>0</v>
      </c>
      <c r="CB83" s="64">
        <f t="shared" si="157"/>
        <v>0</v>
      </c>
      <c r="CC83" s="64">
        <f t="shared" si="158"/>
        <v>0</v>
      </c>
      <c r="CD83" s="64">
        <f t="shared" si="159"/>
        <v>0</v>
      </c>
      <c r="CE83" s="64">
        <f t="shared" si="186"/>
        <v>0</v>
      </c>
      <c r="CF83" s="64">
        <f t="shared" si="160"/>
        <v>0</v>
      </c>
      <c r="CG83" s="64">
        <f t="shared" si="161"/>
        <v>0</v>
      </c>
      <c r="CH83" s="64">
        <f t="shared" si="162"/>
        <v>0</v>
      </c>
      <c r="CI83" s="64">
        <f t="shared" si="163"/>
        <v>0</v>
      </c>
      <c r="CJ83" s="64">
        <f t="shared" si="187"/>
        <v>0</v>
      </c>
      <c r="CK83" s="66"/>
      <c r="CL83" s="67"/>
      <c r="CM83" s="67"/>
      <c r="CN83" s="64">
        <f t="shared" si="188"/>
        <v>0</v>
      </c>
      <c r="CO83" s="64"/>
      <c r="CP83" s="64"/>
      <c r="CQ83" s="64"/>
      <c r="CR83" s="64"/>
      <c r="CS83" s="64">
        <f t="shared" si="189"/>
        <v>0</v>
      </c>
      <c r="CT83" s="64"/>
      <c r="CU83" s="64"/>
      <c r="CV83" s="64"/>
      <c r="CW83" s="64"/>
      <c r="CX83" s="64">
        <f t="shared" si="190"/>
        <v>0</v>
      </c>
      <c r="CY83" s="64">
        <f t="shared" si="191"/>
        <v>0</v>
      </c>
      <c r="CZ83" s="64">
        <f t="shared" si="191"/>
        <v>0</v>
      </c>
      <c r="DA83" s="64">
        <f t="shared" si="191"/>
        <v>0</v>
      </c>
      <c r="DB83" s="64">
        <f t="shared" si="191"/>
        <v>0</v>
      </c>
      <c r="DC83" s="64"/>
      <c r="DD83" s="64"/>
      <c r="DE83" s="64"/>
      <c r="DF83" s="64">
        <f t="shared" si="192"/>
        <v>0</v>
      </c>
      <c r="DH83" s="64">
        <f t="shared" si="193"/>
        <v>0</v>
      </c>
      <c r="DI83" s="64">
        <f t="shared" si="194"/>
        <v>0</v>
      </c>
      <c r="DK83" s="64"/>
      <c r="DL83" s="64"/>
      <c r="DN83" s="64"/>
      <c r="DQ83" s="64">
        <f t="shared" si="197"/>
        <v>0</v>
      </c>
      <c r="DR83" s="64"/>
      <c r="DS83" s="64"/>
      <c r="DT83" s="64"/>
      <c r="DU83" s="64"/>
      <c r="DV83" s="64">
        <f t="shared" si="198"/>
        <v>0</v>
      </c>
      <c r="DW83" s="64"/>
      <c r="DX83" s="64"/>
      <c r="DY83" s="64"/>
      <c r="DZ83" s="64"/>
      <c r="EA83" s="375"/>
      <c r="EB83" s="375"/>
      <c r="EC83" s="375"/>
      <c r="ED83" s="375"/>
      <c r="EE83" s="375"/>
      <c r="EF83" s="375"/>
      <c r="EG83" s="375"/>
      <c r="EH83" s="375"/>
      <c r="EI83" s="375"/>
      <c r="EJ83" s="375"/>
      <c r="EK83" s="375"/>
      <c r="EL83" s="375"/>
      <c r="EM83" s="375"/>
      <c r="EN83" s="375"/>
      <c r="EO83" s="375"/>
      <c r="EP83" s="375"/>
      <c r="EQ83" s="375"/>
      <c r="ER83" s="375"/>
      <c r="ES83" s="375"/>
      <c r="ET83" s="375"/>
      <c r="EU83" s="375"/>
      <c r="EV83" s="375"/>
      <c r="EW83" s="375"/>
      <c r="EX83" s="375"/>
      <c r="EY83" s="375"/>
      <c r="EZ83" s="375"/>
      <c r="FA83" s="375"/>
      <c r="FB83" s="375"/>
      <c r="FC83" s="375"/>
      <c r="FD83" s="375"/>
      <c r="FE83" s="375"/>
      <c r="FF83" s="375"/>
      <c r="FG83" s="375"/>
      <c r="FH83" s="375"/>
      <c r="FI83" s="375"/>
      <c r="FJ83" s="375"/>
      <c r="FK83" s="375"/>
      <c r="FL83" s="375"/>
      <c r="FM83" s="375"/>
      <c r="FN83" s="375"/>
      <c r="FO83" s="375"/>
      <c r="FP83" s="375"/>
      <c r="FQ83" s="375"/>
      <c r="FR83" s="375"/>
      <c r="FS83" s="375"/>
      <c r="FT83" s="375"/>
      <c r="FU83" s="375"/>
      <c r="FV83" s="375"/>
      <c r="FW83" s="375"/>
      <c r="FX83" s="375"/>
      <c r="FY83" s="375"/>
      <c r="FZ83" s="375"/>
      <c r="GA83" s="375"/>
      <c r="GB83" s="375"/>
      <c r="GC83" s="375"/>
      <c r="GD83" s="375"/>
      <c r="GE83" s="375"/>
      <c r="GF83" s="375"/>
      <c r="GG83" s="375"/>
      <c r="GH83" s="375"/>
      <c r="GI83" s="375"/>
      <c r="GJ83" s="375"/>
      <c r="GK83" s="375"/>
      <c r="GL83" s="375"/>
      <c r="GM83" s="375"/>
      <c r="GN83" s="375"/>
      <c r="GO83" s="375"/>
      <c r="GP83" s="375"/>
      <c r="GQ83" s="375"/>
      <c r="GR83" s="375"/>
    </row>
    <row r="84" spans="1:200" s="61" customFormat="1" ht="15.75" customHeight="1" x14ac:dyDescent="0.3">
      <c r="A84" s="280"/>
      <c r="B84" s="281"/>
      <c r="C84" s="282"/>
      <c r="D84" s="282">
        <v>1</v>
      </c>
      <c r="E84" s="4">
        <v>68</v>
      </c>
      <c r="F84" s="281"/>
      <c r="G84" s="282"/>
      <c r="H84" s="282">
        <v>1</v>
      </c>
      <c r="I84" s="480" t="s">
        <v>271</v>
      </c>
      <c r="J84" s="481"/>
      <c r="K84" s="481"/>
      <c r="L84" s="481"/>
      <c r="M84" s="4">
        <v>65</v>
      </c>
      <c r="N84" s="62" t="s">
        <v>95</v>
      </c>
      <c r="O84" s="62" t="s">
        <v>448</v>
      </c>
      <c r="P84" s="62" t="s">
        <v>448</v>
      </c>
      <c r="Q84" s="60">
        <f t="shared" si="164"/>
        <v>0</v>
      </c>
      <c r="R84" s="60">
        <f t="shared" si="165"/>
        <v>97.759999999999764</v>
      </c>
      <c r="S84" s="60">
        <f t="shared" si="166"/>
        <v>0</v>
      </c>
      <c r="T84" s="60">
        <v>1</v>
      </c>
      <c r="U84" s="60">
        <v>2</v>
      </c>
      <c r="V84" s="64">
        <f t="shared" si="176"/>
        <v>1729.6</v>
      </c>
      <c r="W84" s="64"/>
      <c r="X84" s="65">
        <v>1729.6</v>
      </c>
      <c r="Y84" s="64"/>
      <c r="Z84" s="73"/>
      <c r="AA84" s="64">
        <f t="shared" si="177"/>
        <v>1729.6</v>
      </c>
      <c r="AB84" s="64"/>
      <c r="AC84" s="65">
        <v>1729.6</v>
      </c>
      <c r="AD84" s="64"/>
      <c r="AE84" s="73"/>
      <c r="AF84" s="64">
        <f t="shared" si="178"/>
        <v>1729.6</v>
      </c>
      <c r="AG84" s="64"/>
      <c r="AH84" s="65">
        <v>1729.6</v>
      </c>
      <c r="AI84" s="64"/>
      <c r="AJ84" s="73"/>
      <c r="AK84" s="64">
        <f t="shared" si="179"/>
        <v>752</v>
      </c>
      <c r="AL84" s="64"/>
      <c r="AM84" s="65">
        <v>752</v>
      </c>
      <c r="AN84" s="64"/>
      <c r="AO84" s="73"/>
      <c r="AP84" s="64" t="s">
        <v>530</v>
      </c>
      <c r="AQ84" s="64">
        <f t="shared" si="71"/>
        <v>1729.6</v>
      </c>
      <c r="AR84" s="64"/>
      <c r="AS84" s="65">
        <f>752+977.6</f>
        <v>1729.6</v>
      </c>
      <c r="AT84" s="64"/>
      <c r="AU84" s="73"/>
      <c r="AV84" s="64">
        <f t="shared" si="152"/>
        <v>0</v>
      </c>
      <c r="AW84" s="64">
        <f t="shared" si="153"/>
        <v>0</v>
      </c>
      <c r="AX84" s="64">
        <f t="shared" si="154"/>
        <v>0</v>
      </c>
      <c r="AY84" s="64">
        <f t="shared" si="155"/>
        <v>0</v>
      </c>
      <c r="AZ84" s="64" t="e">
        <f>#REF!-AU84</f>
        <v>#REF!</v>
      </c>
      <c r="BA84" s="64">
        <f t="shared" si="180"/>
        <v>1729.6</v>
      </c>
      <c r="BB84" s="64"/>
      <c r="BC84" s="65">
        <f>752+977.6</f>
        <v>1729.6</v>
      </c>
      <c r="BD84" s="64"/>
      <c r="BE84" s="73"/>
      <c r="BF84" s="64">
        <f t="shared" si="181"/>
        <v>0</v>
      </c>
      <c r="BG84" s="64"/>
      <c r="BH84" s="65"/>
      <c r="BI84" s="64"/>
      <c r="BJ84" s="73"/>
      <c r="BK84" s="64">
        <f t="shared" si="182"/>
        <v>1729.6</v>
      </c>
      <c r="BL84" s="64"/>
      <c r="BM84" s="65">
        <f>752+977.6</f>
        <v>1729.6</v>
      </c>
      <c r="BN84" s="64"/>
      <c r="BO84" s="74"/>
      <c r="BP84" s="64">
        <f t="shared" si="183"/>
        <v>1631.8400000000001</v>
      </c>
      <c r="BQ84" s="64"/>
      <c r="BR84" s="74">
        <f>752+879.84</f>
        <v>1631.8400000000001</v>
      </c>
      <c r="BS84" s="64"/>
      <c r="BT84" s="73"/>
      <c r="BU84" s="64">
        <f t="shared" si="184"/>
        <v>643.70756000000006</v>
      </c>
      <c r="BV84" s="64"/>
      <c r="BW84" s="74">
        <f>299.68256+344.025</f>
        <v>643.70756000000006</v>
      </c>
      <c r="BX84" s="64"/>
      <c r="BY84" s="64"/>
      <c r="BZ84" s="60">
        <f t="shared" si="185"/>
        <v>2275.54756</v>
      </c>
      <c r="CA84" s="64">
        <f t="shared" si="156"/>
        <v>2275.54756</v>
      </c>
      <c r="CB84" s="64">
        <f t="shared" si="157"/>
        <v>0</v>
      </c>
      <c r="CC84" s="64">
        <f t="shared" si="158"/>
        <v>2275.54756</v>
      </c>
      <c r="CD84" s="64">
        <f t="shared" si="159"/>
        <v>0</v>
      </c>
      <c r="CE84" s="64">
        <f t="shared" si="186"/>
        <v>0</v>
      </c>
      <c r="CF84" s="64">
        <f t="shared" si="160"/>
        <v>97.759999999999764</v>
      </c>
      <c r="CG84" s="64">
        <f t="shared" si="161"/>
        <v>0</v>
      </c>
      <c r="CH84" s="64">
        <f t="shared" si="162"/>
        <v>97.759999999999764</v>
      </c>
      <c r="CI84" s="64">
        <f t="shared" si="163"/>
        <v>0</v>
      </c>
      <c r="CJ84" s="64">
        <f t="shared" si="187"/>
        <v>0</v>
      </c>
      <c r="CK84" s="66"/>
      <c r="CL84" s="67">
        <f>BA84+BA86+BA87+BA88+BA92</f>
        <v>11892.699999999999</v>
      </c>
      <c r="CM84" s="67"/>
      <c r="CN84" s="64">
        <f t="shared" si="188"/>
        <v>0</v>
      </c>
      <c r="CO84" s="64"/>
      <c r="CP84" s="65"/>
      <c r="CQ84" s="64"/>
      <c r="CR84" s="73"/>
      <c r="CS84" s="64">
        <f t="shared" si="189"/>
        <v>0</v>
      </c>
      <c r="CT84" s="64"/>
      <c r="CU84" s="65"/>
      <c r="CV84" s="64"/>
      <c r="CW84" s="73"/>
      <c r="CX84" s="64">
        <f t="shared" si="190"/>
        <v>0</v>
      </c>
      <c r="CY84" s="64">
        <f t="shared" si="191"/>
        <v>0</v>
      </c>
      <c r="CZ84" s="64">
        <f t="shared" si="191"/>
        <v>0</v>
      </c>
      <c r="DA84" s="64">
        <f t="shared" si="191"/>
        <v>0</v>
      </c>
      <c r="DB84" s="64">
        <f t="shared" si="191"/>
        <v>0</v>
      </c>
      <c r="DC84" s="64"/>
      <c r="DD84" s="64"/>
      <c r="DE84" s="64"/>
      <c r="DF84" s="64">
        <f t="shared" si="192"/>
        <v>97.759999999999764</v>
      </c>
      <c r="DH84" s="64">
        <f t="shared" si="193"/>
        <v>1729.6</v>
      </c>
      <c r="DI84" s="64">
        <f t="shared" si="194"/>
        <v>1631.8400000000001</v>
      </c>
      <c r="DK84" s="64">
        <f>DI84+DI86+DI87+DI88+DI92</f>
        <v>11790.37941</v>
      </c>
      <c r="DL84" s="64">
        <f>DF84+DF86+DF87+DF88+DF92</f>
        <v>102.32058999999958</v>
      </c>
      <c r="DN84" s="64">
        <f>CM83-DK84</f>
        <v>-11790.37941</v>
      </c>
      <c r="DQ84" s="64">
        <f t="shared" si="197"/>
        <v>1631.8400000000001</v>
      </c>
      <c r="DR84" s="64"/>
      <c r="DS84" s="74">
        <f>752+879.84</f>
        <v>1631.8400000000001</v>
      </c>
      <c r="DT84" s="64"/>
      <c r="DU84" s="73"/>
      <c r="DV84" s="64">
        <f t="shared" si="198"/>
        <v>0</v>
      </c>
      <c r="DW84" s="64"/>
      <c r="DX84" s="74"/>
      <c r="DY84" s="64"/>
      <c r="DZ84" s="64"/>
      <c r="EA84" s="375"/>
      <c r="EB84" s="375"/>
      <c r="EC84" s="375"/>
      <c r="ED84" s="375"/>
      <c r="EE84" s="375"/>
      <c r="EF84" s="375"/>
      <c r="EG84" s="375"/>
      <c r="EH84" s="375"/>
      <c r="EI84" s="375"/>
      <c r="EJ84" s="375"/>
      <c r="EK84" s="375"/>
      <c r="EL84" s="375"/>
      <c r="EM84" s="375"/>
      <c r="EN84" s="375"/>
      <c r="EO84" s="375"/>
      <c r="EP84" s="375"/>
      <c r="EQ84" s="375"/>
      <c r="ER84" s="375"/>
      <c r="ES84" s="375"/>
      <c r="ET84" s="375"/>
      <c r="EU84" s="375"/>
      <c r="EV84" s="375"/>
      <c r="EW84" s="375"/>
      <c r="EX84" s="375"/>
      <c r="EY84" s="375"/>
      <c r="EZ84" s="375"/>
      <c r="FA84" s="375"/>
      <c r="FB84" s="375"/>
      <c r="FC84" s="375"/>
      <c r="FD84" s="375"/>
      <c r="FE84" s="375"/>
      <c r="FF84" s="375"/>
      <c r="FG84" s="375"/>
      <c r="FH84" s="375"/>
      <c r="FI84" s="375"/>
      <c r="FJ84" s="375"/>
      <c r="FK84" s="375"/>
      <c r="FL84" s="375"/>
      <c r="FM84" s="375"/>
      <c r="FN84" s="375"/>
      <c r="FO84" s="375"/>
      <c r="FP84" s="375"/>
      <c r="FQ84" s="375"/>
      <c r="FR84" s="375"/>
      <c r="FS84" s="375"/>
      <c r="FT84" s="375"/>
      <c r="FU84" s="375"/>
      <c r="FV84" s="375"/>
      <c r="FW84" s="375"/>
      <c r="FX84" s="375"/>
      <c r="FY84" s="375"/>
      <c r="FZ84" s="375"/>
      <c r="GA84" s="375"/>
      <c r="GB84" s="375"/>
      <c r="GC84" s="375"/>
      <c r="GD84" s="375"/>
      <c r="GE84" s="375"/>
      <c r="GF84" s="375"/>
      <c r="GG84" s="375"/>
      <c r="GH84" s="375"/>
      <c r="GI84" s="375"/>
      <c r="GJ84" s="375"/>
      <c r="GK84" s="375"/>
      <c r="GL84" s="375"/>
      <c r="GM84" s="375"/>
      <c r="GN84" s="375"/>
      <c r="GO84" s="375"/>
      <c r="GP84" s="375"/>
      <c r="GQ84" s="375"/>
      <c r="GR84" s="375"/>
    </row>
    <row r="85" spans="1:200" s="61" customFormat="1" ht="15.75" customHeight="1" x14ac:dyDescent="0.3">
      <c r="A85" s="280"/>
      <c r="B85" s="281"/>
      <c r="C85" s="282">
        <v>1</v>
      </c>
      <c r="D85" s="282"/>
      <c r="E85" s="4">
        <v>69</v>
      </c>
      <c r="F85" s="281"/>
      <c r="G85" s="282">
        <v>1</v>
      </c>
      <c r="H85" s="282">
        <v>1</v>
      </c>
      <c r="I85" s="294"/>
      <c r="J85" s="295"/>
      <c r="K85" s="295"/>
      <c r="L85" s="296"/>
      <c r="M85" s="4">
        <v>66</v>
      </c>
      <c r="N85" s="62" t="s">
        <v>41</v>
      </c>
      <c r="O85" s="62" t="s">
        <v>450</v>
      </c>
      <c r="P85" s="62" t="s">
        <v>450</v>
      </c>
      <c r="Q85" s="60">
        <f t="shared" si="164"/>
        <v>0</v>
      </c>
      <c r="R85" s="60">
        <f t="shared" si="165"/>
        <v>0</v>
      </c>
      <c r="S85" s="60">
        <f t="shared" si="166"/>
        <v>0</v>
      </c>
      <c r="T85" s="60">
        <v>1</v>
      </c>
      <c r="U85" s="60">
        <v>2</v>
      </c>
      <c r="V85" s="64">
        <f t="shared" si="176"/>
        <v>4733.3999999999996</v>
      </c>
      <c r="W85" s="64"/>
      <c r="X85" s="65">
        <v>4733.3999999999996</v>
      </c>
      <c r="Y85" s="64"/>
      <c r="Z85" s="73"/>
      <c r="AA85" s="64">
        <f t="shared" si="177"/>
        <v>4733.3999999999996</v>
      </c>
      <c r="AB85" s="64"/>
      <c r="AC85" s="65">
        <v>4733.3999999999996</v>
      </c>
      <c r="AD85" s="64"/>
      <c r="AE85" s="73"/>
      <c r="AF85" s="64">
        <f t="shared" si="178"/>
        <v>4733.3999999999996</v>
      </c>
      <c r="AG85" s="64"/>
      <c r="AH85" s="65">
        <v>4733.3999999999996</v>
      </c>
      <c r="AI85" s="64"/>
      <c r="AJ85" s="73"/>
      <c r="AK85" s="64">
        <f t="shared" si="179"/>
        <v>2058</v>
      </c>
      <c r="AL85" s="64"/>
      <c r="AM85" s="65">
        <v>2058</v>
      </c>
      <c r="AN85" s="64"/>
      <c r="AO85" s="73"/>
      <c r="AP85" s="64" t="s">
        <v>432</v>
      </c>
      <c r="AQ85" s="64">
        <f t="shared" ref="AQ85:AQ93" si="199">AR85+AS85+AT85+AU85</f>
        <v>4733.3999999999996</v>
      </c>
      <c r="AR85" s="64"/>
      <c r="AS85" s="65">
        <f>1363.205+2425.669+944.526</f>
        <v>4733.3999999999996</v>
      </c>
      <c r="AT85" s="64"/>
      <c r="AU85" s="73"/>
      <c r="AV85" s="64">
        <f t="shared" si="152"/>
        <v>0</v>
      </c>
      <c r="AW85" s="64">
        <f t="shared" si="153"/>
        <v>0</v>
      </c>
      <c r="AX85" s="64">
        <f t="shared" si="154"/>
        <v>0</v>
      </c>
      <c r="AY85" s="64">
        <f t="shared" si="155"/>
        <v>0</v>
      </c>
      <c r="AZ85" s="64" t="e">
        <f>#REF!-AU85</f>
        <v>#REF!</v>
      </c>
      <c r="BA85" s="64">
        <f t="shared" si="180"/>
        <v>4733.3999999999996</v>
      </c>
      <c r="BB85" s="64"/>
      <c r="BC85" s="65">
        <f>1363.205+2425.669+944.526</f>
        <v>4733.3999999999996</v>
      </c>
      <c r="BD85" s="64"/>
      <c r="BE85" s="73"/>
      <c r="BF85" s="64">
        <f t="shared" si="181"/>
        <v>0</v>
      </c>
      <c r="BG85" s="64"/>
      <c r="BH85" s="64"/>
      <c r="BI85" s="64"/>
      <c r="BJ85" s="73"/>
      <c r="BK85" s="64">
        <f t="shared" si="182"/>
        <v>4733.3999999999996</v>
      </c>
      <c r="BL85" s="64"/>
      <c r="BM85" s="65">
        <f>1363.205+2425.669+944.526</f>
        <v>4733.3999999999996</v>
      </c>
      <c r="BN85" s="64"/>
      <c r="BO85" s="74"/>
      <c r="BP85" s="64">
        <f t="shared" si="183"/>
        <v>4733.3999999999996</v>
      </c>
      <c r="BQ85" s="64"/>
      <c r="BR85" s="64">
        <f>1363.205+1184.117+1241.552+944.526</f>
        <v>4733.3999999999996</v>
      </c>
      <c r="BS85" s="64"/>
      <c r="BT85" s="73"/>
      <c r="BU85" s="64">
        <f t="shared" si="184"/>
        <v>1685.54</v>
      </c>
      <c r="BV85" s="64"/>
      <c r="BW85" s="64">
        <f>454.402+394.706+413.851+422.581</f>
        <v>1685.54</v>
      </c>
      <c r="BX85" s="64"/>
      <c r="BY85" s="64"/>
      <c r="BZ85" s="60">
        <f t="shared" si="185"/>
        <v>6418.94</v>
      </c>
      <c r="CA85" s="64">
        <f t="shared" si="156"/>
        <v>6418.94</v>
      </c>
      <c r="CB85" s="64">
        <f t="shared" si="157"/>
        <v>0</v>
      </c>
      <c r="CC85" s="64">
        <f t="shared" si="158"/>
        <v>6418.94</v>
      </c>
      <c r="CD85" s="64">
        <f t="shared" si="159"/>
        <v>0</v>
      </c>
      <c r="CE85" s="64">
        <f t="shared" si="186"/>
        <v>0</v>
      </c>
      <c r="CF85" s="64">
        <f t="shared" si="160"/>
        <v>0</v>
      </c>
      <c r="CG85" s="64">
        <f t="shared" si="161"/>
        <v>0</v>
      </c>
      <c r="CH85" s="64">
        <f t="shared" si="162"/>
        <v>0</v>
      </c>
      <c r="CI85" s="64">
        <f t="shared" si="163"/>
        <v>0</v>
      </c>
      <c r="CJ85" s="64">
        <f t="shared" si="187"/>
        <v>0</v>
      </c>
      <c r="CK85" s="66"/>
      <c r="CL85" s="67"/>
      <c r="CM85" s="67"/>
      <c r="CN85" s="64">
        <f t="shared" si="188"/>
        <v>0</v>
      </c>
      <c r="CO85" s="64"/>
      <c r="CP85" s="64"/>
      <c r="CQ85" s="64"/>
      <c r="CR85" s="73"/>
      <c r="CS85" s="64">
        <f t="shared" si="189"/>
        <v>0</v>
      </c>
      <c r="CT85" s="64"/>
      <c r="CU85" s="64"/>
      <c r="CV85" s="64"/>
      <c r="CW85" s="73"/>
      <c r="CX85" s="64">
        <f t="shared" si="190"/>
        <v>0</v>
      </c>
      <c r="CY85" s="64">
        <f t="shared" si="191"/>
        <v>0</v>
      </c>
      <c r="CZ85" s="64">
        <f t="shared" si="191"/>
        <v>0</v>
      </c>
      <c r="DA85" s="64">
        <f t="shared" si="191"/>
        <v>0</v>
      </c>
      <c r="DB85" s="64">
        <f t="shared" si="191"/>
        <v>0</v>
      </c>
      <c r="DC85" s="64"/>
      <c r="DD85" s="64"/>
      <c r="DE85" s="64"/>
      <c r="DF85" s="64">
        <f t="shared" si="192"/>
        <v>0</v>
      </c>
      <c r="DH85" s="64">
        <f t="shared" si="193"/>
        <v>4733.3999999999996</v>
      </c>
      <c r="DI85" s="64">
        <f t="shared" si="194"/>
        <v>4733.3999999999996</v>
      </c>
      <c r="DK85" s="64"/>
      <c r="DL85" s="64"/>
      <c r="DN85" s="64"/>
      <c r="DQ85" s="64">
        <f t="shared" si="197"/>
        <v>4733.3999999999996</v>
      </c>
      <c r="DR85" s="64"/>
      <c r="DS85" s="64">
        <f>1363.205+1184.117+1241.552+944.526</f>
        <v>4733.3999999999996</v>
      </c>
      <c r="DT85" s="64"/>
      <c r="DU85" s="73"/>
      <c r="DV85" s="64">
        <f t="shared" si="198"/>
        <v>0</v>
      </c>
      <c r="DW85" s="64"/>
      <c r="DX85" s="64"/>
      <c r="DY85" s="64"/>
      <c r="DZ85" s="64"/>
      <c r="EA85" s="375"/>
      <c r="EB85" s="375"/>
      <c r="EC85" s="375"/>
      <c r="ED85" s="375"/>
      <c r="EE85" s="375"/>
      <c r="EF85" s="375"/>
      <c r="EG85" s="375"/>
      <c r="EH85" s="375"/>
      <c r="EI85" s="375"/>
      <c r="EJ85" s="375"/>
      <c r="EK85" s="375"/>
      <c r="EL85" s="375"/>
      <c r="EM85" s="375"/>
      <c r="EN85" s="375"/>
      <c r="EO85" s="375"/>
      <c r="EP85" s="375"/>
      <c r="EQ85" s="375"/>
      <c r="ER85" s="375"/>
      <c r="ES85" s="375"/>
      <c r="ET85" s="375"/>
      <c r="EU85" s="375"/>
      <c r="EV85" s="375"/>
      <c r="EW85" s="375"/>
      <c r="EX85" s="375"/>
      <c r="EY85" s="375"/>
      <c r="EZ85" s="375"/>
      <c r="FA85" s="375"/>
      <c r="FB85" s="375"/>
      <c r="FC85" s="375"/>
      <c r="FD85" s="375"/>
      <c r="FE85" s="375"/>
      <c r="FF85" s="375"/>
      <c r="FG85" s="375"/>
      <c r="FH85" s="375"/>
      <c r="FI85" s="375"/>
      <c r="FJ85" s="375"/>
      <c r="FK85" s="375"/>
      <c r="FL85" s="375"/>
      <c r="FM85" s="375"/>
      <c r="FN85" s="375"/>
      <c r="FO85" s="375"/>
      <c r="FP85" s="375"/>
      <c r="FQ85" s="375"/>
      <c r="FR85" s="375"/>
      <c r="FS85" s="375"/>
      <c r="FT85" s="375"/>
      <c r="FU85" s="375"/>
      <c r="FV85" s="375"/>
      <c r="FW85" s="375"/>
      <c r="FX85" s="375"/>
      <c r="FY85" s="375"/>
      <c r="FZ85" s="375"/>
      <c r="GA85" s="375"/>
      <c r="GB85" s="375"/>
      <c r="GC85" s="375"/>
      <c r="GD85" s="375"/>
      <c r="GE85" s="375"/>
      <c r="GF85" s="375"/>
      <c r="GG85" s="375"/>
      <c r="GH85" s="375"/>
      <c r="GI85" s="375"/>
      <c r="GJ85" s="375"/>
      <c r="GK85" s="375"/>
      <c r="GL85" s="375"/>
      <c r="GM85" s="375"/>
      <c r="GN85" s="375"/>
      <c r="GO85" s="375"/>
      <c r="GP85" s="375"/>
      <c r="GQ85" s="375"/>
      <c r="GR85" s="375"/>
    </row>
    <row r="86" spans="1:200" s="61" customFormat="1" ht="15.75" customHeight="1" x14ac:dyDescent="0.3">
      <c r="A86" s="280"/>
      <c r="B86" s="281"/>
      <c r="C86" s="282"/>
      <c r="D86" s="282">
        <v>1</v>
      </c>
      <c r="E86" s="4">
        <v>70</v>
      </c>
      <c r="F86" s="281"/>
      <c r="G86" s="282"/>
      <c r="H86" s="282"/>
      <c r="I86" s="482"/>
      <c r="J86" s="483"/>
      <c r="K86" s="483"/>
      <c r="L86" s="297"/>
      <c r="M86" s="4">
        <v>67</v>
      </c>
      <c r="N86" s="62" t="s">
        <v>96</v>
      </c>
      <c r="O86" s="62" t="s">
        <v>448</v>
      </c>
      <c r="P86" s="62" t="s">
        <v>450</v>
      </c>
      <c r="Q86" s="60">
        <f t="shared" si="164"/>
        <v>0</v>
      </c>
      <c r="R86" s="60">
        <f t="shared" si="165"/>
        <v>3.6231000000000222</v>
      </c>
      <c r="S86" s="60">
        <f t="shared" si="166"/>
        <v>0.93748999999979787</v>
      </c>
      <c r="T86" s="60">
        <v>1</v>
      </c>
      <c r="U86" s="60">
        <v>2</v>
      </c>
      <c r="V86" s="64">
        <f t="shared" si="176"/>
        <v>4824.8</v>
      </c>
      <c r="W86" s="64"/>
      <c r="X86" s="64">
        <v>1324.8</v>
      </c>
      <c r="Y86" s="64">
        <v>3500</v>
      </c>
      <c r="Z86" s="78"/>
      <c r="AA86" s="64">
        <f t="shared" si="177"/>
        <v>4824.8</v>
      </c>
      <c r="AB86" s="64"/>
      <c r="AC86" s="64">
        <v>1324.8</v>
      </c>
      <c r="AD86" s="64">
        <v>3500</v>
      </c>
      <c r="AE86" s="78"/>
      <c r="AF86" s="64">
        <f t="shared" si="178"/>
        <v>1324.8</v>
      </c>
      <c r="AG86" s="64"/>
      <c r="AH86" s="64">
        <v>1324.8</v>
      </c>
      <c r="AI86" s="64"/>
      <c r="AJ86" s="78"/>
      <c r="AK86" s="64">
        <f t="shared" si="179"/>
        <v>576</v>
      </c>
      <c r="AL86" s="64"/>
      <c r="AM86" s="64">
        <v>576</v>
      </c>
      <c r="AN86" s="64"/>
      <c r="AP86" s="60" t="s">
        <v>507</v>
      </c>
      <c r="AQ86" s="64">
        <f t="shared" si="199"/>
        <v>4824.8</v>
      </c>
      <c r="AR86" s="64"/>
      <c r="AS86" s="64">
        <v>1324.8</v>
      </c>
      <c r="AT86" s="64">
        <v>3500</v>
      </c>
      <c r="AU86" s="64"/>
      <c r="AV86" s="64">
        <f t="shared" si="152"/>
        <v>0</v>
      </c>
      <c r="AW86" s="64">
        <f t="shared" si="153"/>
        <v>0</v>
      </c>
      <c r="AX86" s="64">
        <f t="shared" si="154"/>
        <v>0</v>
      </c>
      <c r="AY86" s="64">
        <f t="shared" si="155"/>
        <v>0</v>
      </c>
      <c r="AZ86" s="64" t="e">
        <f>#REF!-AU86</f>
        <v>#REF!</v>
      </c>
      <c r="BA86" s="64">
        <f t="shared" si="180"/>
        <v>4824.8</v>
      </c>
      <c r="BB86" s="64"/>
      <c r="BC86" s="64">
        <v>1324.8</v>
      </c>
      <c r="BD86" s="64">
        <v>3500</v>
      </c>
      <c r="BE86" s="64"/>
      <c r="BF86" s="64">
        <f t="shared" si="181"/>
        <v>0</v>
      </c>
      <c r="BG86" s="64"/>
      <c r="BH86" s="64"/>
      <c r="BI86" s="64"/>
      <c r="BJ86" s="64"/>
      <c r="BK86" s="64">
        <f t="shared" si="182"/>
        <v>4824.8</v>
      </c>
      <c r="BL86" s="64"/>
      <c r="BM86" s="64">
        <v>1324.8</v>
      </c>
      <c r="BN86" s="64">
        <v>3500</v>
      </c>
      <c r="BO86" s="64"/>
      <c r="BP86" s="64">
        <f t="shared" si="183"/>
        <v>4820.2394100000001</v>
      </c>
      <c r="BQ86" s="64"/>
      <c r="BR86" s="64">
        <v>1321.1768999999999</v>
      </c>
      <c r="BS86" s="64">
        <v>3499.0625100000002</v>
      </c>
      <c r="BT86" s="64"/>
      <c r="BU86" s="64">
        <f t="shared" si="184"/>
        <v>1606.74647</v>
      </c>
      <c r="BV86" s="64"/>
      <c r="BW86" s="64">
        <v>440.39229999999998</v>
      </c>
      <c r="BX86" s="64">
        <v>1166.3541700000001</v>
      </c>
      <c r="BY86" s="64"/>
      <c r="BZ86" s="60">
        <f t="shared" si="185"/>
        <v>6426.9858800000002</v>
      </c>
      <c r="CA86" s="64">
        <f t="shared" si="156"/>
        <v>6426.9858800000002</v>
      </c>
      <c r="CB86" s="64">
        <f t="shared" si="157"/>
        <v>0</v>
      </c>
      <c r="CC86" s="64">
        <f t="shared" si="158"/>
        <v>1761.5691999999999</v>
      </c>
      <c r="CD86" s="64">
        <f t="shared" si="159"/>
        <v>4665.4166800000003</v>
      </c>
      <c r="CE86" s="64">
        <f t="shared" si="186"/>
        <v>0</v>
      </c>
      <c r="CF86" s="64">
        <f t="shared" si="160"/>
        <v>4.5605899999998201</v>
      </c>
      <c r="CG86" s="64">
        <f t="shared" si="161"/>
        <v>0</v>
      </c>
      <c r="CH86" s="64">
        <f t="shared" si="162"/>
        <v>3.6231000000000222</v>
      </c>
      <c r="CI86" s="64">
        <f t="shared" si="163"/>
        <v>0.93748999999979787</v>
      </c>
      <c r="CJ86" s="64">
        <f t="shared" si="187"/>
        <v>0</v>
      </c>
      <c r="CK86" s="66"/>
      <c r="CL86" s="67"/>
      <c r="CM86" s="67"/>
      <c r="CN86" s="64">
        <f t="shared" si="188"/>
        <v>0</v>
      </c>
      <c r="CO86" s="64"/>
      <c r="CP86" s="64"/>
      <c r="CQ86" s="64"/>
      <c r="CR86" s="64"/>
      <c r="CS86" s="64">
        <f t="shared" si="189"/>
        <v>0</v>
      </c>
      <c r="CT86" s="64"/>
      <c r="CU86" s="64"/>
      <c r="CV86" s="64"/>
      <c r="CW86" s="64"/>
      <c r="CX86" s="64">
        <f t="shared" si="190"/>
        <v>0</v>
      </c>
      <c r="CY86" s="64">
        <f t="shared" si="191"/>
        <v>0</v>
      </c>
      <c r="CZ86" s="64">
        <f t="shared" si="191"/>
        <v>0</v>
      </c>
      <c r="DA86" s="64">
        <f t="shared" si="191"/>
        <v>0</v>
      </c>
      <c r="DB86" s="64">
        <f t="shared" si="191"/>
        <v>0</v>
      </c>
      <c r="DC86" s="64"/>
      <c r="DD86" s="64"/>
      <c r="DE86" s="64"/>
      <c r="DF86" s="64">
        <f t="shared" si="192"/>
        <v>4.5605899999998201</v>
      </c>
      <c r="DH86" s="64">
        <f t="shared" si="193"/>
        <v>4824.8</v>
      </c>
      <c r="DI86" s="64">
        <f t="shared" si="194"/>
        <v>4820.2394100000001</v>
      </c>
      <c r="DK86" s="64"/>
      <c r="DL86" s="64"/>
      <c r="DN86" s="64"/>
      <c r="DQ86" s="64">
        <f t="shared" si="197"/>
        <v>1321.1768999999999</v>
      </c>
      <c r="DR86" s="64"/>
      <c r="DS86" s="64">
        <v>1321.1768999999999</v>
      </c>
      <c r="DT86" s="64"/>
      <c r="DU86" s="64"/>
      <c r="DV86" s="64">
        <f t="shared" si="198"/>
        <v>0</v>
      </c>
      <c r="DW86" s="64"/>
      <c r="DX86" s="64"/>
      <c r="DY86" s="64"/>
      <c r="DZ86" s="64"/>
      <c r="EA86" s="375"/>
      <c r="EB86" s="375"/>
      <c r="EC86" s="375"/>
      <c r="ED86" s="375"/>
      <c r="EE86" s="375"/>
      <c r="EF86" s="375"/>
      <c r="EG86" s="375"/>
      <c r="EH86" s="375"/>
      <c r="EI86" s="375"/>
      <c r="EJ86" s="375"/>
      <c r="EK86" s="375"/>
      <c r="EL86" s="375"/>
      <c r="EM86" s="375"/>
      <c r="EN86" s="375"/>
      <c r="EO86" s="375"/>
      <c r="EP86" s="375"/>
      <c r="EQ86" s="375"/>
      <c r="ER86" s="375"/>
      <c r="ES86" s="375"/>
      <c r="ET86" s="375"/>
      <c r="EU86" s="375"/>
      <c r="EV86" s="375"/>
      <c r="EW86" s="375"/>
      <c r="EX86" s="375"/>
      <c r="EY86" s="375"/>
      <c r="EZ86" s="375"/>
      <c r="FA86" s="375"/>
      <c r="FB86" s="375"/>
      <c r="FC86" s="375"/>
      <c r="FD86" s="375"/>
      <c r="FE86" s="375"/>
      <c r="FF86" s="375"/>
      <c r="FG86" s="375"/>
      <c r="FH86" s="375"/>
      <c r="FI86" s="375"/>
      <c r="FJ86" s="375"/>
      <c r="FK86" s="375"/>
      <c r="FL86" s="375"/>
      <c r="FM86" s="375"/>
      <c r="FN86" s="375"/>
      <c r="FO86" s="375"/>
      <c r="FP86" s="375"/>
      <c r="FQ86" s="375"/>
      <c r="FR86" s="375"/>
      <c r="FS86" s="375"/>
      <c r="FT86" s="375"/>
      <c r="FU86" s="375"/>
      <c r="FV86" s="375"/>
      <c r="FW86" s="375"/>
      <c r="FX86" s="375"/>
      <c r="FY86" s="375"/>
      <c r="FZ86" s="375"/>
      <c r="GA86" s="375"/>
      <c r="GB86" s="375"/>
      <c r="GC86" s="375"/>
      <c r="GD86" s="375"/>
      <c r="GE86" s="375"/>
      <c r="GF86" s="375"/>
      <c r="GG86" s="375"/>
      <c r="GH86" s="375"/>
      <c r="GI86" s="375"/>
      <c r="GJ86" s="375"/>
      <c r="GK86" s="375"/>
      <c r="GL86" s="375"/>
      <c r="GM86" s="375"/>
      <c r="GN86" s="375"/>
      <c r="GO86" s="375"/>
      <c r="GP86" s="375"/>
      <c r="GQ86" s="375"/>
      <c r="GR86" s="375"/>
    </row>
    <row r="87" spans="1:200" s="61" customFormat="1" ht="15.75" customHeight="1" x14ac:dyDescent="0.3">
      <c r="A87" s="280"/>
      <c r="B87" s="281"/>
      <c r="C87" s="282"/>
      <c r="D87" s="282">
        <v>1</v>
      </c>
      <c r="E87" s="4">
        <v>71</v>
      </c>
      <c r="F87" s="281"/>
      <c r="G87" s="282"/>
      <c r="H87" s="282">
        <v>1</v>
      </c>
      <c r="I87" s="280"/>
      <c r="J87" s="280"/>
      <c r="K87" s="280"/>
      <c r="L87" s="280"/>
      <c r="M87" s="4">
        <v>68</v>
      </c>
      <c r="N87" s="62" t="s">
        <v>97</v>
      </c>
      <c r="O87" s="62" t="s">
        <v>448</v>
      </c>
      <c r="P87" s="62" t="s">
        <v>448</v>
      </c>
      <c r="Q87" s="60">
        <f t="shared" si="164"/>
        <v>0</v>
      </c>
      <c r="R87" s="60">
        <f t="shared" si="165"/>
        <v>0</v>
      </c>
      <c r="S87" s="60">
        <f t="shared" si="166"/>
        <v>0</v>
      </c>
      <c r="T87" s="60">
        <v>1</v>
      </c>
      <c r="U87" s="60">
        <v>1</v>
      </c>
      <c r="V87" s="64">
        <f t="shared" si="176"/>
        <v>1750.3</v>
      </c>
      <c r="W87" s="64"/>
      <c r="X87" s="65">
        <v>1750.3</v>
      </c>
      <c r="Y87" s="64"/>
      <c r="Z87" s="73"/>
      <c r="AA87" s="64">
        <f t="shared" si="177"/>
        <v>1750.3</v>
      </c>
      <c r="AB87" s="64"/>
      <c r="AC87" s="65">
        <v>1750.3</v>
      </c>
      <c r="AD87" s="64"/>
      <c r="AE87" s="73"/>
      <c r="AF87" s="64">
        <f t="shared" si="178"/>
        <v>1750.3</v>
      </c>
      <c r="AG87" s="64"/>
      <c r="AH87" s="65">
        <v>1750.3</v>
      </c>
      <c r="AI87" s="64"/>
      <c r="AJ87" s="73"/>
      <c r="AK87" s="64">
        <f t="shared" si="179"/>
        <v>761</v>
      </c>
      <c r="AL87" s="64"/>
      <c r="AM87" s="65">
        <v>761</v>
      </c>
      <c r="AN87" s="64"/>
      <c r="AO87" s="73"/>
      <c r="AP87" s="64" t="s">
        <v>431</v>
      </c>
      <c r="AQ87" s="64">
        <f t="shared" si="199"/>
        <v>1750.3</v>
      </c>
      <c r="AR87" s="64"/>
      <c r="AS87" s="65">
        <f>761+989.3</f>
        <v>1750.3</v>
      </c>
      <c r="AT87" s="64"/>
      <c r="AU87" s="64"/>
      <c r="AV87" s="64">
        <f t="shared" si="152"/>
        <v>0</v>
      </c>
      <c r="AW87" s="64">
        <f t="shared" si="153"/>
        <v>0</v>
      </c>
      <c r="AX87" s="64">
        <f t="shared" si="154"/>
        <v>0</v>
      </c>
      <c r="AY87" s="64">
        <f t="shared" si="155"/>
        <v>0</v>
      </c>
      <c r="AZ87" s="64" t="e">
        <f>#REF!-AU87</f>
        <v>#REF!</v>
      </c>
      <c r="BA87" s="64">
        <f t="shared" si="180"/>
        <v>1750.3</v>
      </c>
      <c r="BB87" s="64"/>
      <c r="BC87" s="65">
        <f>761+989.3</f>
        <v>1750.3</v>
      </c>
      <c r="BD87" s="64"/>
      <c r="BE87" s="64"/>
      <c r="BF87" s="64">
        <f t="shared" si="181"/>
        <v>0</v>
      </c>
      <c r="BG87" s="64"/>
      <c r="BH87" s="65"/>
      <c r="BI87" s="64"/>
      <c r="BJ87" s="64"/>
      <c r="BK87" s="64">
        <f t="shared" si="182"/>
        <v>1750.3</v>
      </c>
      <c r="BL87" s="64"/>
      <c r="BM87" s="65">
        <f>761+989.3</f>
        <v>1750.3</v>
      </c>
      <c r="BN87" s="64"/>
      <c r="BO87" s="64"/>
      <c r="BP87" s="64">
        <f t="shared" si="183"/>
        <v>1750.3</v>
      </c>
      <c r="BQ87" s="64"/>
      <c r="BR87" s="74">
        <f>989.3+761</f>
        <v>1750.3</v>
      </c>
      <c r="BS87" s="64"/>
      <c r="BT87" s="64"/>
      <c r="BU87" s="64">
        <f t="shared" si="184"/>
        <v>4679.2743599999994</v>
      </c>
      <c r="BV87" s="64"/>
      <c r="BW87" s="64">
        <f>4329.0188+350.25556</f>
        <v>4679.2743599999994</v>
      </c>
      <c r="BX87" s="64"/>
      <c r="BY87" s="64"/>
      <c r="BZ87" s="60">
        <f t="shared" si="185"/>
        <v>6429.5743599999996</v>
      </c>
      <c r="CA87" s="64">
        <f t="shared" si="156"/>
        <v>6429.5743599999996</v>
      </c>
      <c r="CB87" s="64">
        <f t="shared" si="157"/>
        <v>0</v>
      </c>
      <c r="CC87" s="64">
        <f t="shared" si="158"/>
        <v>6429.5743599999996</v>
      </c>
      <c r="CD87" s="64">
        <f t="shared" si="159"/>
        <v>0</v>
      </c>
      <c r="CE87" s="64">
        <f t="shared" si="186"/>
        <v>0</v>
      </c>
      <c r="CF87" s="64">
        <f t="shared" si="160"/>
        <v>0</v>
      </c>
      <c r="CG87" s="64">
        <f t="shared" si="161"/>
        <v>0</v>
      </c>
      <c r="CH87" s="64">
        <f t="shared" si="162"/>
        <v>0</v>
      </c>
      <c r="CI87" s="64">
        <f t="shared" si="163"/>
        <v>0</v>
      </c>
      <c r="CJ87" s="64">
        <f t="shared" si="187"/>
        <v>0</v>
      </c>
      <c r="CK87" s="66"/>
      <c r="CL87" s="67"/>
      <c r="CM87" s="67"/>
      <c r="CN87" s="64">
        <f t="shared" si="188"/>
        <v>0</v>
      </c>
      <c r="CO87" s="64"/>
      <c r="CP87" s="65"/>
      <c r="CQ87" s="64"/>
      <c r="CR87" s="64"/>
      <c r="CS87" s="64">
        <f t="shared" si="189"/>
        <v>0</v>
      </c>
      <c r="CT87" s="64"/>
      <c r="CU87" s="65"/>
      <c r="CV87" s="64"/>
      <c r="CW87" s="64"/>
      <c r="CX87" s="64">
        <f t="shared" si="190"/>
        <v>0</v>
      </c>
      <c r="CY87" s="64">
        <f t="shared" si="191"/>
        <v>0</v>
      </c>
      <c r="CZ87" s="64">
        <f t="shared" si="191"/>
        <v>0</v>
      </c>
      <c r="DA87" s="64">
        <f t="shared" si="191"/>
        <v>0</v>
      </c>
      <c r="DB87" s="64">
        <f t="shared" si="191"/>
        <v>0</v>
      </c>
      <c r="DC87" s="64"/>
      <c r="DD87" s="64"/>
      <c r="DE87" s="64"/>
      <c r="DF87" s="64">
        <f t="shared" si="192"/>
        <v>0</v>
      </c>
      <c r="DH87" s="64">
        <f t="shared" si="193"/>
        <v>1750.3</v>
      </c>
      <c r="DI87" s="64">
        <f t="shared" si="194"/>
        <v>1750.3</v>
      </c>
      <c r="DK87" s="64"/>
      <c r="DL87" s="64"/>
      <c r="DN87" s="64"/>
      <c r="DQ87" s="64">
        <f t="shared" si="197"/>
        <v>1750.3</v>
      </c>
      <c r="DR87" s="64"/>
      <c r="DS87" s="74">
        <f>989.3+761</f>
        <v>1750.3</v>
      </c>
      <c r="DT87" s="64"/>
      <c r="DU87" s="64"/>
      <c r="DV87" s="64">
        <f t="shared" si="198"/>
        <v>0</v>
      </c>
      <c r="DW87" s="64"/>
      <c r="DX87" s="64"/>
      <c r="DY87" s="64"/>
      <c r="DZ87" s="64"/>
      <c r="EA87" s="375"/>
      <c r="EB87" s="375"/>
      <c r="EC87" s="375"/>
      <c r="ED87" s="375"/>
      <c r="EE87" s="375"/>
      <c r="EF87" s="375"/>
      <c r="EG87" s="375"/>
      <c r="EH87" s="375"/>
      <c r="EI87" s="375"/>
      <c r="EJ87" s="375"/>
      <c r="EK87" s="375"/>
      <c r="EL87" s="375"/>
      <c r="EM87" s="375"/>
      <c r="EN87" s="375"/>
      <c r="EO87" s="375"/>
      <c r="EP87" s="375"/>
      <c r="EQ87" s="375"/>
      <c r="ER87" s="375"/>
      <c r="ES87" s="375"/>
      <c r="ET87" s="375"/>
      <c r="EU87" s="375"/>
      <c r="EV87" s="375"/>
      <c r="EW87" s="375"/>
      <c r="EX87" s="375"/>
      <c r="EY87" s="375"/>
      <c r="EZ87" s="375"/>
      <c r="FA87" s="375"/>
      <c r="FB87" s="375"/>
      <c r="FC87" s="375"/>
      <c r="FD87" s="375"/>
      <c r="FE87" s="375"/>
      <c r="FF87" s="375"/>
      <c r="FG87" s="375"/>
      <c r="FH87" s="375"/>
      <c r="FI87" s="375"/>
      <c r="FJ87" s="375"/>
      <c r="FK87" s="375"/>
      <c r="FL87" s="375"/>
      <c r="FM87" s="375"/>
      <c r="FN87" s="375"/>
      <c r="FO87" s="375"/>
      <c r="FP87" s="375"/>
      <c r="FQ87" s="375"/>
      <c r="FR87" s="375"/>
      <c r="FS87" s="375"/>
      <c r="FT87" s="375"/>
      <c r="FU87" s="375"/>
      <c r="FV87" s="375"/>
      <c r="FW87" s="375"/>
      <c r="FX87" s="375"/>
      <c r="FY87" s="375"/>
      <c r="FZ87" s="375"/>
      <c r="GA87" s="375"/>
      <c r="GB87" s="375"/>
      <c r="GC87" s="375"/>
      <c r="GD87" s="375"/>
      <c r="GE87" s="375"/>
      <c r="GF87" s="375"/>
      <c r="GG87" s="375"/>
      <c r="GH87" s="375"/>
      <c r="GI87" s="375"/>
      <c r="GJ87" s="375"/>
      <c r="GK87" s="375"/>
      <c r="GL87" s="375"/>
      <c r="GM87" s="375"/>
      <c r="GN87" s="375"/>
      <c r="GO87" s="375"/>
      <c r="GP87" s="375"/>
      <c r="GQ87" s="375"/>
      <c r="GR87" s="375"/>
    </row>
    <row r="88" spans="1:200" s="61" customFormat="1" ht="15.75" customHeight="1" x14ac:dyDescent="0.3">
      <c r="A88" s="280"/>
      <c r="B88" s="281"/>
      <c r="C88" s="282"/>
      <c r="D88" s="282">
        <v>1</v>
      </c>
      <c r="E88" s="4">
        <v>72</v>
      </c>
      <c r="F88" s="281"/>
      <c r="G88" s="282"/>
      <c r="H88" s="282">
        <v>1</v>
      </c>
      <c r="I88" s="280"/>
      <c r="J88" s="280"/>
      <c r="K88" s="280"/>
      <c r="L88" s="280"/>
      <c r="M88" s="4">
        <v>69</v>
      </c>
      <c r="N88" s="62" t="s">
        <v>98</v>
      </c>
      <c r="O88" s="62" t="s">
        <v>450</v>
      </c>
      <c r="P88" s="62" t="s">
        <v>450</v>
      </c>
      <c r="Q88" s="60">
        <f t="shared" si="164"/>
        <v>0</v>
      </c>
      <c r="R88" s="60">
        <f t="shared" si="165"/>
        <v>0</v>
      </c>
      <c r="S88" s="60">
        <f t="shared" si="166"/>
        <v>0</v>
      </c>
      <c r="T88" s="60">
        <v>1</v>
      </c>
      <c r="U88" s="60">
        <v>2</v>
      </c>
      <c r="V88" s="64">
        <f t="shared" si="176"/>
        <v>2403.5</v>
      </c>
      <c r="W88" s="64"/>
      <c r="X88" s="65">
        <v>2403.5</v>
      </c>
      <c r="Y88" s="64"/>
      <c r="Z88" s="73"/>
      <c r="AA88" s="64">
        <f t="shared" si="177"/>
        <v>2403.5</v>
      </c>
      <c r="AB88" s="64"/>
      <c r="AC88" s="65">
        <v>2403.5</v>
      </c>
      <c r="AD88" s="64"/>
      <c r="AE88" s="73"/>
      <c r="AF88" s="64">
        <f t="shared" si="178"/>
        <v>2403.5</v>
      </c>
      <c r="AG88" s="64"/>
      <c r="AH88" s="65">
        <v>2403.5</v>
      </c>
      <c r="AI88" s="64"/>
      <c r="AJ88" s="73"/>
      <c r="AK88" s="64">
        <f t="shared" si="179"/>
        <v>1045</v>
      </c>
      <c r="AL88" s="64"/>
      <c r="AM88" s="65">
        <v>1045</v>
      </c>
      <c r="AN88" s="64"/>
      <c r="AO88" s="73"/>
      <c r="AP88" s="64" t="s">
        <v>466</v>
      </c>
      <c r="AQ88" s="64">
        <f t="shared" si="199"/>
        <v>2403.5</v>
      </c>
      <c r="AR88" s="64"/>
      <c r="AS88" s="65">
        <f>1045+1358.5</f>
        <v>2403.5</v>
      </c>
      <c r="AT88" s="64"/>
      <c r="AU88" s="73"/>
      <c r="AV88" s="64">
        <f t="shared" si="152"/>
        <v>0</v>
      </c>
      <c r="AW88" s="64">
        <f t="shared" si="153"/>
        <v>0</v>
      </c>
      <c r="AX88" s="64">
        <f t="shared" si="154"/>
        <v>0</v>
      </c>
      <c r="AY88" s="64">
        <f t="shared" si="155"/>
        <v>0</v>
      </c>
      <c r="AZ88" s="64" t="e">
        <f>#REF!-AU88</f>
        <v>#REF!</v>
      </c>
      <c r="BA88" s="64">
        <f t="shared" si="180"/>
        <v>2403.5</v>
      </c>
      <c r="BB88" s="64"/>
      <c r="BC88" s="65">
        <f>1045+1358.5</f>
        <v>2403.5</v>
      </c>
      <c r="BD88" s="64"/>
      <c r="BE88" s="73"/>
      <c r="BF88" s="64">
        <f t="shared" si="181"/>
        <v>0</v>
      </c>
      <c r="BG88" s="64"/>
      <c r="BH88" s="65"/>
      <c r="BI88" s="64"/>
      <c r="BJ88" s="73"/>
      <c r="BK88" s="64">
        <f t="shared" si="182"/>
        <v>2403.5</v>
      </c>
      <c r="BL88" s="64"/>
      <c r="BM88" s="65">
        <f>1045+1358.5</f>
        <v>2403.5</v>
      </c>
      <c r="BN88" s="64"/>
      <c r="BO88" s="74"/>
      <c r="BP88" s="64">
        <f t="shared" si="183"/>
        <v>2403.5</v>
      </c>
      <c r="BQ88" s="64"/>
      <c r="BR88" s="74">
        <v>2403.5</v>
      </c>
      <c r="BS88" s="64"/>
      <c r="BT88" s="73"/>
      <c r="BU88" s="64">
        <f t="shared" si="184"/>
        <v>3389.6984299999999</v>
      </c>
      <c r="BV88" s="64"/>
      <c r="BW88" s="64">
        <v>3389.6984299999999</v>
      </c>
      <c r="BX88" s="64"/>
      <c r="BY88" s="64"/>
      <c r="BZ88" s="60">
        <f t="shared" si="185"/>
        <v>5793.1984300000004</v>
      </c>
      <c r="CA88" s="64">
        <f t="shared" si="156"/>
        <v>5793.1984300000004</v>
      </c>
      <c r="CB88" s="64">
        <f t="shared" si="157"/>
        <v>0</v>
      </c>
      <c r="CC88" s="64">
        <f t="shared" si="158"/>
        <v>5793.1984300000004</v>
      </c>
      <c r="CD88" s="64">
        <f t="shared" si="159"/>
        <v>0</v>
      </c>
      <c r="CE88" s="64">
        <f t="shared" si="186"/>
        <v>0</v>
      </c>
      <c r="CF88" s="64">
        <f t="shared" si="160"/>
        <v>0</v>
      </c>
      <c r="CG88" s="64">
        <f t="shared" si="161"/>
        <v>0</v>
      </c>
      <c r="CH88" s="64">
        <f t="shared" si="162"/>
        <v>0</v>
      </c>
      <c r="CI88" s="64">
        <f t="shared" si="163"/>
        <v>0</v>
      </c>
      <c r="CJ88" s="64">
        <f t="shared" si="187"/>
        <v>0</v>
      </c>
      <c r="CK88" s="66"/>
      <c r="CL88" s="67"/>
      <c r="CM88" s="67"/>
      <c r="CN88" s="64">
        <f t="shared" si="188"/>
        <v>0</v>
      </c>
      <c r="CO88" s="64"/>
      <c r="CP88" s="65"/>
      <c r="CQ88" s="64"/>
      <c r="CR88" s="73"/>
      <c r="CS88" s="64">
        <f t="shared" si="189"/>
        <v>0</v>
      </c>
      <c r="CT88" s="64"/>
      <c r="CU88" s="65"/>
      <c r="CV88" s="64"/>
      <c r="CW88" s="73"/>
      <c r="CX88" s="64">
        <f t="shared" si="190"/>
        <v>0</v>
      </c>
      <c r="CY88" s="64">
        <f t="shared" si="191"/>
        <v>0</v>
      </c>
      <c r="CZ88" s="64">
        <f t="shared" si="191"/>
        <v>0</v>
      </c>
      <c r="DA88" s="64">
        <f t="shared" si="191"/>
        <v>0</v>
      </c>
      <c r="DB88" s="64">
        <f t="shared" si="191"/>
        <v>0</v>
      </c>
      <c r="DC88" s="64"/>
      <c r="DD88" s="64"/>
      <c r="DE88" s="64"/>
      <c r="DF88" s="64">
        <f t="shared" si="192"/>
        <v>0</v>
      </c>
      <c r="DH88" s="64">
        <f t="shared" si="193"/>
        <v>2403.5</v>
      </c>
      <c r="DI88" s="64">
        <f t="shared" si="194"/>
        <v>2403.5</v>
      </c>
      <c r="DK88" s="64"/>
      <c r="DL88" s="64"/>
      <c r="DN88" s="64"/>
      <c r="DQ88" s="64">
        <f t="shared" si="197"/>
        <v>2403.5</v>
      </c>
      <c r="DR88" s="64"/>
      <c r="DS88" s="74">
        <v>2403.5</v>
      </c>
      <c r="DT88" s="64"/>
      <c r="DU88" s="73"/>
      <c r="DV88" s="64">
        <f t="shared" si="198"/>
        <v>3389.6984299999999</v>
      </c>
      <c r="DW88" s="64"/>
      <c r="DX88" s="64">
        <v>3389.6984299999999</v>
      </c>
      <c r="DY88" s="64"/>
      <c r="DZ88" s="64"/>
      <c r="EA88" s="375"/>
      <c r="EB88" s="375"/>
      <c r="EC88" s="375"/>
      <c r="ED88" s="375"/>
      <c r="EE88" s="375"/>
      <c r="EF88" s="375"/>
      <c r="EG88" s="375"/>
      <c r="EH88" s="375"/>
      <c r="EI88" s="375"/>
      <c r="EJ88" s="375"/>
      <c r="EK88" s="375"/>
      <c r="EL88" s="375"/>
      <c r="EM88" s="375"/>
      <c r="EN88" s="375"/>
      <c r="EO88" s="375"/>
      <c r="EP88" s="375"/>
      <c r="EQ88" s="375"/>
      <c r="ER88" s="375"/>
      <c r="ES88" s="375"/>
      <c r="ET88" s="375"/>
      <c r="EU88" s="375"/>
      <c r="EV88" s="375"/>
      <c r="EW88" s="375"/>
      <c r="EX88" s="375"/>
      <c r="EY88" s="375"/>
      <c r="EZ88" s="375"/>
      <c r="FA88" s="375"/>
      <c r="FB88" s="375"/>
      <c r="FC88" s="375"/>
      <c r="FD88" s="375"/>
      <c r="FE88" s="375"/>
      <c r="FF88" s="375"/>
      <c r="FG88" s="375"/>
      <c r="FH88" s="375"/>
      <c r="FI88" s="375"/>
      <c r="FJ88" s="375"/>
      <c r="FK88" s="375"/>
      <c r="FL88" s="375"/>
      <c r="FM88" s="375"/>
      <c r="FN88" s="375"/>
      <c r="FO88" s="375"/>
      <c r="FP88" s="375"/>
      <c r="FQ88" s="375"/>
      <c r="FR88" s="375"/>
      <c r="FS88" s="375"/>
      <c r="FT88" s="375"/>
      <c r="FU88" s="375"/>
      <c r="FV88" s="375"/>
      <c r="FW88" s="375"/>
      <c r="FX88" s="375"/>
      <c r="FY88" s="375"/>
      <c r="FZ88" s="375"/>
      <c r="GA88" s="375"/>
      <c r="GB88" s="375"/>
      <c r="GC88" s="375"/>
      <c r="GD88" s="375"/>
      <c r="GE88" s="375"/>
      <c r="GF88" s="375"/>
      <c r="GG88" s="375"/>
      <c r="GH88" s="375"/>
      <c r="GI88" s="375"/>
      <c r="GJ88" s="375"/>
      <c r="GK88" s="375"/>
      <c r="GL88" s="375"/>
      <c r="GM88" s="375"/>
      <c r="GN88" s="375"/>
      <c r="GO88" s="375"/>
      <c r="GP88" s="375"/>
      <c r="GQ88" s="375"/>
      <c r="GR88" s="375"/>
    </row>
    <row r="89" spans="1:200" s="61" customFormat="1" ht="15.75" customHeight="1" x14ac:dyDescent="0.25">
      <c r="A89" s="280"/>
      <c r="B89" s="281"/>
      <c r="C89" s="282">
        <v>1</v>
      </c>
      <c r="D89" s="282"/>
      <c r="E89" s="4">
        <v>73</v>
      </c>
      <c r="F89" s="281"/>
      <c r="G89" s="282">
        <v>1</v>
      </c>
      <c r="H89" s="282"/>
      <c r="I89" s="280"/>
      <c r="J89" s="280"/>
      <c r="K89" s="280"/>
      <c r="L89" s="280"/>
      <c r="M89" s="4">
        <v>70</v>
      </c>
      <c r="N89" s="62" t="s">
        <v>42</v>
      </c>
      <c r="O89" s="62" t="s">
        <v>448</v>
      </c>
      <c r="P89" s="62" t="s">
        <v>450</v>
      </c>
      <c r="Q89" s="60">
        <f t="shared" si="164"/>
        <v>0</v>
      </c>
      <c r="R89" s="60">
        <f t="shared" si="165"/>
        <v>0</v>
      </c>
      <c r="S89" s="60">
        <f t="shared" si="166"/>
        <v>0</v>
      </c>
      <c r="T89" s="60">
        <v>1</v>
      </c>
      <c r="U89" s="60">
        <v>2</v>
      </c>
      <c r="V89" s="64">
        <f t="shared" si="176"/>
        <v>8124.8</v>
      </c>
      <c r="W89" s="64"/>
      <c r="X89" s="64">
        <v>2288.5</v>
      </c>
      <c r="Y89" s="64">
        <v>5836.3</v>
      </c>
      <c r="Z89" s="78"/>
      <c r="AA89" s="64">
        <f t="shared" si="177"/>
        <v>8124.8</v>
      </c>
      <c r="AB89" s="64"/>
      <c r="AC89" s="64">
        <v>2288.5</v>
      </c>
      <c r="AD89" s="64">
        <v>5836.3</v>
      </c>
      <c r="AE89" s="78"/>
      <c r="AF89" s="64">
        <f t="shared" si="178"/>
        <v>4488.5</v>
      </c>
      <c r="AG89" s="64"/>
      <c r="AH89" s="64">
        <v>2288.5</v>
      </c>
      <c r="AI89" s="64">
        <v>2200</v>
      </c>
      <c r="AJ89" s="78"/>
      <c r="AK89" s="64">
        <f t="shared" si="179"/>
        <v>3195</v>
      </c>
      <c r="AL89" s="64"/>
      <c r="AM89" s="64">
        <v>995</v>
      </c>
      <c r="AN89" s="64">
        <v>2200</v>
      </c>
      <c r="AP89" s="60" t="s">
        <v>418</v>
      </c>
      <c r="AQ89" s="64">
        <f t="shared" si="199"/>
        <v>8124.8</v>
      </c>
      <c r="AR89" s="64"/>
      <c r="AS89" s="64">
        <v>2288.5</v>
      </c>
      <c r="AT89" s="64">
        <v>5836.3</v>
      </c>
      <c r="AU89" s="64"/>
      <c r="AV89" s="64">
        <f t="shared" si="152"/>
        <v>0</v>
      </c>
      <c r="AW89" s="64">
        <f t="shared" si="153"/>
        <v>0</v>
      </c>
      <c r="AX89" s="64">
        <f t="shared" si="154"/>
        <v>0</v>
      </c>
      <c r="AY89" s="64">
        <f t="shared" si="155"/>
        <v>0</v>
      </c>
      <c r="AZ89" s="64" t="e">
        <f>#REF!-AU89</f>
        <v>#REF!</v>
      </c>
      <c r="BA89" s="64">
        <f t="shared" si="180"/>
        <v>8124.8</v>
      </c>
      <c r="BB89" s="64"/>
      <c r="BC89" s="64">
        <v>2288.5</v>
      </c>
      <c r="BD89" s="64">
        <v>5836.3</v>
      </c>
      <c r="BE89" s="64"/>
      <c r="BF89" s="64">
        <f t="shared" si="181"/>
        <v>0</v>
      </c>
      <c r="BG89" s="64"/>
      <c r="BH89" s="64"/>
      <c r="BI89" s="64"/>
      <c r="BJ89" s="64"/>
      <c r="BK89" s="64">
        <f t="shared" si="182"/>
        <v>8124.8</v>
      </c>
      <c r="BL89" s="64"/>
      <c r="BM89" s="64">
        <v>2288.5</v>
      </c>
      <c r="BN89" s="64">
        <v>5836.3</v>
      </c>
      <c r="BO89" s="64"/>
      <c r="BP89" s="64">
        <f t="shared" si="183"/>
        <v>8124.8</v>
      </c>
      <c r="BQ89" s="64"/>
      <c r="BR89" s="64">
        <v>2288.5</v>
      </c>
      <c r="BS89" s="64">
        <f>4984.6+851.7</f>
        <v>5836.3</v>
      </c>
      <c r="BT89" s="64"/>
      <c r="BU89" s="64">
        <f t="shared" si="184"/>
        <v>2708.49208</v>
      </c>
      <c r="BV89" s="64"/>
      <c r="BW89" s="64">
        <v>762.90093999999999</v>
      </c>
      <c r="BX89" s="64">
        <f>283.98628+1661.60486</f>
        <v>1945.59114</v>
      </c>
      <c r="BY89" s="64"/>
      <c r="BZ89" s="60">
        <f t="shared" si="185"/>
        <v>10833.292079999999</v>
      </c>
      <c r="CA89" s="64">
        <f t="shared" si="156"/>
        <v>10833.292079999999</v>
      </c>
      <c r="CB89" s="64">
        <f t="shared" si="157"/>
        <v>0</v>
      </c>
      <c r="CC89" s="64">
        <f t="shared" si="158"/>
        <v>3051.40094</v>
      </c>
      <c r="CD89" s="64">
        <f t="shared" si="159"/>
        <v>7781.8911399999997</v>
      </c>
      <c r="CE89" s="64">
        <f t="shared" si="186"/>
        <v>0</v>
      </c>
      <c r="CF89" s="64">
        <f t="shared" si="160"/>
        <v>0</v>
      </c>
      <c r="CG89" s="64">
        <f t="shared" si="161"/>
        <v>0</v>
      </c>
      <c r="CH89" s="64">
        <f t="shared" si="162"/>
        <v>0</v>
      </c>
      <c r="CI89" s="64">
        <f t="shared" si="163"/>
        <v>0</v>
      </c>
      <c r="CJ89" s="64">
        <f t="shared" si="187"/>
        <v>0</v>
      </c>
      <c r="CK89" s="66"/>
      <c r="CL89" s="67"/>
      <c r="CM89" s="67"/>
      <c r="CN89" s="64">
        <f t="shared" si="188"/>
        <v>0</v>
      </c>
      <c r="CO89" s="64"/>
      <c r="CP89" s="64"/>
      <c r="CQ89" s="64"/>
      <c r="CR89" s="64"/>
      <c r="CS89" s="64">
        <f t="shared" si="189"/>
        <v>0</v>
      </c>
      <c r="CT89" s="64"/>
      <c r="CU89" s="64"/>
      <c r="CV89" s="64"/>
      <c r="CW89" s="64"/>
      <c r="CX89" s="64">
        <f t="shared" si="190"/>
        <v>0</v>
      </c>
      <c r="CY89" s="64">
        <f t="shared" si="191"/>
        <v>0</v>
      </c>
      <c r="CZ89" s="64">
        <f t="shared" si="191"/>
        <v>0</v>
      </c>
      <c r="DA89" s="64">
        <f t="shared" si="191"/>
        <v>0</v>
      </c>
      <c r="DB89" s="64">
        <f t="shared" si="191"/>
        <v>0</v>
      </c>
      <c r="DC89" s="64"/>
      <c r="DD89" s="64"/>
      <c r="DE89" s="64"/>
      <c r="DF89" s="64">
        <f t="shared" si="192"/>
        <v>0</v>
      </c>
      <c r="DH89" s="64">
        <f t="shared" si="193"/>
        <v>8124.8</v>
      </c>
      <c r="DI89" s="64">
        <f t="shared" si="194"/>
        <v>8124.8</v>
      </c>
      <c r="DK89" s="64"/>
      <c r="DL89" s="64"/>
      <c r="DN89" s="64"/>
      <c r="DQ89" s="64">
        <f t="shared" si="197"/>
        <v>8124.8</v>
      </c>
      <c r="DR89" s="64"/>
      <c r="DS89" s="64">
        <v>2288.5</v>
      </c>
      <c r="DT89" s="64">
        <v>5836.3</v>
      </c>
      <c r="DU89" s="64"/>
      <c r="DV89" s="64">
        <f t="shared" si="198"/>
        <v>1945.59114</v>
      </c>
      <c r="DW89" s="64"/>
      <c r="DX89" s="64"/>
      <c r="DY89" s="64">
        <v>1945.59114</v>
      </c>
      <c r="DZ89" s="64"/>
      <c r="EA89" s="375"/>
      <c r="EB89" s="375"/>
      <c r="EC89" s="375"/>
      <c r="ED89" s="375"/>
      <c r="EE89" s="375"/>
      <c r="EF89" s="375"/>
      <c r="EG89" s="375"/>
      <c r="EH89" s="375"/>
      <c r="EI89" s="375"/>
      <c r="EJ89" s="375"/>
      <c r="EK89" s="375"/>
      <c r="EL89" s="375"/>
      <c r="EM89" s="375"/>
      <c r="EN89" s="375"/>
      <c r="EO89" s="375"/>
      <c r="EP89" s="375"/>
      <c r="EQ89" s="375"/>
      <c r="ER89" s="375"/>
      <c r="ES89" s="375"/>
      <c r="ET89" s="375"/>
      <c r="EU89" s="375"/>
      <c r="EV89" s="375"/>
      <c r="EW89" s="375"/>
      <c r="EX89" s="375"/>
      <c r="EY89" s="375"/>
      <c r="EZ89" s="375"/>
      <c r="FA89" s="375"/>
      <c r="FB89" s="375"/>
      <c r="FC89" s="375"/>
      <c r="FD89" s="375"/>
      <c r="FE89" s="375"/>
      <c r="FF89" s="375"/>
      <c r="FG89" s="375"/>
      <c r="FH89" s="375"/>
      <c r="FI89" s="375"/>
      <c r="FJ89" s="375"/>
      <c r="FK89" s="375"/>
      <c r="FL89" s="375"/>
      <c r="FM89" s="375"/>
      <c r="FN89" s="375"/>
      <c r="FO89" s="375"/>
      <c r="FP89" s="375"/>
      <c r="FQ89" s="375"/>
      <c r="FR89" s="375"/>
      <c r="FS89" s="375"/>
      <c r="FT89" s="375"/>
      <c r="FU89" s="375"/>
      <c r="FV89" s="375"/>
      <c r="FW89" s="375"/>
      <c r="FX89" s="375"/>
      <c r="FY89" s="375"/>
      <c r="FZ89" s="375"/>
      <c r="GA89" s="375"/>
      <c r="GB89" s="375"/>
      <c r="GC89" s="375"/>
      <c r="GD89" s="375"/>
      <c r="GE89" s="375"/>
      <c r="GF89" s="375"/>
      <c r="GG89" s="375"/>
      <c r="GH89" s="375"/>
      <c r="GI89" s="375"/>
      <c r="GJ89" s="375"/>
      <c r="GK89" s="375"/>
      <c r="GL89" s="375"/>
      <c r="GM89" s="375"/>
      <c r="GN89" s="375"/>
      <c r="GO89" s="375"/>
      <c r="GP89" s="375"/>
      <c r="GQ89" s="375"/>
      <c r="GR89" s="375"/>
    </row>
    <row r="90" spans="1:200" s="61" customFormat="1" ht="15.75" customHeight="1" x14ac:dyDescent="0.3">
      <c r="A90" s="280"/>
      <c r="B90" s="281"/>
      <c r="C90" s="282">
        <v>1</v>
      </c>
      <c r="D90" s="282"/>
      <c r="E90" s="4">
        <v>74</v>
      </c>
      <c r="F90" s="281"/>
      <c r="G90" s="282">
        <v>1</v>
      </c>
      <c r="H90" s="282">
        <v>1</v>
      </c>
      <c r="I90" s="280"/>
      <c r="J90" s="280"/>
      <c r="K90" s="280"/>
      <c r="L90" s="280"/>
      <c r="M90" s="4">
        <v>71</v>
      </c>
      <c r="N90" s="62" t="s">
        <v>43</v>
      </c>
      <c r="O90" s="62" t="s">
        <v>450</v>
      </c>
      <c r="P90" s="62" t="s">
        <v>448</v>
      </c>
      <c r="Q90" s="60">
        <f t="shared" si="164"/>
        <v>0</v>
      </c>
      <c r="R90" s="60">
        <f t="shared" si="165"/>
        <v>5</v>
      </c>
      <c r="S90" s="60">
        <f t="shared" si="166"/>
        <v>10</v>
      </c>
      <c r="T90" s="60">
        <v>1</v>
      </c>
      <c r="U90" s="60">
        <v>4</v>
      </c>
      <c r="V90" s="64">
        <f t="shared" si="176"/>
        <v>31960</v>
      </c>
      <c r="W90" s="64"/>
      <c r="X90" s="65">
        <v>3510</v>
      </c>
      <c r="Y90" s="64">
        <v>28450</v>
      </c>
      <c r="Z90" s="73"/>
      <c r="AA90" s="64">
        <f t="shared" si="177"/>
        <v>33388.400000000001</v>
      </c>
      <c r="AB90" s="64"/>
      <c r="AC90" s="65">
        <v>3698.4</v>
      </c>
      <c r="AD90" s="64">
        <v>29690</v>
      </c>
      <c r="AE90" s="73"/>
      <c r="AF90" s="64">
        <f t="shared" si="178"/>
        <v>23698.400000000001</v>
      </c>
      <c r="AG90" s="64"/>
      <c r="AH90" s="65">
        <v>3698.4</v>
      </c>
      <c r="AI90" s="64">
        <v>20000</v>
      </c>
      <c r="AJ90" s="73"/>
      <c r="AK90" s="64">
        <f t="shared" si="179"/>
        <v>21608</v>
      </c>
      <c r="AL90" s="64"/>
      <c r="AM90" s="65">
        <v>1608</v>
      </c>
      <c r="AN90" s="64">
        <v>20000</v>
      </c>
      <c r="AO90" s="73"/>
      <c r="AP90" s="64" t="s">
        <v>502</v>
      </c>
      <c r="AQ90" s="64">
        <f t="shared" si="199"/>
        <v>31960</v>
      </c>
      <c r="AR90" s="64"/>
      <c r="AS90" s="65">
        <f>1320+2190</f>
        <v>3510</v>
      </c>
      <c r="AT90" s="64">
        <f>14560+14630-740</f>
        <v>28450</v>
      </c>
      <c r="AU90" s="73"/>
      <c r="AV90" s="64">
        <f t="shared" si="152"/>
        <v>0</v>
      </c>
      <c r="AW90" s="64">
        <f t="shared" si="153"/>
        <v>0</v>
      </c>
      <c r="AX90" s="64">
        <f t="shared" si="154"/>
        <v>0</v>
      </c>
      <c r="AY90" s="64">
        <f t="shared" si="155"/>
        <v>0</v>
      </c>
      <c r="AZ90" s="64" t="e">
        <f>#REF!-AU90</f>
        <v>#REF!</v>
      </c>
      <c r="BA90" s="64">
        <f t="shared" si="180"/>
        <v>31960</v>
      </c>
      <c r="BB90" s="64"/>
      <c r="BC90" s="65">
        <f>1320+2190</f>
        <v>3510</v>
      </c>
      <c r="BD90" s="64">
        <f>14560+14630-740</f>
        <v>28450</v>
      </c>
      <c r="BE90" s="73"/>
      <c r="BF90" s="64">
        <f t="shared" si="181"/>
        <v>0</v>
      </c>
      <c r="BG90" s="64"/>
      <c r="BH90" s="64"/>
      <c r="BI90" s="64"/>
      <c r="BJ90" s="73"/>
      <c r="BK90" s="64">
        <f t="shared" si="182"/>
        <v>31960</v>
      </c>
      <c r="BL90" s="64"/>
      <c r="BM90" s="65">
        <f>1320+2190</f>
        <v>3510</v>
      </c>
      <c r="BN90" s="64">
        <f>14560+14630-740</f>
        <v>28450</v>
      </c>
      <c r="BO90" s="74"/>
      <c r="BP90" s="64">
        <f t="shared" si="183"/>
        <v>31945</v>
      </c>
      <c r="BQ90" s="64"/>
      <c r="BR90" s="64">
        <f>1320+2185</f>
        <v>3505</v>
      </c>
      <c r="BS90" s="64">
        <f>4060+4000+6000+9500+2270+2610</f>
        <v>28440</v>
      </c>
      <c r="BT90" s="73"/>
      <c r="BU90" s="64">
        <f t="shared" si="184"/>
        <v>10836.087590000003</v>
      </c>
      <c r="BV90" s="64"/>
      <c r="BW90" s="64">
        <f>446.2535+733.07761</f>
        <v>1179.3311100000001</v>
      </c>
      <c r="BX90" s="64">
        <f>1353.68424+1354.86478+2012.3811+761.9484+3292.68012+881.19784</f>
        <v>9656.7564800000018</v>
      </c>
      <c r="BY90" s="64"/>
      <c r="BZ90" s="60">
        <f t="shared" si="185"/>
        <v>42781.087590000003</v>
      </c>
      <c r="CA90" s="64">
        <f t="shared" si="156"/>
        <v>42781.087590000003</v>
      </c>
      <c r="CB90" s="64">
        <f t="shared" si="157"/>
        <v>0</v>
      </c>
      <c r="CC90" s="64">
        <f t="shared" si="158"/>
        <v>4684.3311100000001</v>
      </c>
      <c r="CD90" s="64">
        <f t="shared" si="159"/>
        <v>38096.756480000004</v>
      </c>
      <c r="CE90" s="64">
        <f t="shared" si="186"/>
        <v>0</v>
      </c>
      <c r="CF90" s="64">
        <f t="shared" si="160"/>
        <v>15</v>
      </c>
      <c r="CG90" s="64">
        <f t="shared" si="161"/>
        <v>0</v>
      </c>
      <c r="CH90" s="64">
        <f t="shared" si="162"/>
        <v>5</v>
      </c>
      <c r="CI90" s="64">
        <f t="shared" si="163"/>
        <v>10</v>
      </c>
      <c r="CJ90" s="64">
        <f t="shared" si="187"/>
        <v>0</v>
      </c>
      <c r="CK90" s="66"/>
      <c r="CL90" s="67"/>
      <c r="CM90" s="67"/>
      <c r="CN90" s="64">
        <f t="shared" si="188"/>
        <v>0</v>
      </c>
      <c r="CO90" s="64"/>
      <c r="CP90" s="64"/>
      <c r="CQ90" s="64"/>
      <c r="CR90" s="73"/>
      <c r="CS90" s="64">
        <f t="shared" si="189"/>
        <v>0</v>
      </c>
      <c r="CT90" s="64"/>
      <c r="CU90" s="64"/>
      <c r="CV90" s="64"/>
      <c r="CW90" s="73"/>
      <c r="CX90" s="64">
        <f t="shared" si="190"/>
        <v>0</v>
      </c>
      <c r="CY90" s="64">
        <f t="shared" si="191"/>
        <v>0</v>
      </c>
      <c r="CZ90" s="64">
        <f t="shared" si="191"/>
        <v>0</v>
      </c>
      <c r="DA90" s="64">
        <f t="shared" si="191"/>
        <v>0</v>
      </c>
      <c r="DB90" s="64">
        <f t="shared" si="191"/>
        <v>0</v>
      </c>
      <c r="DC90" s="64"/>
      <c r="DD90" s="64"/>
      <c r="DE90" s="64"/>
      <c r="DF90" s="64">
        <f t="shared" si="192"/>
        <v>15</v>
      </c>
      <c r="DH90" s="64">
        <f t="shared" si="193"/>
        <v>31960</v>
      </c>
      <c r="DI90" s="64">
        <f t="shared" si="194"/>
        <v>31945</v>
      </c>
      <c r="DK90" s="64"/>
      <c r="DL90" s="64"/>
      <c r="DN90" s="64"/>
      <c r="DQ90" s="64">
        <f t="shared" si="197"/>
        <v>31945</v>
      </c>
      <c r="DR90" s="64"/>
      <c r="DS90" s="64">
        <f>1320+2185</f>
        <v>3505</v>
      </c>
      <c r="DT90" s="64">
        <f>4060+4000+6000+9500+2270+2610</f>
        <v>28440</v>
      </c>
      <c r="DU90" s="73"/>
      <c r="DV90" s="64">
        <f t="shared" si="198"/>
        <v>10836.087589999999</v>
      </c>
      <c r="DW90" s="64"/>
      <c r="DX90" s="64">
        <v>1179.3311100000001</v>
      </c>
      <c r="DY90" s="64">
        <v>9656.75648</v>
      </c>
      <c r="DZ90" s="64"/>
      <c r="EA90" s="375"/>
      <c r="EB90" s="375"/>
      <c r="EC90" s="375"/>
      <c r="ED90" s="375"/>
      <c r="EE90" s="375"/>
      <c r="EF90" s="375"/>
      <c r="EG90" s="375"/>
      <c r="EH90" s="375"/>
      <c r="EI90" s="375"/>
      <c r="EJ90" s="375"/>
      <c r="EK90" s="375"/>
      <c r="EL90" s="375"/>
      <c r="EM90" s="375"/>
      <c r="EN90" s="375"/>
      <c r="EO90" s="375"/>
      <c r="EP90" s="375"/>
      <c r="EQ90" s="375"/>
      <c r="ER90" s="375"/>
      <c r="ES90" s="375"/>
      <c r="ET90" s="375"/>
      <c r="EU90" s="375"/>
      <c r="EV90" s="375"/>
      <c r="EW90" s="375"/>
      <c r="EX90" s="375"/>
      <c r="EY90" s="375"/>
      <c r="EZ90" s="375"/>
      <c r="FA90" s="375"/>
      <c r="FB90" s="375"/>
      <c r="FC90" s="375"/>
      <c r="FD90" s="375"/>
      <c r="FE90" s="375"/>
      <c r="FF90" s="375"/>
      <c r="FG90" s="375"/>
      <c r="FH90" s="375"/>
      <c r="FI90" s="375"/>
      <c r="FJ90" s="375"/>
      <c r="FK90" s="375"/>
      <c r="FL90" s="375"/>
      <c r="FM90" s="375"/>
      <c r="FN90" s="375"/>
      <c r="FO90" s="375"/>
      <c r="FP90" s="375"/>
      <c r="FQ90" s="375"/>
      <c r="FR90" s="375"/>
      <c r="FS90" s="375"/>
      <c r="FT90" s="375"/>
      <c r="FU90" s="375"/>
      <c r="FV90" s="375"/>
      <c r="FW90" s="375"/>
      <c r="FX90" s="375"/>
      <c r="FY90" s="375"/>
      <c r="FZ90" s="375"/>
      <c r="GA90" s="375"/>
      <c r="GB90" s="375"/>
      <c r="GC90" s="375"/>
      <c r="GD90" s="375"/>
      <c r="GE90" s="375"/>
      <c r="GF90" s="375"/>
      <c r="GG90" s="375"/>
      <c r="GH90" s="375"/>
      <c r="GI90" s="375"/>
      <c r="GJ90" s="375"/>
      <c r="GK90" s="375"/>
      <c r="GL90" s="375"/>
      <c r="GM90" s="375"/>
      <c r="GN90" s="375"/>
      <c r="GO90" s="375"/>
      <c r="GP90" s="375"/>
      <c r="GQ90" s="375"/>
      <c r="GR90" s="375"/>
    </row>
    <row r="91" spans="1:200" s="61" customFormat="1" ht="15.75" customHeight="1" x14ac:dyDescent="0.3">
      <c r="A91" s="280"/>
      <c r="B91" s="281"/>
      <c r="C91" s="282">
        <v>1</v>
      </c>
      <c r="D91" s="282"/>
      <c r="E91" s="4">
        <v>75</v>
      </c>
      <c r="F91" s="281"/>
      <c r="G91" s="282">
        <v>1</v>
      </c>
      <c r="H91" s="282">
        <v>1</v>
      </c>
      <c r="I91" s="280"/>
      <c r="J91" s="280"/>
      <c r="K91" s="280"/>
      <c r="L91" s="280"/>
      <c r="M91" s="4">
        <v>72</v>
      </c>
      <c r="N91" s="62" t="s">
        <v>44</v>
      </c>
      <c r="O91" s="62" t="s">
        <v>450</v>
      </c>
      <c r="P91" s="62" t="s">
        <v>450</v>
      </c>
      <c r="Q91" s="60">
        <f t="shared" si="164"/>
        <v>0</v>
      </c>
      <c r="R91" s="60">
        <f t="shared" si="165"/>
        <v>4.2290000000000418</v>
      </c>
      <c r="S91" s="60">
        <f t="shared" si="166"/>
        <v>0</v>
      </c>
      <c r="T91" s="60">
        <v>1</v>
      </c>
      <c r="U91" s="60">
        <v>2</v>
      </c>
      <c r="V91" s="64">
        <f t="shared" si="176"/>
        <v>1329.4</v>
      </c>
      <c r="W91" s="64"/>
      <c r="X91" s="65">
        <v>1329.4</v>
      </c>
      <c r="Y91" s="73"/>
      <c r="Z91" s="73"/>
      <c r="AA91" s="64">
        <f t="shared" si="177"/>
        <v>1329.4</v>
      </c>
      <c r="AB91" s="64"/>
      <c r="AC91" s="65">
        <v>1329.4</v>
      </c>
      <c r="AD91" s="73"/>
      <c r="AE91" s="73"/>
      <c r="AF91" s="64">
        <f t="shared" si="178"/>
        <v>1329.4</v>
      </c>
      <c r="AG91" s="64"/>
      <c r="AH91" s="65">
        <v>1329.4</v>
      </c>
      <c r="AI91" s="73"/>
      <c r="AJ91" s="73"/>
      <c r="AK91" s="64">
        <f t="shared" si="179"/>
        <v>578</v>
      </c>
      <c r="AL91" s="64"/>
      <c r="AM91" s="65">
        <v>578</v>
      </c>
      <c r="AN91" s="73"/>
      <c r="AO91" s="73"/>
      <c r="AP91" s="64" t="s">
        <v>455</v>
      </c>
      <c r="AQ91" s="64">
        <f t="shared" si="199"/>
        <v>1329.4</v>
      </c>
      <c r="AR91" s="64"/>
      <c r="AS91" s="65">
        <f>578+751.4</f>
        <v>1329.4</v>
      </c>
      <c r="AT91" s="73"/>
      <c r="AU91" s="73"/>
      <c r="AV91" s="64">
        <f t="shared" si="152"/>
        <v>0</v>
      </c>
      <c r="AW91" s="64">
        <f t="shared" si="153"/>
        <v>0</v>
      </c>
      <c r="AX91" s="64">
        <f t="shared" si="154"/>
        <v>0</v>
      </c>
      <c r="AY91" s="64">
        <f t="shared" si="155"/>
        <v>0</v>
      </c>
      <c r="AZ91" s="64" t="e">
        <f>#REF!-AU91</f>
        <v>#REF!</v>
      </c>
      <c r="BA91" s="64">
        <f t="shared" si="180"/>
        <v>1329.4</v>
      </c>
      <c r="BB91" s="64"/>
      <c r="BC91" s="65">
        <f>578+751.4</f>
        <v>1329.4</v>
      </c>
      <c r="BD91" s="73"/>
      <c r="BE91" s="73"/>
      <c r="BF91" s="64">
        <f t="shared" si="181"/>
        <v>0</v>
      </c>
      <c r="BG91" s="64"/>
      <c r="BH91" s="73"/>
      <c r="BI91" s="73"/>
      <c r="BJ91" s="73"/>
      <c r="BK91" s="64">
        <f t="shared" si="182"/>
        <v>1329.4</v>
      </c>
      <c r="BL91" s="64"/>
      <c r="BM91" s="65">
        <f>578+751.4</f>
        <v>1329.4</v>
      </c>
      <c r="BN91" s="74"/>
      <c r="BO91" s="74"/>
      <c r="BP91" s="64">
        <f t="shared" si="183"/>
        <v>1325.171</v>
      </c>
      <c r="BQ91" s="64"/>
      <c r="BR91" s="74">
        <f>578+747.171</f>
        <v>1325.171</v>
      </c>
      <c r="BS91" s="74"/>
      <c r="BT91" s="73"/>
      <c r="BU91" s="64">
        <f t="shared" si="184"/>
        <v>459.48515999999995</v>
      </c>
      <c r="BV91" s="64"/>
      <c r="BW91" s="64">
        <f>210.42716+249.058</f>
        <v>459.48515999999995</v>
      </c>
      <c r="BX91" s="64"/>
      <c r="BY91" s="64"/>
      <c r="BZ91" s="60">
        <f t="shared" si="185"/>
        <v>1784.65616</v>
      </c>
      <c r="CA91" s="64">
        <f t="shared" si="156"/>
        <v>1784.65616</v>
      </c>
      <c r="CB91" s="64">
        <f t="shared" si="157"/>
        <v>0</v>
      </c>
      <c r="CC91" s="64">
        <f t="shared" si="158"/>
        <v>1784.65616</v>
      </c>
      <c r="CD91" s="64">
        <f t="shared" si="159"/>
        <v>0</v>
      </c>
      <c r="CE91" s="64">
        <f t="shared" si="186"/>
        <v>0</v>
      </c>
      <c r="CF91" s="64">
        <f t="shared" si="160"/>
        <v>4.2290000000000418</v>
      </c>
      <c r="CG91" s="64">
        <f t="shared" si="161"/>
        <v>0</v>
      </c>
      <c r="CH91" s="64">
        <f t="shared" si="162"/>
        <v>4.2290000000000418</v>
      </c>
      <c r="CI91" s="64">
        <f t="shared" si="163"/>
        <v>0</v>
      </c>
      <c r="CJ91" s="64">
        <f t="shared" si="187"/>
        <v>0</v>
      </c>
      <c r="CK91" s="66"/>
      <c r="CL91" s="67"/>
      <c r="CM91" s="67"/>
      <c r="CN91" s="64">
        <f t="shared" si="188"/>
        <v>0</v>
      </c>
      <c r="CO91" s="64"/>
      <c r="CP91" s="73"/>
      <c r="CQ91" s="73"/>
      <c r="CR91" s="73"/>
      <c r="CS91" s="64">
        <f t="shared" si="189"/>
        <v>0</v>
      </c>
      <c r="CT91" s="64"/>
      <c r="CU91" s="73"/>
      <c r="CV91" s="73"/>
      <c r="CW91" s="73"/>
      <c r="CX91" s="64">
        <f t="shared" si="190"/>
        <v>0</v>
      </c>
      <c r="CY91" s="64">
        <f t="shared" si="191"/>
        <v>0</v>
      </c>
      <c r="CZ91" s="64">
        <f t="shared" si="191"/>
        <v>0</v>
      </c>
      <c r="DA91" s="64">
        <f t="shared" si="191"/>
        <v>0</v>
      </c>
      <c r="DB91" s="64">
        <f t="shared" si="191"/>
        <v>0</v>
      </c>
      <c r="DC91" s="64"/>
      <c r="DD91" s="64"/>
      <c r="DE91" s="64"/>
      <c r="DF91" s="64">
        <f t="shared" si="192"/>
        <v>4.2290000000000418</v>
      </c>
      <c r="DH91" s="64">
        <f t="shared" si="193"/>
        <v>1329.4</v>
      </c>
      <c r="DI91" s="64">
        <f t="shared" si="194"/>
        <v>1325.171</v>
      </c>
      <c r="DK91" s="64"/>
      <c r="DL91" s="64"/>
      <c r="DN91" s="64"/>
      <c r="DQ91" s="64">
        <f t="shared" si="197"/>
        <v>1325.171</v>
      </c>
      <c r="DR91" s="64"/>
      <c r="DS91" s="74">
        <f>578+747.171</f>
        <v>1325.171</v>
      </c>
      <c r="DT91" s="74"/>
      <c r="DU91" s="73"/>
      <c r="DV91" s="64">
        <f t="shared" si="198"/>
        <v>459.48516000000001</v>
      </c>
      <c r="DW91" s="64"/>
      <c r="DX91" s="64">
        <v>459.48516000000001</v>
      </c>
      <c r="DY91" s="64"/>
      <c r="DZ91" s="64"/>
      <c r="EA91" s="375"/>
      <c r="EB91" s="375"/>
      <c r="EC91" s="375"/>
      <c r="ED91" s="375"/>
      <c r="EE91" s="375"/>
      <c r="EF91" s="375"/>
      <c r="EG91" s="375"/>
      <c r="EH91" s="375"/>
      <c r="EI91" s="375"/>
      <c r="EJ91" s="375"/>
      <c r="EK91" s="375"/>
      <c r="EL91" s="375"/>
      <c r="EM91" s="375"/>
      <c r="EN91" s="375"/>
      <c r="EO91" s="375"/>
      <c r="EP91" s="375"/>
      <c r="EQ91" s="375"/>
      <c r="ER91" s="375"/>
      <c r="ES91" s="375"/>
      <c r="ET91" s="375"/>
      <c r="EU91" s="375"/>
      <c r="EV91" s="375"/>
      <c r="EW91" s="375"/>
      <c r="EX91" s="375"/>
      <c r="EY91" s="375"/>
      <c r="EZ91" s="375"/>
      <c r="FA91" s="375"/>
      <c r="FB91" s="375"/>
      <c r="FC91" s="375"/>
      <c r="FD91" s="375"/>
      <c r="FE91" s="375"/>
      <c r="FF91" s="375"/>
      <c r="FG91" s="375"/>
      <c r="FH91" s="375"/>
      <c r="FI91" s="375"/>
      <c r="FJ91" s="375"/>
      <c r="FK91" s="375"/>
      <c r="FL91" s="375"/>
      <c r="FM91" s="375"/>
      <c r="FN91" s="375"/>
      <c r="FO91" s="375"/>
      <c r="FP91" s="375"/>
      <c r="FQ91" s="375"/>
      <c r="FR91" s="375"/>
      <c r="FS91" s="375"/>
      <c r="FT91" s="375"/>
      <c r="FU91" s="375"/>
      <c r="FV91" s="375"/>
      <c r="FW91" s="375"/>
      <c r="FX91" s="375"/>
      <c r="FY91" s="375"/>
      <c r="FZ91" s="375"/>
      <c r="GA91" s="375"/>
      <c r="GB91" s="375"/>
      <c r="GC91" s="375"/>
      <c r="GD91" s="375"/>
      <c r="GE91" s="375"/>
      <c r="GF91" s="375"/>
      <c r="GG91" s="375"/>
      <c r="GH91" s="375"/>
      <c r="GI91" s="375"/>
      <c r="GJ91" s="375"/>
      <c r="GK91" s="375"/>
      <c r="GL91" s="375"/>
      <c r="GM91" s="375"/>
      <c r="GN91" s="375"/>
      <c r="GO91" s="375"/>
      <c r="GP91" s="375"/>
      <c r="GQ91" s="375"/>
      <c r="GR91" s="375"/>
    </row>
    <row r="92" spans="1:200" s="61" customFormat="1" ht="15.75" customHeight="1" x14ac:dyDescent="0.3">
      <c r="A92" s="280"/>
      <c r="B92" s="281"/>
      <c r="C92" s="282"/>
      <c r="D92" s="282">
        <v>1</v>
      </c>
      <c r="E92" s="4">
        <v>76</v>
      </c>
      <c r="F92" s="281"/>
      <c r="G92" s="282"/>
      <c r="H92" s="282">
        <v>1</v>
      </c>
      <c r="I92" s="280"/>
      <c r="J92" s="280"/>
      <c r="K92" s="280"/>
      <c r="L92" s="280"/>
      <c r="M92" s="4">
        <v>73</v>
      </c>
      <c r="N92" s="62" t="s">
        <v>99</v>
      </c>
      <c r="O92" s="62" t="s">
        <v>448</v>
      </c>
      <c r="P92" s="62" t="s">
        <v>450</v>
      </c>
      <c r="Q92" s="60">
        <f t="shared" si="164"/>
        <v>0</v>
      </c>
      <c r="R92" s="60">
        <f t="shared" si="165"/>
        <v>0</v>
      </c>
      <c r="S92" s="60">
        <f t="shared" si="166"/>
        <v>0</v>
      </c>
      <c r="T92" s="60">
        <v>1</v>
      </c>
      <c r="U92" s="60">
        <v>1</v>
      </c>
      <c r="V92" s="64">
        <f t="shared" si="176"/>
        <v>1184.5</v>
      </c>
      <c r="W92" s="64"/>
      <c r="X92" s="65">
        <v>1184.5</v>
      </c>
      <c r="Y92" s="64"/>
      <c r="Z92" s="73"/>
      <c r="AA92" s="64">
        <f t="shared" si="177"/>
        <v>1184.5</v>
      </c>
      <c r="AB92" s="64"/>
      <c r="AC92" s="65">
        <v>1184.5</v>
      </c>
      <c r="AD92" s="64"/>
      <c r="AE92" s="73"/>
      <c r="AF92" s="64">
        <f t="shared" si="178"/>
        <v>1184.5</v>
      </c>
      <c r="AG92" s="64"/>
      <c r="AH92" s="65">
        <v>1184.5</v>
      </c>
      <c r="AI92" s="64"/>
      <c r="AJ92" s="73"/>
      <c r="AK92" s="64">
        <f t="shared" si="179"/>
        <v>515</v>
      </c>
      <c r="AL92" s="64"/>
      <c r="AM92" s="65">
        <v>515</v>
      </c>
      <c r="AN92" s="64"/>
      <c r="AO92" s="73"/>
      <c r="AP92" s="64" t="s">
        <v>369</v>
      </c>
      <c r="AQ92" s="64">
        <f t="shared" si="199"/>
        <v>1184.5</v>
      </c>
      <c r="AR92" s="64"/>
      <c r="AS92" s="65">
        <f>515+669.5</f>
        <v>1184.5</v>
      </c>
      <c r="AT92" s="64"/>
      <c r="AU92" s="73"/>
      <c r="AV92" s="64">
        <f t="shared" si="152"/>
        <v>0</v>
      </c>
      <c r="AW92" s="64">
        <f t="shared" si="153"/>
        <v>0</v>
      </c>
      <c r="AX92" s="64">
        <f t="shared" si="154"/>
        <v>0</v>
      </c>
      <c r="AY92" s="64">
        <f t="shared" si="155"/>
        <v>0</v>
      </c>
      <c r="AZ92" s="64" t="e">
        <f>#REF!-AU92</f>
        <v>#REF!</v>
      </c>
      <c r="BA92" s="64">
        <f t="shared" si="180"/>
        <v>1184.5</v>
      </c>
      <c r="BB92" s="64"/>
      <c r="BC92" s="65">
        <f>515+669.5</f>
        <v>1184.5</v>
      </c>
      <c r="BD92" s="64"/>
      <c r="BE92" s="73"/>
      <c r="BF92" s="64">
        <f t="shared" si="181"/>
        <v>0</v>
      </c>
      <c r="BG92" s="64"/>
      <c r="BH92" s="64"/>
      <c r="BI92" s="64"/>
      <c r="BJ92" s="73"/>
      <c r="BK92" s="64">
        <f t="shared" si="182"/>
        <v>1184.5</v>
      </c>
      <c r="BL92" s="64"/>
      <c r="BM92" s="65">
        <f>515+669.5</f>
        <v>1184.5</v>
      </c>
      <c r="BN92" s="64"/>
      <c r="BO92" s="74"/>
      <c r="BP92" s="64">
        <f t="shared" si="183"/>
        <v>1184.5</v>
      </c>
      <c r="BQ92" s="64"/>
      <c r="BR92" s="64">
        <f>669.5+515</f>
        <v>1184.5</v>
      </c>
      <c r="BS92" s="64"/>
      <c r="BT92" s="73"/>
      <c r="BU92" s="64">
        <f t="shared" si="184"/>
        <v>965.05408000000011</v>
      </c>
      <c r="BV92" s="64"/>
      <c r="BW92" s="64">
        <f>379.37722+585.67686</f>
        <v>965.05408000000011</v>
      </c>
      <c r="BX92" s="64"/>
      <c r="BY92" s="64"/>
      <c r="BZ92" s="60">
        <f t="shared" si="185"/>
        <v>2149.5540799999999</v>
      </c>
      <c r="CA92" s="64">
        <f t="shared" si="156"/>
        <v>2149.5540799999999</v>
      </c>
      <c r="CB92" s="64">
        <f t="shared" si="157"/>
        <v>0</v>
      </c>
      <c r="CC92" s="64">
        <f t="shared" si="158"/>
        <v>2149.5540799999999</v>
      </c>
      <c r="CD92" s="64">
        <f t="shared" si="159"/>
        <v>0</v>
      </c>
      <c r="CE92" s="64">
        <f t="shared" si="186"/>
        <v>0</v>
      </c>
      <c r="CF92" s="64">
        <f t="shared" si="160"/>
        <v>0</v>
      </c>
      <c r="CG92" s="64">
        <f t="shared" si="161"/>
        <v>0</v>
      </c>
      <c r="CH92" s="64">
        <f t="shared" si="162"/>
        <v>0</v>
      </c>
      <c r="CI92" s="64">
        <f t="shared" si="163"/>
        <v>0</v>
      </c>
      <c r="CJ92" s="64">
        <f t="shared" si="187"/>
        <v>0</v>
      </c>
      <c r="CK92" s="66"/>
      <c r="CL92" s="67"/>
      <c r="CM92" s="67"/>
      <c r="CN92" s="64">
        <f t="shared" si="188"/>
        <v>0</v>
      </c>
      <c r="CO92" s="64"/>
      <c r="CP92" s="64"/>
      <c r="CQ92" s="64"/>
      <c r="CR92" s="73"/>
      <c r="CS92" s="64">
        <f t="shared" si="189"/>
        <v>0</v>
      </c>
      <c r="CT92" s="64"/>
      <c r="CU92" s="64"/>
      <c r="CV92" s="64"/>
      <c r="CW92" s="73"/>
      <c r="CX92" s="64">
        <f t="shared" si="190"/>
        <v>0</v>
      </c>
      <c r="CY92" s="64">
        <f t="shared" si="191"/>
        <v>0</v>
      </c>
      <c r="CZ92" s="64">
        <f t="shared" si="191"/>
        <v>0</v>
      </c>
      <c r="DA92" s="64">
        <f t="shared" si="191"/>
        <v>0</v>
      </c>
      <c r="DB92" s="64">
        <f t="shared" si="191"/>
        <v>0</v>
      </c>
      <c r="DC92" s="64"/>
      <c r="DD92" s="64"/>
      <c r="DE92" s="64"/>
      <c r="DF92" s="64">
        <f t="shared" si="192"/>
        <v>0</v>
      </c>
      <c r="DH92" s="64">
        <f t="shared" si="193"/>
        <v>1184.5</v>
      </c>
      <c r="DI92" s="64">
        <f t="shared" si="194"/>
        <v>1184.5</v>
      </c>
      <c r="DK92" s="64"/>
      <c r="DL92" s="64"/>
      <c r="DN92" s="64"/>
      <c r="DQ92" s="64">
        <f t="shared" si="197"/>
        <v>1184.5</v>
      </c>
      <c r="DR92" s="64"/>
      <c r="DS92" s="64">
        <f>669.5+515</f>
        <v>1184.5</v>
      </c>
      <c r="DT92" s="64"/>
      <c r="DU92" s="73"/>
      <c r="DV92" s="64">
        <f t="shared" si="198"/>
        <v>0</v>
      </c>
      <c r="DW92" s="64"/>
      <c r="DX92" s="64"/>
      <c r="DY92" s="64"/>
      <c r="DZ92" s="64"/>
      <c r="EA92" s="375"/>
      <c r="EB92" s="375"/>
      <c r="EC92" s="375"/>
      <c r="ED92" s="375"/>
      <c r="EE92" s="375"/>
      <c r="EF92" s="375"/>
      <c r="EG92" s="375"/>
      <c r="EH92" s="375"/>
      <c r="EI92" s="375"/>
      <c r="EJ92" s="375"/>
      <c r="EK92" s="375"/>
      <c r="EL92" s="375"/>
      <c r="EM92" s="375"/>
      <c r="EN92" s="375"/>
      <c r="EO92" s="375"/>
      <c r="EP92" s="375"/>
      <c r="EQ92" s="375"/>
      <c r="ER92" s="375"/>
      <c r="ES92" s="375"/>
      <c r="ET92" s="375"/>
      <c r="EU92" s="375"/>
      <c r="EV92" s="375"/>
      <c r="EW92" s="375"/>
      <c r="EX92" s="375"/>
      <c r="EY92" s="375"/>
      <c r="EZ92" s="375"/>
      <c r="FA92" s="375"/>
      <c r="FB92" s="375"/>
      <c r="FC92" s="375"/>
      <c r="FD92" s="375"/>
      <c r="FE92" s="375"/>
      <c r="FF92" s="375"/>
      <c r="FG92" s="375"/>
      <c r="FH92" s="375"/>
      <c r="FI92" s="375"/>
      <c r="FJ92" s="375"/>
      <c r="FK92" s="375"/>
      <c r="FL92" s="375"/>
      <c r="FM92" s="375"/>
      <c r="FN92" s="375"/>
      <c r="FO92" s="375"/>
      <c r="FP92" s="375"/>
      <c r="FQ92" s="375"/>
      <c r="FR92" s="375"/>
      <c r="FS92" s="375"/>
      <c r="FT92" s="375"/>
      <c r="FU92" s="375"/>
      <c r="FV92" s="375"/>
      <c r="FW92" s="375"/>
      <c r="FX92" s="375"/>
      <c r="FY92" s="375"/>
      <c r="FZ92" s="375"/>
      <c r="GA92" s="375"/>
      <c r="GB92" s="375"/>
      <c r="GC92" s="375"/>
      <c r="GD92" s="375"/>
      <c r="GE92" s="375"/>
      <c r="GF92" s="375"/>
      <c r="GG92" s="375"/>
      <c r="GH92" s="375"/>
      <c r="GI92" s="375"/>
      <c r="GJ92" s="375"/>
      <c r="GK92" s="375"/>
      <c r="GL92" s="375"/>
      <c r="GM92" s="375"/>
      <c r="GN92" s="375"/>
      <c r="GO92" s="375"/>
      <c r="GP92" s="375"/>
      <c r="GQ92" s="375"/>
      <c r="GR92" s="375"/>
    </row>
    <row r="93" spans="1:200" s="61" customFormat="1" ht="15.75" customHeight="1" x14ac:dyDescent="0.3">
      <c r="A93" s="280"/>
      <c r="B93" s="281"/>
      <c r="C93" s="282">
        <v>1</v>
      </c>
      <c r="D93" s="282"/>
      <c r="E93" s="4">
        <v>77</v>
      </c>
      <c r="F93" s="281"/>
      <c r="G93" s="282">
        <v>1</v>
      </c>
      <c r="H93" s="282">
        <v>1</v>
      </c>
      <c r="I93" s="280"/>
      <c r="J93" s="280"/>
      <c r="K93" s="280"/>
      <c r="L93" s="280"/>
      <c r="M93" s="4">
        <v>74</v>
      </c>
      <c r="N93" s="62" t="s">
        <v>45</v>
      </c>
      <c r="O93" s="62" t="s">
        <v>448</v>
      </c>
      <c r="P93" s="62" t="s">
        <v>450</v>
      </c>
      <c r="Q93" s="60">
        <f t="shared" si="164"/>
        <v>0</v>
      </c>
      <c r="R93" s="60">
        <f t="shared" si="165"/>
        <v>0</v>
      </c>
      <c r="S93" s="60">
        <f t="shared" si="166"/>
        <v>0</v>
      </c>
      <c r="T93" s="60">
        <v>1</v>
      </c>
      <c r="U93" s="60">
        <v>2</v>
      </c>
      <c r="V93" s="64">
        <f t="shared" si="176"/>
        <v>1754.9</v>
      </c>
      <c r="W93" s="73"/>
      <c r="X93" s="65">
        <v>1754.9</v>
      </c>
      <c r="Y93" s="64"/>
      <c r="Z93" s="73"/>
      <c r="AA93" s="64">
        <f t="shared" si="177"/>
        <v>1754.9</v>
      </c>
      <c r="AB93" s="73"/>
      <c r="AC93" s="65">
        <v>1754.9</v>
      </c>
      <c r="AD93" s="64"/>
      <c r="AE93" s="73"/>
      <c r="AF93" s="64">
        <f t="shared" si="178"/>
        <v>1754.9</v>
      </c>
      <c r="AG93" s="73"/>
      <c r="AH93" s="65">
        <v>1754.9</v>
      </c>
      <c r="AI93" s="64"/>
      <c r="AJ93" s="73"/>
      <c r="AK93" s="64">
        <f t="shared" si="179"/>
        <v>763</v>
      </c>
      <c r="AL93" s="73"/>
      <c r="AM93" s="65">
        <v>763</v>
      </c>
      <c r="AN93" s="64"/>
      <c r="AO93" s="73"/>
      <c r="AP93" s="64" t="s">
        <v>488</v>
      </c>
      <c r="AQ93" s="64">
        <f t="shared" si="199"/>
        <v>1754.9</v>
      </c>
      <c r="AR93" s="73"/>
      <c r="AS93" s="65">
        <f>763+991.9</f>
        <v>1754.9</v>
      </c>
      <c r="AT93" s="64"/>
      <c r="AU93" s="73"/>
      <c r="AV93" s="64">
        <f t="shared" si="152"/>
        <v>0</v>
      </c>
      <c r="AW93" s="64">
        <f t="shared" si="153"/>
        <v>0</v>
      </c>
      <c r="AX93" s="64">
        <f t="shared" si="154"/>
        <v>0</v>
      </c>
      <c r="AY93" s="64">
        <f t="shared" si="155"/>
        <v>0</v>
      </c>
      <c r="AZ93" s="64" t="e">
        <f>#REF!-AU93</f>
        <v>#REF!</v>
      </c>
      <c r="BA93" s="64">
        <f t="shared" si="180"/>
        <v>1754.9</v>
      </c>
      <c r="BB93" s="73"/>
      <c r="BC93" s="65">
        <f>763+991.9</f>
        <v>1754.9</v>
      </c>
      <c r="BD93" s="64"/>
      <c r="BE93" s="73"/>
      <c r="BF93" s="64">
        <f t="shared" si="181"/>
        <v>0</v>
      </c>
      <c r="BG93" s="73"/>
      <c r="BH93" s="65"/>
      <c r="BI93" s="64"/>
      <c r="BJ93" s="73"/>
      <c r="BK93" s="64">
        <f t="shared" si="182"/>
        <v>1754.9</v>
      </c>
      <c r="BL93" s="73"/>
      <c r="BM93" s="65">
        <f>763+991.9</f>
        <v>1754.9</v>
      </c>
      <c r="BN93" s="64"/>
      <c r="BO93" s="74"/>
      <c r="BP93" s="64">
        <f t="shared" si="183"/>
        <v>1754.9</v>
      </c>
      <c r="BQ93" s="74"/>
      <c r="BR93" s="74">
        <f>1270.9+484</f>
        <v>1754.9</v>
      </c>
      <c r="BS93" s="64"/>
      <c r="BT93" s="73"/>
      <c r="BU93" s="64">
        <f t="shared" si="184"/>
        <v>2315.02907</v>
      </c>
      <c r="BV93" s="64"/>
      <c r="BW93" s="64">
        <f>1677.24498+637.78409</f>
        <v>2315.02907</v>
      </c>
      <c r="BX93" s="64"/>
      <c r="BY93" s="64"/>
      <c r="BZ93" s="60">
        <f t="shared" si="185"/>
        <v>4069.9290700000001</v>
      </c>
      <c r="CA93" s="64">
        <f t="shared" si="156"/>
        <v>4069.9290700000001</v>
      </c>
      <c r="CB93" s="64">
        <f t="shared" si="157"/>
        <v>0</v>
      </c>
      <c r="CC93" s="64">
        <f t="shared" si="158"/>
        <v>4069.9290700000001</v>
      </c>
      <c r="CD93" s="64">
        <f t="shared" si="159"/>
        <v>0</v>
      </c>
      <c r="CE93" s="64">
        <f t="shared" si="186"/>
        <v>0</v>
      </c>
      <c r="CF93" s="64">
        <f t="shared" si="160"/>
        <v>0</v>
      </c>
      <c r="CG93" s="64">
        <f t="shared" si="161"/>
        <v>0</v>
      </c>
      <c r="CH93" s="64">
        <f t="shared" si="162"/>
        <v>0</v>
      </c>
      <c r="CI93" s="64">
        <f t="shared" si="163"/>
        <v>0</v>
      </c>
      <c r="CJ93" s="64">
        <f t="shared" si="187"/>
        <v>0</v>
      </c>
      <c r="CK93" s="66"/>
      <c r="CL93" s="67"/>
      <c r="CM93" s="67"/>
      <c r="CN93" s="64">
        <f t="shared" si="188"/>
        <v>0</v>
      </c>
      <c r="CO93" s="73"/>
      <c r="CP93" s="65"/>
      <c r="CQ93" s="64"/>
      <c r="CR93" s="73"/>
      <c r="CS93" s="64">
        <f t="shared" si="189"/>
        <v>0</v>
      </c>
      <c r="CT93" s="73"/>
      <c r="CU93" s="65"/>
      <c r="CV93" s="64"/>
      <c r="CW93" s="73"/>
      <c r="CX93" s="64">
        <f t="shared" si="190"/>
        <v>0</v>
      </c>
      <c r="CY93" s="64">
        <f t="shared" si="191"/>
        <v>0</v>
      </c>
      <c r="CZ93" s="64">
        <f t="shared" si="191"/>
        <v>0</v>
      </c>
      <c r="DA93" s="64">
        <f t="shared" si="191"/>
        <v>0</v>
      </c>
      <c r="DB93" s="64">
        <f t="shared" si="191"/>
        <v>0</v>
      </c>
      <c r="DC93" s="64"/>
      <c r="DD93" s="64"/>
      <c r="DE93" s="64"/>
      <c r="DF93" s="64">
        <f t="shared" si="192"/>
        <v>0</v>
      </c>
      <c r="DH93" s="64">
        <f t="shared" si="193"/>
        <v>1754.9</v>
      </c>
      <c r="DI93" s="64">
        <f t="shared" si="194"/>
        <v>1754.9</v>
      </c>
      <c r="DK93" s="64"/>
      <c r="DL93" s="64"/>
      <c r="DN93" s="64"/>
      <c r="DQ93" s="64">
        <f t="shared" si="197"/>
        <v>1754.9</v>
      </c>
      <c r="DR93" s="74"/>
      <c r="DS93" s="74">
        <f>1270.9+484</f>
        <v>1754.9</v>
      </c>
      <c r="DT93" s="64"/>
      <c r="DU93" s="73"/>
      <c r="DV93" s="64">
        <f t="shared" si="198"/>
        <v>0</v>
      </c>
      <c r="DW93" s="64"/>
      <c r="DX93" s="64"/>
      <c r="DY93" s="64"/>
      <c r="DZ93" s="64"/>
      <c r="EA93" s="375"/>
      <c r="EB93" s="375"/>
      <c r="EC93" s="375"/>
      <c r="ED93" s="375"/>
      <c r="EE93" s="375"/>
      <c r="EF93" s="375"/>
      <c r="EG93" s="375"/>
      <c r="EH93" s="375"/>
      <c r="EI93" s="375"/>
      <c r="EJ93" s="375"/>
      <c r="EK93" s="375"/>
      <c r="EL93" s="375"/>
      <c r="EM93" s="375"/>
      <c r="EN93" s="375"/>
      <c r="EO93" s="375"/>
      <c r="EP93" s="375"/>
      <c r="EQ93" s="375"/>
      <c r="ER93" s="375"/>
      <c r="ES93" s="375"/>
      <c r="ET93" s="375"/>
      <c r="EU93" s="375"/>
      <c r="EV93" s="375"/>
      <c r="EW93" s="375"/>
      <c r="EX93" s="375"/>
      <c r="EY93" s="375"/>
      <c r="EZ93" s="375"/>
      <c r="FA93" s="375"/>
      <c r="FB93" s="375"/>
      <c r="FC93" s="375"/>
      <c r="FD93" s="375"/>
      <c r="FE93" s="375"/>
      <c r="FF93" s="375"/>
      <c r="FG93" s="375"/>
      <c r="FH93" s="375"/>
      <c r="FI93" s="375"/>
      <c r="FJ93" s="375"/>
      <c r="FK93" s="375"/>
      <c r="FL93" s="375"/>
      <c r="FM93" s="375"/>
      <c r="FN93" s="375"/>
      <c r="FO93" s="375"/>
      <c r="FP93" s="375"/>
      <c r="FQ93" s="375"/>
      <c r="FR93" s="375"/>
      <c r="FS93" s="375"/>
      <c r="FT93" s="375"/>
      <c r="FU93" s="375"/>
      <c r="FV93" s="375"/>
      <c r="FW93" s="375"/>
      <c r="FX93" s="375"/>
      <c r="FY93" s="375"/>
      <c r="FZ93" s="375"/>
      <c r="GA93" s="375"/>
      <c r="GB93" s="375"/>
      <c r="GC93" s="375"/>
      <c r="GD93" s="375"/>
      <c r="GE93" s="375"/>
      <c r="GF93" s="375"/>
      <c r="GG93" s="375"/>
      <c r="GH93" s="375"/>
      <c r="GI93" s="375"/>
      <c r="GJ93" s="375"/>
      <c r="GK93" s="375"/>
      <c r="GL93" s="375"/>
      <c r="GM93" s="375"/>
      <c r="GN93" s="375"/>
      <c r="GO93" s="375"/>
      <c r="GP93" s="375"/>
      <c r="GQ93" s="375"/>
      <c r="GR93" s="375"/>
    </row>
    <row r="94" spans="1:200" s="48" customFormat="1" ht="25.5" customHeight="1" x14ac:dyDescent="0.3">
      <c r="A94" s="276"/>
      <c r="B94" s="277"/>
      <c r="C94" s="278"/>
      <c r="D94" s="278"/>
      <c r="E94" s="279"/>
      <c r="F94" s="277"/>
      <c r="G94" s="278"/>
      <c r="H94" s="278"/>
      <c r="I94" s="276"/>
      <c r="J94" s="276"/>
      <c r="K94" s="276"/>
      <c r="L94" s="276"/>
      <c r="M94" s="279"/>
      <c r="N94" s="42" t="s">
        <v>17</v>
      </c>
      <c r="O94" s="42"/>
      <c r="P94" s="42"/>
      <c r="Q94" s="43">
        <f t="shared" si="164"/>
        <v>0</v>
      </c>
      <c r="R94" s="43">
        <f t="shared" si="165"/>
        <v>520.15841999999975</v>
      </c>
      <c r="S94" s="43">
        <f t="shared" si="166"/>
        <v>1809.2837300000101</v>
      </c>
      <c r="T94" s="43">
        <f>T95+T96+T97+T98+T99+T100+T101+T102+T103+T104+T105+T106+T107+T108+T109+T110+T111+T112+T113</f>
        <v>15</v>
      </c>
      <c r="U94" s="43">
        <f>U95+U96+U97+U98+U99+U100+U101+U102+U103+U104+U105+U106+U107+U108+U109+U110+U111+U112+U113</f>
        <v>25</v>
      </c>
      <c r="V94" s="43">
        <f t="shared" ref="V94:Z94" si="200">SUM(V95:V113)-V96</f>
        <v>176296.56599999999</v>
      </c>
      <c r="W94" s="43">
        <f t="shared" si="200"/>
        <v>83271.239999999991</v>
      </c>
      <c r="X94" s="43">
        <f t="shared" si="200"/>
        <v>23981.063999999998</v>
      </c>
      <c r="Y94" s="43">
        <f t="shared" si="200"/>
        <v>69044.262000000002</v>
      </c>
      <c r="Z94" s="43">
        <f t="shared" si="200"/>
        <v>0</v>
      </c>
      <c r="AA94" s="43">
        <f t="shared" ref="AA94:AE94" si="201">SUM(AA95:AA113)-AA96</f>
        <v>179496.90199999997</v>
      </c>
      <c r="AB94" s="43">
        <f t="shared" si="201"/>
        <v>83271.239999999991</v>
      </c>
      <c r="AC94" s="43">
        <f t="shared" si="201"/>
        <v>27181.399999999994</v>
      </c>
      <c r="AD94" s="43">
        <f t="shared" si="201"/>
        <v>69044.262000000002</v>
      </c>
      <c r="AE94" s="43">
        <f t="shared" si="201"/>
        <v>0</v>
      </c>
      <c r="AF94" s="43">
        <f t="shared" ref="AF94:AJ94" si="202">SUM(AF95:AF113)-AF96</f>
        <v>162229.52599999995</v>
      </c>
      <c r="AG94" s="43">
        <f t="shared" si="202"/>
        <v>83271.239999999991</v>
      </c>
      <c r="AH94" s="43">
        <f t="shared" si="202"/>
        <v>27181.399999999994</v>
      </c>
      <c r="AI94" s="43">
        <f t="shared" si="202"/>
        <v>51776.885999999999</v>
      </c>
      <c r="AJ94" s="43">
        <f t="shared" si="202"/>
        <v>0</v>
      </c>
      <c r="AK94" s="45">
        <f t="shared" ref="AK94:AO94" si="203">SUM(AK95:AK113)-AK96</f>
        <v>146866.12599999999</v>
      </c>
      <c r="AL94" s="43">
        <f t="shared" si="203"/>
        <v>83271.239999999991</v>
      </c>
      <c r="AM94" s="43">
        <f t="shared" si="203"/>
        <v>11818</v>
      </c>
      <c r="AN94" s="43">
        <f t="shared" si="203"/>
        <v>51776.885999999999</v>
      </c>
      <c r="AO94" s="43">
        <f t="shared" si="203"/>
        <v>0</v>
      </c>
      <c r="AP94" s="44"/>
      <c r="AQ94" s="43">
        <f>SUM(AQ95:AQ113)-AQ96</f>
        <v>176296.56599999999</v>
      </c>
      <c r="AR94" s="43">
        <f>SUM(AR95:AR113)-AR96</f>
        <v>83271.239999999991</v>
      </c>
      <c r="AS94" s="43">
        <f>SUM(AS95:AS113)-AS96</f>
        <v>23981.063999999998</v>
      </c>
      <c r="AT94" s="43">
        <f>SUM(AT95:AT113)-AT96</f>
        <v>69044.262000000002</v>
      </c>
      <c r="AU94" s="43">
        <f>SUM(AU95:AU113)-AU96</f>
        <v>0</v>
      </c>
      <c r="AV94" s="43">
        <f t="shared" si="152"/>
        <v>0</v>
      </c>
      <c r="AW94" s="43">
        <f t="shared" si="153"/>
        <v>0</v>
      </c>
      <c r="AX94" s="43">
        <f t="shared" si="154"/>
        <v>0</v>
      </c>
      <c r="AY94" s="43">
        <f t="shared" si="155"/>
        <v>0</v>
      </c>
      <c r="AZ94" s="43" t="e">
        <f t="shared" ref="AZ94:BE94" si="204">SUM(AZ95:AZ113)-AZ96</f>
        <v>#REF!</v>
      </c>
      <c r="BA94" s="43">
        <f t="shared" si="204"/>
        <v>159273.92241</v>
      </c>
      <c r="BB94" s="43">
        <f t="shared" si="204"/>
        <v>66248.596409999998</v>
      </c>
      <c r="BC94" s="43">
        <f t="shared" si="204"/>
        <v>23981.063999999998</v>
      </c>
      <c r="BD94" s="43">
        <f t="shared" si="204"/>
        <v>69044.262000000002</v>
      </c>
      <c r="BE94" s="43">
        <f t="shared" si="204"/>
        <v>0</v>
      </c>
      <c r="BF94" s="43">
        <f t="shared" ref="BF94:CJ94" si="205">SUM(BF95:BF113)-BF96</f>
        <v>0</v>
      </c>
      <c r="BG94" s="43">
        <f t="shared" si="205"/>
        <v>0</v>
      </c>
      <c r="BH94" s="43">
        <f t="shared" si="205"/>
        <v>0</v>
      </c>
      <c r="BI94" s="43">
        <f t="shared" si="205"/>
        <v>0</v>
      </c>
      <c r="BJ94" s="43">
        <f t="shared" si="205"/>
        <v>0</v>
      </c>
      <c r="BK94" s="43">
        <f t="shared" si="205"/>
        <v>159273.92241</v>
      </c>
      <c r="BL94" s="43">
        <f t="shared" si="205"/>
        <v>66248.596409999998</v>
      </c>
      <c r="BM94" s="43">
        <f t="shared" si="205"/>
        <v>23981.063999999998</v>
      </c>
      <c r="BN94" s="43">
        <f t="shared" si="205"/>
        <v>69044.262000000002</v>
      </c>
      <c r="BO94" s="43">
        <f t="shared" si="205"/>
        <v>0</v>
      </c>
      <c r="BP94" s="43">
        <f t="shared" si="205"/>
        <v>156944.48025999998</v>
      </c>
      <c r="BQ94" s="43">
        <f>SUM(BQ95:BQ113)-BQ96</f>
        <v>66248.596409999998</v>
      </c>
      <c r="BR94" s="43">
        <f t="shared" si="205"/>
        <v>23460.905579999999</v>
      </c>
      <c r="BS94" s="43">
        <f t="shared" si="205"/>
        <v>67234.978269999992</v>
      </c>
      <c r="BT94" s="43">
        <f t="shared" si="205"/>
        <v>0</v>
      </c>
      <c r="BU94" s="45">
        <f t="shared" si="205"/>
        <v>48429.929639999988</v>
      </c>
      <c r="BV94" s="304">
        <f t="shared" si="205"/>
        <v>9315.9783900000002</v>
      </c>
      <c r="BW94" s="304">
        <f t="shared" si="205"/>
        <v>16702.270969999998</v>
      </c>
      <c r="BX94" s="304">
        <f t="shared" si="205"/>
        <v>22411.68028</v>
      </c>
      <c r="BY94" s="43">
        <f t="shared" si="205"/>
        <v>0</v>
      </c>
      <c r="BZ94" s="43">
        <f t="shared" si="205"/>
        <v>205374.4099</v>
      </c>
      <c r="CA94" s="43">
        <f t="shared" si="156"/>
        <v>205374.4099</v>
      </c>
      <c r="CB94" s="43">
        <f t="shared" si="157"/>
        <v>75564.574800000002</v>
      </c>
      <c r="CC94" s="43">
        <f t="shared" si="158"/>
        <v>40163.176549999996</v>
      </c>
      <c r="CD94" s="43">
        <f t="shared" si="159"/>
        <v>89646.658549999993</v>
      </c>
      <c r="CE94" s="43">
        <f t="shared" si="205"/>
        <v>0</v>
      </c>
      <c r="CF94" s="43">
        <f t="shared" si="160"/>
        <v>2329.4421500000099</v>
      </c>
      <c r="CG94" s="43">
        <f t="shared" si="161"/>
        <v>0</v>
      </c>
      <c r="CH94" s="43">
        <f t="shared" si="162"/>
        <v>520.15841999999975</v>
      </c>
      <c r="CI94" s="43">
        <f t="shared" si="163"/>
        <v>1809.2837300000101</v>
      </c>
      <c r="CJ94" s="43">
        <f t="shared" si="205"/>
        <v>0</v>
      </c>
      <c r="CK94" s="46">
        <f>CL94+CN94-BF94</f>
        <v>159273.92241</v>
      </c>
      <c r="CL94" s="47">
        <f t="shared" ref="CL94:DF94" si="206">SUM(CL95:CL113)-CL96</f>
        <v>159273.92241</v>
      </c>
      <c r="CM94" s="47">
        <f t="shared" si="206"/>
        <v>159273.92241</v>
      </c>
      <c r="CN94" s="43">
        <f t="shared" si="206"/>
        <v>0</v>
      </c>
      <c r="CO94" s="43">
        <f t="shared" si="206"/>
        <v>0</v>
      </c>
      <c r="CP94" s="43">
        <f t="shared" si="206"/>
        <v>0</v>
      </c>
      <c r="CQ94" s="43">
        <f t="shared" si="206"/>
        <v>0</v>
      </c>
      <c r="CR94" s="43">
        <f t="shared" si="206"/>
        <v>0</v>
      </c>
      <c r="CS94" s="43">
        <f t="shared" si="206"/>
        <v>0</v>
      </c>
      <c r="CT94" s="43">
        <f t="shared" si="206"/>
        <v>0</v>
      </c>
      <c r="CU94" s="43">
        <f t="shared" si="206"/>
        <v>0</v>
      </c>
      <c r="CV94" s="43">
        <f t="shared" si="206"/>
        <v>0</v>
      </c>
      <c r="CW94" s="43">
        <f t="shared" si="206"/>
        <v>0</v>
      </c>
      <c r="CX94" s="43">
        <f t="shared" si="206"/>
        <v>0</v>
      </c>
      <c r="CY94" s="43">
        <f t="shared" si="206"/>
        <v>0</v>
      </c>
      <c r="CZ94" s="43">
        <f t="shared" si="206"/>
        <v>0</v>
      </c>
      <c r="DA94" s="43">
        <f t="shared" si="206"/>
        <v>0</v>
      </c>
      <c r="DB94" s="43">
        <f t="shared" si="206"/>
        <v>0</v>
      </c>
      <c r="DC94" s="43">
        <f t="shared" si="206"/>
        <v>0</v>
      </c>
      <c r="DD94" s="43">
        <f t="shared" si="206"/>
        <v>0</v>
      </c>
      <c r="DE94" s="43">
        <f t="shared" si="206"/>
        <v>0</v>
      </c>
      <c r="DF94" s="43">
        <f t="shared" si="206"/>
        <v>2329.4421500000099</v>
      </c>
      <c r="DH94" s="43">
        <f>SUM(DH95:DH113)-DH96</f>
        <v>159273.92241</v>
      </c>
      <c r="DI94" s="43">
        <f>SUM(DI95:DI113)-DI96</f>
        <v>156944.48025999998</v>
      </c>
      <c r="DK94" s="43">
        <f>SUM(DK95:DK113)-DK96</f>
        <v>156944.48026000001</v>
      </c>
      <c r="DL94" s="43">
        <f>SUM(DL95:DL113)-DL96</f>
        <v>2329.4421500000099</v>
      </c>
      <c r="DN94" s="43">
        <f>SUM(DN95:DN113)-DN96</f>
        <v>2329.4421500000026</v>
      </c>
      <c r="DO94" s="49">
        <f>DF94-DN94</f>
        <v>7.2759576141834259E-12</v>
      </c>
      <c r="DP94" s="49"/>
      <c r="DQ94" s="43">
        <f>SUM(DQ95:DQ113)-DQ96</f>
        <v>158175.72798999998</v>
      </c>
      <c r="DR94" s="43">
        <f t="shared" ref="DR94:DU94" si="207">SUM(DR95:DR113)-DR96</f>
        <v>66248.596409999998</v>
      </c>
      <c r="DS94" s="43">
        <f t="shared" si="207"/>
        <v>23460.905579999999</v>
      </c>
      <c r="DT94" s="43">
        <f t="shared" si="207"/>
        <v>68466.225999999995</v>
      </c>
      <c r="DU94" s="43">
        <f t="shared" si="207"/>
        <v>0</v>
      </c>
      <c r="DV94" s="43">
        <f>SUM(DV95:DV113)-DV96</f>
        <v>41176.601749999994</v>
      </c>
      <c r="DW94" s="43">
        <f t="shared" ref="DW94:DZ94" si="208">SUM(DW95:DW113)-DW96</f>
        <v>9315.9783900000002</v>
      </c>
      <c r="DX94" s="43">
        <f t="shared" si="208"/>
        <v>10680.22681</v>
      </c>
      <c r="DY94" s="43">
        <f t="shared" si="208"/>
        <v>21180.396549999998</v>
      </c>
      <c r="DZ94" s="43">
        <f t="shared" si="208"/>
        <v>0</v>
      </c>
      <c r="EA94" s="372"/>
      <c r="EB94" s="372"/>
      <c r="EC94" s="372"/>
      <c r="ED94" s="372"/>
      <c r="EE94" s="372"/>
      <c r="EF94" s="372"/>
      <c r="EG94" s="372"/>
      <c r="EH94" s="372"/>
      <c r="EI94" s="372"/>
      <c r="EJ94" s="372"/>
      <c r="EK94" s="372"/>
      <c r="EL94" s="372"/>
      <c r="EM94" s="372"/>
      <c r="EN94" s="372"/>
      <c r="EO94" s="372"/>
      <c r="EP94" s="372"/>
      <c r="EQ94" s="372"/>
      <c r="ER94" s="372"/>
      <c r="ES94" s="372"/>
      <c r="ET94" s="372"/>
      <c r="EU94" s="372"/>
      <c r="EV94" s="372"/>
      <c r="EW94" s="372"/>
      <c r="EX94" s="372"/>
      <c r="EY94" s="372"/>
      <c r="EZ94" s="372"/>
      <c r="FA94" s="372"/>
      <c r="FB94" s="372"/>
      <c r="FC94" s="372"/>
      <c r="FD94" s="372"/>
      <c r="FE94" s="372"/>
      <c r="FF94" s="372"/>
      <c r="FG94" s="372"/>
      <c r="FH94" s="372"/>
      <c r="FI94" s="372"/>
      <c r="FJ94" s="372"/>
      <c r="FK94" s="372"/>
      <c r="FL94" s="372"/>
      <c r="FM94" s="372"/>
      <c r="FN94" s="372"/>
      <c r="FO94" s="372"/>
      <c r="FP94" s="372"/>
      <c r="FQ94" s="372"/>
      <c r="FR94" s="372"/>
      <c r="FS94" s="372"/>
      <c r="FT94" s="372"/>
      <c r="FU94" s="372"/>
      <c r="FV94" s="372"/>
      <c r="FW94" s="372"/>
      <c r="FX94" s="372"/>
      <c r="FY94" s="372"/>
      <c r="FZ94" s="372"/>
      <c r="GA94" s="372"/>
      <c r="GB94" s="372"/>
      <c r="GC94" s="372"/>
      <c r="GD94" s="372"/>
      <c r="GE94" s="372"/>
      <c r="GF94" s="372"/>
      <c r="GG94" s="372"/>
      <c r="GH94" s="372"/>
      <c r="GI94" s="372"/>
      <c r="GJ94" s="372"/>
      <c r="GK94" s="372"/>
      <c r="GL94" s="372"/>
      <c r="GM94" s="372"/>
      <c r="GN94" s="372"/>
      <c r="GO94" s="372"/>
      <c r="GP94" s="372"/>
      <c r="GQ94" s="372"/>
      <c r="GR94" s="372"/>
    </row>
    <row r="95" spans="1:200" s="96" customFormat="1" ht="15" customHeight="1" x14ac:dyDescent="0.3">
      <c r="A95" s="289"/>
      <c r="B95" s="290">
        <v>1</v>
      </c>
      <c r="C95" s="282"/>
      <c r="D95" s="282"/>
      <c r="E95" s="4">
        <v>78</v>
      </c>
      <c r="F95" s="290">
        <v>1</v>
      </c>
      <c r="G95" s="282"/>
      <c r="H95" s="282">
        <v>1</v>
      </c>
      <c r="I95" s="289"/>
      <c r="J95" s="289"/>
      <c r="K95" s="289"/>
      <c r="L95" s="289"/>
      <c r="M95" s="4">
        <v>75</v>
      </c>
      <c r="N95" s="68" t="s">
        <v>212</v>
      </c>
      <c r="O95" s="63" t="s">
        <v>448</v>
      </c>
      <c r="P95" s="63" t="s">
        <v>448</v>
      </c>
      <c r="Q95" s="64">
        <f t="shared" si="164"/>
        <v>0</v>
      </c>
      <c r="R95" s="64">
        <f t="shared" si="165"/>
        <v>0</v>
      </c>
      <c r="S95" s="64">
        <f t="shared" si="166"/>
        <v>0</v>
      </c>
      <c r="T95" s="64"/>
      <c r="U95" s="64">
        <v>1</v>
      </c>
      <c r="V95" s="64">
        <f t="shared" ref="V95:V113" si="209">W95+X95+Y95+Z95</f>
        <v>42564.74</v>
      </c>
      <c r="W95" s="64">
        <v>42564.74</v>
      </c>
      <c r="X95" s="65">
        <v>0</v>
      </c>
      <c r="Y95" s="70"/>
      <c r="Z95" s="100"/>
      <c r="AA95" s="64">
        <f t="shared" ref="AA95:AA113" si="210">AB95+AC95+AD95+AE95</f>
        <v>42564.74</v>
      </c>
      <c r="AB95" s="64">
        <v>42564.74</v>
      </c>
      <c r="AC95" s="65">
        <v>0</v>
      </c>
      <c r="AD95" s="70"/>
      <c r="AE95" s="100"/>
      <c r="AF95" s="64">
        <f t="shared" ref="AF95:AF113" si="211">AG95+AH95+AI95+AJ95</f>
        <v>42564.74</v>
      </c>
      <c r="AG95" s="64">
        <v>42564.74</v>
      </c>
      <c r="AH95" s="65">
        <v>0</v>
      </c>
      <c r="AI95" s="70"/>
      <c r="AJ95" s="100"/>
      <c r="AK95" s="64">
        <f t="shared" ref="AK95:AK113" si="212">AL95+AM95+AN95+AO95</f>
        <v>43747.74</v>
      </c>
      <c r="AL95" s="64">
        <v>42564.74</v>
      </c>
      <c r="AM95" s="65">
        <v>1183</v>
      </c>
      <c r="AN95" s="70"/>
      <c r="AO95" s="70"/>
      <c r="AP95" s="64" t="s">
        <v>331</v>
      </c>
      <c r="AQ95" s="64">
        <f t="shared" ref="AQ95:AQ113" si="213">AR95+AS95+AT95+AU95</f>
        <v>42564.74</v>
      </c>
      <c r="AR95" s="64">
        <v>42564.74</v>
      </c>
      <c r="AS95" s="65"/>
      <c r="AT95" s="70"/>
      <c r="AU95" s="70"/>
      <c r="AV95" s="64">
        <f t="shared" si="152"/>
        <v>0</v>
      </c>
      <c r="AW95" s="64">
        <f t="shared" si="153"/>
        <v>0</v>
      </c>
      <c r="AX95" s="64">
        <f t="shared" si="154"/>
        <v>0</v>
      </c>
      <c r="AY95" s="64">
        <f t="shared" si="155"/>
        <v>0</v>
      </c>
      <c r="AZ95" s="64" t="e">
        <f>#REF!-AU95</f>
        <v>#REF!</v>
      </c>
      <c r="BA95" s="64">
        <f t="shared" ref="BA95:BA113" si="214">BB95+BC95+BD95+BE95</f>
        <v>42564.740000000005</v>
      </c>
      <c r="BB95" s="64">
        <f>4470.69038+12326.72774+5484.42853+19769.46707+513.42628</f>
        <v>42564.740000000005</v>
      </c>
      <c r="BC95" s="65"/>
      <c r="BD95" s="70"/>
      <c r="BE95" s="70"/>
      <c r="BF95" s="64">
        <f t="shared" ref="BF95:BF113" si="215">BG95+BH95+BI95+BJ95</f>
        <v>0</v>
      </c>
      <c r="BG95" s="64"/>
      <c r="BH95" s="65"/>
      <c r="BI95" s="70"/>
      <c r="BJ95" s="70"/>
      <c r="BK95" s="64">
        <f t="shared" ref="BK95:BK113" si="216">BL95+BM95+BN95+BO95</f>
        <v>42564.740000000005</v>
      </c>
      <c r="BL95" s="64">
        <f>4470.69038+12326.72774+5484.42853+19769.46707+513.42628</f>
        <v>42564.740000000005</v>
      </c>
      <c r="BM95" s="74"/>
      <c r="BN95" s="70"/>
      <c r="BO95" s="70"/>
      <c r="BP95" s="64">
        <f>BQ95+BR95+BS95+BT95</f>
        <v>42564.740000000005</v>
      </c>
      <c r="BQ95" s="64">
        <f>4470.69038+12326.72774+5484.42853+19769.46707+513.42628</f>
        <v>42564.740000000005</v>
      </c>
      <c r="BR95" s="64">
        <v>0</v>
      </c>
      <c r="BS95" s="64">
        <v>0</v>
      </c>
      <c r="BT95" s="64">
        <v>0</v>
      </c>
      <c r="BU95" s="64">
        <f t="shared" ref="BU95:BU113" si="217">BV95+BW95+BX95+BY95</f>
        <v>8069.4596199999996</v>
      </c>
      <c r="BV95" s="64">
        <f>235.29949+648.77514+288.65413+1040.49827+5856.23259</f>
        <v>8069.4596199999996</v>
      </c>
      <c r="BW95" s="70"/>
      <c r="BX95" s="70"/>
      <c r="BY95" s="70"/>
      <c r="BZ95" s="60">
        <f t="shared" ref="BZ95:BZ113" si="218">CA95</f>
        <v>50634.199620000007</v>
      </c>
      <c r="CA95" s="64">
        <f t="shared" si="156"/>
        <v>50634.199620000007</v>
      </c>
      <c r="CB95" s="64">
        <f t="shared" si="157"/>
        <v>50634.199620000007</v>
      </c>
      <c r="CC95" s="64">
        <f t="shared" si="158"/>
        <v>0</v>
      </c>
      <c r="CD95" s="64">
        <f t="shared" si="159"/>
        <v>0</v>
      </c>
      <c r="CE95" s="64">
        <f t="shared" ref="CE95:CE113" si="219">BT95+BY95</f>
        <v>0</v>
      </c>
      <c r="CF95" s="64">
        <f t="shared" si="160"/>
        <v>0</v>
      </c>
      <c r="CG95" s="64">
        <f t="shared" si="161"/>
        <v>0</v>
      </c>
      <c r="CH95" s="64">
        <f t="shared" si="162"/>
        <v>0</v>
      </c>
      <c r="CI95" s="64">
        <f t="shared" si="163"/>
        <v>0</v>
      </c>
      <c r="CJ95" s="64">
        <f t="shared" ref="CJ95:CJ113" si="220">BO95-BT95</f>
        <v>0</v>
      </c>
      <c r="CK95" s="94"/>
      <c r="CL95" s="102">
        <f>BA95</f>
        <v>42564.740000000005</v>
      </c>
      <c r="CM95" s="102">
        <f>CL95+CN95</f>
        <v>42564.740000000005</v>
      </c>
      <c r="CN95" s="64">
        <f t="shared" ref="CN95:CN113" si="221">CO95+CP95+CQ95+CR95</f>
        <v>0</v>
      </c>
      <c r="CO95" s="64"/>
      <c r="CP95" s="65"/>
      <c r="CQ95" s="70"/>
      <c r="CR95" s="70"/>
      <c r="CS95" s="64">
        <f t="shared" ref="CS95:CS113" si="222">CT95+CU95+CV95+CW95</f>
        <v>0</v>
      </c>
      <c r="CT95" s="64"/>
      <c r="CU95" s="65"/>
      <c r="CV95" s="70"/>
      <c r="CW95" s="70"/>
      <c r="CX95" s="64">
        <f t="shared" ref="CX95:CX113" si="223">CY95+CZ95+DA95+DB95</f>
        <v>0</v>
      </c>
      <c r="CY95" s="64">
        <f t="shared" ref="CY95:DB113" si="224">CO95-CT95</f>
        <v>0</v>
      </c>
      <c r="CZ95" s="64">
        <f t="shared" si="224"/>
        <v>0</v>
      </c>
      <c r="DA95" s="64">
        <f t="shared" si="224"/>
        <v>0</v>
      </c>
      <c r="DB95" s="64">
        <f t="shared" si="224"/>
        <v>0</v>
      </c>
      <c r="DC95" s="70"/>
      <c r="DD95" s="70"/>
      <c r="DE95" s="70"/>
      <c r="DF95" s="64">
        <f t="shared" ref="DF95:DF113" si="225">CF95+CX95+DE95</f>
        <v>0</v>
      </c>
      <c r="DG95" s="61"/>
      <c r="DH95" s="64">
        <f t="shared" ref="DH95:DH113" si="226">BK95+CN95+DC95</f>
        <v>42564.740000000005</v>
      </c>
      <c r="DI95" s="64">
        <f t="shared" ref="DI95:DI113" si="227">BP95+CS95+DD95</f>
        <v>42564.740000000005</v>
      </c>
      <c r="DK95" s="64">
        <f>DI95</f>
        <v>42564.740000000005</v>
      </c>
      <c r="DL95" s="64">
        <f>DF95</f>
        <v>0</v>
      </c>
      <c r="DN95" s="64">
        <f>CM95-DK95</f>
        <v>0</v>
      </c>
      <c r="DQ95" s="64">
        <f t="shared" ref="DQ95:DQ113" si="228">DR95+DS95+DT95+DU95</f>
        <v>42564.740000000005</v>
      </c>
      <c r="DR95" s="64">
        <f>4470.69038+12326.72774+5484.42853+19769.46707+513.42628</f>
        <v>42564.740000000005</v>
      </c>
      <c r="DS95" s="64">
        <v>0</v>
      </c>
      <c r="DT95" s="70"/>
      <c r="DU95" s="70"/>
      <c r="DV95" s="64">
        <f t="shared" ref="DV95:DV113" si="229">DW95+DX95+DY95+DZ95</f>
        <v>8069.4596199999996</v>
      </c>
      <c r="DW95" s="64">
        <f>235.29949+648.77514+288.65413+1040.49827+5856.23259</f>
        <v>8069.4596199999996</v>
      </c>
      <c r="DX95" s="70"/>
      <c r="DY95" s="70"/>
      <c r="DZ95" s="70"/>
      <c r="EA95" s="376"/>
      <c r="EB95" s="376"/>
      <c r="EC95" s="376"/>
      <c r="ED95" s="376"/>
      <c r="EE95" s="376"/>
      <c r="EF95" s="376"/>
      <c r="EG95" s="376"/>
      <c r="EH95" s="376"/>
      <c r="EI95" s="376"/>
      <c r="EJ95" s="376"/>
      <c r="EK95" s="376"/>
      <c r="EL95" s="376"/>
      <c r="EM95" s="376"/>
      <c r="EN95" s="376"/>
      <c r="EO95" s="376"/>
      <c r="EP95" s="376"/>
      <c r="EQ95" s="376"/>
      <c r="ER95" s="376"/>
      <c r="ES95" s="376"/>
      <c r="ET95" s="376"/>
      <c r="EU95" s="376"/>
      <c r="EV95" s="376"/>
      <c r="EW95" s="376"/>
      <c r="EX95" s="376"/>
      <c r="EY95" s="376"/>
      <c r="EZ95" s="376"/>
      <c r="FA95" s="376"/>
      <c r="FB95" s="376"/>
      <c r="FC95" s="376"/>
      <c r="FD95" s="376"/>
      <c r="FE95" s="376"/>
      <c r="FF95" s="376"/>
      <c r="FG95" s="376"/>
      <c r="FH95" s="376"/>
      <c r="FI95" s="376"/>
      <c r="FJ95" s="376"/>
      <c r="FK95" s="376"/>
      <c r="FL95" s="376"/>
      <c r="FM95" s="376"/>
      <c r="FN95" s="376"/>
      <c r="FO95" s="376"/>
      <c r="FP95" s="376"/>
      <c r="FQ95" s="376"/>
      <c r="FR95" s="376"/>
      <c r="FS95" s="376"/>
      <c r="FT95" s="376"/>
      <c r="FU95" s="376"/>
      <c r="FV95" s="376"/>
      <c r="FW95" s="376"/>
      <c r="FX95" s="376"/>
      <c r="FY95" s="376"/>
      <c r="FZ95" s="376"/>
      <c r="GA95" s="376"/>
      <c r="GB95" s="376"/>
      <c r="GC95" s="376"/>
      <c r="GD95" s="376"/>
      <c r="GE95" s="376"/>
      <c r="GF95" s="376"/>
      <c r="GG95" s="376"/>
      <c r="GH95" s="376"/>
      <c r="GI95" s="376"/>
      <c r="GJ95" s="376"/>
      <c r="GK95" s="376"/>
      <c r="GL95" s="376"/>
      <c r="GM95" s="376"/>
      <c r="GN95" s="376"/>
      <c r="GO95" s="376"/>
      <c r="GP95" s="376"/>
      <c r="GQ95" s="376"/>
      <c r="GR95" s="376"/>
    </row>
    <row r="96" spans="1:200" s="96" customFormat="1" ht="15.75" hidden="1" customHeight="1" x14ac:dyDescent="0.3">
      <c r="A96" s="289"/>
      <c r="B96" s="290"/>
      <c r="C96" s="282"/>
      <c r="D96" s="282"/>
      <c r="E96" s="4"/>
      <c r="F96" s="290"/>
      <c r="G96" s="282"/>
      <c r="H96" s="282"/>
      <c r="I96" s="289"/>
      <c r="J96" s="289"/>
      <c r="K96" s="289"/>
      <c r="L96" s="289"/>
      <c r="M96" s="4"/>
      <c r="N96" s="371" t="s">
        <v>249</v>
      </c>
      <c r="O96" s="69"/>
      <c r="P96" s="69"/>
      <c r="Q96" s="70">
        <f t="shared" si="164"/>
        <v>0</v>
      </c>
      <c r="R96" s="70">
        <f t="shared" si="165"/>
        <v>0</v>
      </c>
      <c r="S96" s="70">
        <f t="shared" si="166"/>
        <v>0</v>
      </c>
      <c r="T96" s="69"/>
      <c r="U96" s="69"/>
      <c r="V96" s="64">
        <f t="shared" si="209"/>
        <v>0</v>
      </c>
      <c r="W96" s="64"/>
      <c r="X96" s="71"/>
      <c r="Y96" s="70"/>
      <c r="Z96" s="100"/>
      <c r="AA96" s="64">
        <f t="shared" si="210"/>
        <v>0</v>
      </c>
      <c r="AB96" s="64"/>
      <c r="AC96" s="71"/>
      <c r="AD96" s="70"/>
      <c r="AE96" s="100"/>
      <c r="AF96" s="64">
        <f t="shared" si="211"/>
        <v>0</v>
      </c>
      <c r="AG96" s="64"/>
      <c r="AH96" s="71"/>
      <c r="AI96" s="70"/>
      <c r="AJ96" s="100"/>
      <c r="AK96" s="64">
        <f t="shared" si="212"/>
        <v>0</v>
      </c>
      <c r="AL96" s="64"/>
      <c r="AM96" s="71"/>
      <c r="AN96" s="70"/>
      <c r="AO96" s="70"/>
      <c r="AP96" s="70"/>
      <c r="AQ96" s="64">
        <f t="shared" si="213"/>
        <v>0</v>
      </c>
      <c r="AR96" s="71"/>
      <c r="AS96" s="71"/>
      <c r="AT96" s="70"/>
      <c r="AU96" s="70"/>
      <c r="AV96" s="64">
        <f t="shared" si="152"/>
        <v>0</v>
      </c>
      <c r="AW96" s="64">
        <f t="shared" si="153"/>
        <v>0</v>
      </c>
      <c r="AX96" s="64">
        <f t="shared" si="154"/>
        <v>0</v>
      </c>
      <c r="AY96" s="64">
        <f t="shared" si="155"/>
        <v>0</v>
      </c>
      <c r="AZ96" s="64" t="e">
        <f>#REF!-AU96</f>
        <v>#REF!</v>
      </c>
      <c r="BA96" s="64">
        <f t="shared" si="214"/>
        <v>0</v>
      </c>
      <c r="BB96" s="71"/>
      <c r="BC96" s="71"/>
      <c r="BD96" s="70"/>
      <c r="BE96" s="70"/>
      <c r="BF96" s="64">
        <f t="shared" si="215"/>
        <v>0</v>
      </c>
      <c r="BG96" s="71"/>
      <c r="BH96" s="71"/>
      <c r="BI96" s="70"/>
      <c r="BJ96" s="70"/>
      <c r="BK96" s="64">
        <f t="shared" si="216"/>
        <v>0</v>
      </c>
      <c r="BL96" s="71"/>
      <c r="BM96" s="103"/>
      <c r="BN96" s="70"/>
      <c r="BO96" s="70"/>
      <c r="BP96" s="64">
        <f t="shared" ref="BP96:BP113" si="230">BQ96+BR96+BS96+BT96</f>
        <v>0</v>
      </c>
      <c r="BQ96" s="103"/>
      <c r="BR96" s="103"/>
      <c r="BS96" s="70"/>
      <c r="BT96" s="70"/>
      <c r="BU96" s="64">
        <f t="shared" si="217"/>
        <v>0</v>
      </c>
      <c r="BV96" s="70"/>
      <c r="BW96" s="70"/>
      <c r="BX96" s="70"/>
      <c r="BY96" s="70"/>
      <c r="BZ96" s="60">
        <f t="shared" si="218"/>
        <v>0</v>
      </c>
      <c r="CA96" s="64">
        <f t="shared" si="156"/>
        <v>0</v>
      </c>
      <c r="CB96" s="64">
        <f t="shared" si="157"/>
        <v>0</v>
      </c>
      <c r="CC96" s="64">
        <f t="shared" si="158"/>
        <v>0</v>
      </c>
      <c r="CD96" s="64">
        <f t="shared" si="159"/>
        <v>0</v>
      </c>
      <c r="CE96" s="64">
        <f t="shared" si="219"/>
        <v>0</v>
      </c>
      <c r="CF96" s="64">
        <f t="shared" si="160"/>
        <v>0</v>
      </c>
      <c r="CG96" s="64">
        <f t="shared" si="161"/>
        <v>0</v>
      </c>
      <c r="CH96" s="64">
        <f t="shared" si="162"/>
        <v>0</v>
      </c>
      <c r="CI96" s="64">
        <f t="shared" si="163"/>
        <v>0</v>
      </c>
      <c r="CJ96" s="64">
        <f t="shared" si="220"/>
        <v>0</v>
      </c>
      <c r="CK96" s="94"/>
      <c r="CL96" s="102"/>
      <c r="CM96" s="102"/>
      <c r="CN96" s="64">
        <f t="shared" si="221"/>
        <v>0</v>
      </c>
      <c r="CO96" s="71"/>
      <c r="CP96" s="71"/>
      <c r="CQ96" s="70"/>
      <c r="CR96" s="70"/>
      <c r="CS96" s="64">
        <f t="shared" si="222"/>
        <v>0</v>
      </c>
      <c r="CT96" s="71"/>
      <c r="CU96" s="71"/>
      <c r="CV96" s="70"/>
      <c r="CW96" s="70"/>
      <c r="CX96" s="64">
        <f t="shared" si="223"/>
        <v>0</v>
      </c>
      <c r="CY96" s="64">
        <f t="shared" si="224"/>
        <v>0</v>
      </c>
      <c r="CZ96" s="64">
        <f t="shared" si="224"/>
        <v>0</v>
      </c>
      <c r="DA96" s="64">
        <f t="shared" si="224"/>
        <v>0</v>
      </c>
      <c r="DB96" s="64">
        <f t="shared" si="224"/>
        <v>0</v>
      </c>
      <c r="DC96" s="70"/>
      <c r="DD96" s="70"/>
      <c r="DE96" s="70"/>
      <c r="DF96" s="64">
        <f t="shared" si="225"/>
        <v>0</v>
      </c>
      <c r="DG96" s="61"/>
      <c r="DH96" s="64">
        <f t="shared" si="226"/>
        <v>0</v>
      </c>
      <c r="DI96" s="64">
        <f t="shared" si="227"/>
        <v>0</v>
      </c>
      <c r="DK96" s="70"/>
      <c r="DL96" s="70"/>
      <c r="DN96" s="70"/>
      <c r="DQ96" s="64">
        <f t="shared" si="228"/>
        <v>0</v>
      </c>
      <c r="DR96" s="103"/>
      <c r="DS96" s="103"/>
      <c r="DT96" s="70"/>
      <c r="DU96" s="70"/>
      <c r="DV96" s="64">
        <f t="shared" si="229"/>
        <v>0</v>
      </c>
      <c r="DW96" s="70"/>
      <c r="DX96" s="70"/>
      <c r="DY96" s="70"/>
      <c r="DZ96" s="70"/>
      <c r="EA96" s="376"/>
      <c r="EB96" s="376"/>
      <c r="EC96" s="376"/>
      <c r="ED96" s="376"/>
      <c r="EE96" s="376"/>
      <c r="EF96" s="376"/>
      <c r="EG96" s="376"/>
      <c r="EH96" s="376"/>
      <c r="EI96" s="376"/>
      <c r="EJ96" s="376"/>
      <c r="EK96" s="376"/>
      <c r="EL96" s="376"/>
      <c r="EM96" s="376"/>
      <c r="EN96" s="376"/>
      <c r="EO96" s="376"/>
      <c r="EP96" s="376"/>
      <c r="EQ96" s="376"/>
      <c r="ER96" s="376"/>
      <c r="ES96" s="376"/>
      <c r="ET96" s="376"/>
      <c r="EU96" s="376"/>
      <c r="EV96" s="376"/>
      <c r="EW96" s="376"/>
      <c r="EX96" s="376"/>
      <c r="EY96" s="376"/>
      <c r="EZ96" s="376"/>
      <c r="FA96" s="376"/>
      <c r="FB96" s="376"/>
      <c r="FC96" s="376"/>
      <c r="FD96" s="376"/>
      <c r="FE96" s="376"/>
      <c r="FF96" s="376"/>
      <c r="FG96" s="376"/>
      <c r="FH96" s="376"/>
      <c r="FI96" s="376"/>
      <c r="FJ96" s="376"/>
      <c r="FK96" s="376"/>
      <c r="FL96" s="376"/>
      <c r="FM96" s="376"/>
      <c r="FN96" s="376"/>
      <c r="FO96" s="376"/>
      <c r="FP96" s="376"/>
      <c r="FQ96" s="376"/>
      <c r="FR96" s="376"/>
      <c r="FS96" s="376"/>
      <c r="FT96" s="376"/>
      <c r="FU96" s="376"/>
      <c r="FV96" s="376"/>
      <c r="FW96" s="376"/>
      <c r="FX96" s="376"/>
      <c r="FY96" s="376"/>
      <c r="FZ96" s="376"/>
      <c r="GA96" s="376"/>
      <c r="GB96" s="376"/>
      <c r="GC96" s="376"/>
      <c r="GD96" s="376"/>
      <c r="GE96" s="376"/>
      <c r="GF96" s="376"/>
      <c r="GG96" s="376"/>
      <c r="GH96" s="376"/>
      <c r="GI96" s="376"/>
      <c r="GJ96" s="376"/>
      <c r="GK96" s="376"/>
      <c r="GL96" s="376"/>
      <c r="GM96" s="376"/>
      <c r="GN96" s="376"/>
      <c r="GO96" s="376"/>
      <c r="GP96" s="376"/>
      <c r="GQ96" s="376"/>
      <c r="GR96" s="376"/>
    </row>
    <row r="97" spans="1:200" s="61" customFormat="1" ht="15.75" customHeight="1" x14ac:dyDescent="0.3">
      <c r="A97" s="280"/>
      <c r="B97" s="281"/>
      <c r="C97" s="282"/>
      <c r="D97" s="282">
        <v>1</v>
      </c>
      <c r="E97" s="4">
        <v>79</v>
      </c>
      <c r="F97" s="281"/>
      <c r="G97" s="282"/>
      <c r="H97" s="282">
        <v>1</v>
      </c>
      <c r="I97" s="280"/>
      <c r="J97" s="280"/>
      <c r="K97" s="280"/>
      <c r="L97" s="280"/>
      <c r="M97" s="4">
        <v>76</v>
      </c>
      <c r="N97" s="62" t="s">
        <v>100</v>
      </c>
      <c r="O97" s="62" t="s">
        <v>450</v>
      </c>
      <c r="P97" s="62" t="s">
        <v>450</v>
      </c>
      <c r="Q97" s="60">
        <f t="shared" si="164"/>
        <v>0</v>
      </c>
      <c r="R97" s="60">
        <f t="shared" si="165"/>
        <v>0</v>
      </c>
      <c r="S97" s="60">
        <f t="shared" si="166"/>
        <v>0</v>
      </c>
      <c r="T97" s="60">
        <v>1</v>
      </c>
      <c r="U97" s="60">
        <v>2</v>
      </c>
      <c r="V97" s="64">
        <f t="shared" si="209"/>
        <v>556.6</v>
      </c>
      <c r="W97" s="64"/>
      <c r="X97" s="65">
        <v>556.6</v>
      </c>
      <c r="Y97" s="64"/>
      <c r="Z97" s="73"/>
      <c r="AA97" s="64">
        <f t="shared" si="210"/>
        <v>556.6</v>
      </c>
      <c r="AB97" s="64"/>
      <c r="AC97" s="65">
        <v>556.6</v>
      </c>
      <c r="AD97" s="64"/>
      <c r="AE97" s="73"/>
      <c r="AF97" s="64">
        <f t="shared" si="211"/>
        <v>556.6</v>
      </c>
      <c r="AG97" s="64"/>
      <c r="AH97" s="65">
        <v>556.6</v>
      </c>
      <c r="AI97" s="64"/>
      <c r="AJ97" s="73"/>
      <c r="AK97" s="64">
        <f t="shared" si="212"/>
        <v>242</v>
      </c>
      <c r="AL97" s="64"/>
      <c r="AM97" s="65">
        <v>242</v>
      </c>
      <c r="AN97" s="64"/>
      <c r="AO97" s="73"/>
      <c r="AP97" s="64" t="s">
        <v>388</v>
      </c>
      <c r="AQ97" s="64">
        <f t="shared" si="213"/>
        <v>556.6</v>
      </c>
      <c r="AR97" s="64"/>
      <c r="AS97" s="65">
        <f>242+314.6</f>
        <v>556.6</v>
      </c>
      <c r="AT97" s="64"/>
      <c r="AU97" s="73"/>
      <c r="AV97" s="64">
        <f t="shared" si="152"/>
        <v>0</v>
      </c>
      <c r="AW97" s="64">
        <f t="shared" si="153"/>
        <v>0</v>
      </c>
      <c r="AX97" s="64">
        <f t="shared" si="154"/>
        <v>0</v>
      </c>
      <c r="AY97" s="64">
        <f t="shared" si="155"/>
        <v>0</v>
      </c>
      <c r="AZ97" s="64" t="e">
        <f>#REF!-AU97</f>
        <v>#REF!</v>
      </c>
      <c r="BA97" s="64">
        <f t="shared" si="214"/>
        <v>556.6</v>
      </c>
      <c r="BB97" s="64"/>
      <c r="BC97" s="65">
        <f>242+314.6</f>
        <v>556.6</v>
      </c>
      <c r="BD97" s="64"/>
      <c r="BE97" s="73"/>
      <c r="BF97" s="64">
        <f t="shared" si="215"/>
        <v>0</v>
      </c>
      <c r="BG97" s="64"/>
      <c r="BH97" s="65"/>
      <c r="BI97" s="64"/>
      <c r="BJ97" s="73"/>
      <c r="BK97" s="64">
        <f t="shared" si="216"/>
        <v>556.6</v>
      </c>
      <c r="BL97" s="64"/>
      <c r="BM97" s="65">
        <f>242+314.6</f>
        <v>556.6</v>
      </c>
      <c r="BN97" s="64"/>
      <c r="BO97" s="74"/>
      <c r="BP97" s="64">
        <f t="shared" si="230"/>
        <v>556.6</v>
      </c>
      <c r="BQ97" s="64"/>
      <c r="BR97" s="74">
        <f>180+376.6</f>
        <v>556.6</v>
      </c>
      <c r="BS97" s="64"/>
      <c r="BT97" s="74"/>
      <c r="BU97" s="64">
        <f t="shared" si="217"/>
        <v>809.53800999999999</v>
      </c>
      <c r="BV97" s="64"/>
      <c r="BW97" s="64">
        <f>60+749.53801</f>
        <v>809.53800999999999</v>
      </c>
      <c r="BX97" s="64"/>
      <c r="BY97" s="64"/>
      <c r="BZ97" s="60">
        <f t="shared" si="218"/>
        <v>1366.1380100000001</v>
      </c>
      <c r="CA97" s="64">
        <f t="shared" si="156"/>
        <v>1366.1380100000001</v>
      </c>
      <c r="CB97" s="64">
        <f t="shared" si="157"/>
        <v>0</v>
      </c>
      <c r="CC97" s="64">
        <f t="shared" si="158"/>
        <v>1366.1380100000001</v>
      </c>
      <c r="CD97" s="64">
        <f t="shared" si="159"/>
        <v>0</v>
      </c>
      <c r="CE97" s="64">
        <f t="shared" si="219"/>
        <v>0</v>
      </c>
      <c r="CF97" s="64">
        <f t="shared" si="160"/>
        <v>0</v>
      </c>
      <c r="CG97" s="64">
        <f t="shared" si="161"/>
        <v>0</v>
      </c>
      <c r="CH97" s="64">
        <f t="shared" si="162"/>
        <v>0</v>
      </c>
      <c r="CI97" s="64">
        <f t="shared" si="163"/>
        <v>0</v>
      </c>
      <c r="CJ97" s="64">
        <f t="shared" si="220"/>
        <v>0</v>
      </c>
      <c r="CK97" s="66"/>
      <c r="CL97" s="67"/>
      <c r="CM97" s="67"/>
      <c r="CN97" s="64">
        <f t="shared" si="221"/>
        <v>0</v>
      </c>
      <c r="CO97" s="64"/>
      <c r="CP97" s="65"/>
      <c r="CQ97" s="64"/>
      <c r="CR97" s="73"/>
      <c r="CS97" s="64">
        <f t="shared" si="222"/>
        <v>0</v>
      </c>
      <c r="CT97" s="64"/>
      <c r="CU97" s="65"/>
      <c r="CV97" s="64"/>
      <c r="CW97" s="73"/>
      <c r="CX97" s="64">
        <f t="shared" si="223"/>
        <v>0</v>
      </c>
      <c r="CY97" s="64">
        <f t="shared" si="224"/>
        <v>0</v>
      </c>
      <c r="CZ97" s="64">
        <f t="shared" si="224"/>
        <v>0</v>
      </c>
      <c r="DA97" s="64">
        <f t="shared" si="224"/>
        <v>0</v>
      </c>
      <c r="DB97" s="64">
        <f t="shared" si="224"/>
        <v>0</v>
      </c>
      <c r="DC97" s="64"/>
      <c r="DD97" s="64"/>
      <c r="DE97" s="64"/>
      <c r="DF97" s="64">
        <f t="shared" si="225"/>
        <v>0</v>
      </c>
      <c r="DH97" s="64">
        <f t="shared" si="226"/>
        <v>556.6</v>
      </c>
      <c r="DI97" s="64">
        <f t="shared" si="227"/>
        <v>556.6</v>
      </c>
      <c r="DK97" s="64"/>
      <c r="DL97" s="64"/>
      <c r="DN97" s="64"/>
      <c r="DQ97" s="64">
        <f t="shared" si="228"/>
        <v>556.6</v>
      </c>
      <c r="DR97" s="64"/>
      <c r="DS97" s="74">
        <f>180+376.6</f>
        <v>556.6</v>
      </c>
      <c r="DT97" s="64"/>
      <c r="DU97" s="74"/>
      <c r="DV97" s="64">
        <f t="shared" si="229"/>
        <v>809.53800999999999</v>
      </c>
      <c r="DW97" s="64"/>
      <c r="DX97" s="64">
        <v>809.53800999999999</v>
      </c>
      <c r="DY97" s="64"/>
      <c r="DZ97" s="64"/>
      <c r="EA97" s="375"/>
      <c r="EB97" s="375"/>
      <c r="EC97" s="375"/>
      <c r="ED97" s="375"/>
      <c r="EE97" s="375"/>
      <c r="EF97" s="375"/>
      <c r="EG97" s="375"/>
      <c r="EH97" s="375"/>
      <c r="EI97" s="375"/>
      <c r="EJ97" s="375"/>
      <c r="EK97" s="375"/>
      <c r="EL97" s="375"/>
      <c r="EM97" s="375"/>
      <c r="EN97" s="375"/>
      <c r="EO97" s="375"/>
      <c r="EP97" s="375"/>
      <c r="EQ97" s="375"/>
      <c r="ER97" s="375"/>
      <c r="ES97" s="375"/>
      <c r="ET97" s="375"/>
      <c r="EU97" s="375"/>
      <c r="EV97" s="375"/>
      <c r="EW97" s="375"/>
      <c r="EX97" s="375"/>
      <c r="EY97" s="375"/>
      <c r="EZ97" s="375"/>
      <c r="FA97" s="375"/>
      <c r="FB97" s="375"/>
      <c r="FC97" s="375"/>
      <c r="FD97" s="375"/>
      <c r="FE97" s="375"/>
      <c r="FF97" s="375"/>
      <c r="FG97" s="375"/>
      <c r="FH97" s="375"/>
      <c r="FI97" s="375"/>
      <c r="FJ97" s="375"/>
      <c r="FK97" s="375"/>
      <c r="FL97" s="375"/>
      <c r="FM97" s="375"/>
      <c r="FN97" s="375"/>
      <c r="FO97" s="375"/>
      <c r="FP97" s="375"/>
      <c r="FQ97" s="375"/>
      <c r="FR97" s="375"/>
      <c r="FS97" s="375"/>
      <c r="FT97" s="375"/>
      <c r="FU97" s="375"/>
      <c r="FV97" s="375"/>
      <c r="FW97" s="375"/>
      <c r="FX97" s="375"/>
      <c r="FY97" s="375"/>
      <c r="FZ97" s="375"/>
      <c r="GA97" s="375"/>
      <c r="GB97" s="375"/>
      <c r="GC97" s="375"/>
      <c r="GD97" s="375"/>
      <c r="GE97" s="375"/>
      <c r="GF97" s="375"/>
      <c r="GG97" s="375"/>
      <c r="GH97" s="375"/>
      <c r="GI97" s="375"/>
      <c r="GJ97" s="375"/>
      <c r="GK97" s="375"/>
      <c r="GL97" s="375"/>
      <c r="GM97" s="375"/>
      <c r="GN97" s="375"/>
      <c r="GO97" s="375"/>
      <c r="GP97" s="375"/>
      <c r="GQ97" s="375"/>
      <c r="GR97" s="375"/>
    </row>
    <row r="98" spans="1:200" s="61" customFormat="1" ht="15.75" customHeight="1" x14ac:dyDescent="0.3">
      <c r="A98" s="280"/>
      <c r="B98" s="281"/>
      <c r="C98" s="282"/>
      <c r="D98" s="282">
        <v>1</v>
      </c>
      <c r="E98" s="4">
        <v>80</v>
      </c>
      <c r="F98" s="281"/>
      <c r="G98" s="282"/>
      <c r="H98" s="282">
        <v>1</v>
      </c>
      <c r="I98" s="280"/>
      <c r="J98" s="280"/>
      <c r="K98" s="280"/>
      <c r="L98" s="280"/>
      <c r="M98" s="4">
        <v>77</v>
      </c>
      <c r="N98" s="62" t="s">
        <v>101</v>
      </c>
      <c r="O98" s="62" t="s">
        <v>450</v>
      </c>
      <c r="P98" s="62" t="s">
        <v>450</v>
      </c>
      <c r="Q98" s="60">
        <f t="shared" si="164"/>
        <v>0</v>
      </c>
      <c r="R98" s="60">
        <f t="shared" si="165"/>
        <v>0</v>
      </c>
      <c r="S98" s="60">
        <f t="shared" si="166"/>
        <v>0</v>
      </c>
      <c r="T98" s="60">
        <v>1</v>
      </c>
      <c r="U98" s="60">
        <v>1</v>
      </c>
      <c r="V98" s="64">
        <f t="shared" si="209"/>
        <v>1317.9</v>
      </c>
      <c r="W98" s="64"/>
      <c r="X98" s="65">
        <v>1317.9</v>
      </c>
      <c r="Y98" s="64"/>
      <c r="Z98" s="73"/>
      <c r="AA98" s="64">
        <f t="shared" si="210"/>
        <v>1317.9</v>
      </c>
      <c r="AB98" s="64"/>
      <c r="AC98" s="65">
        <v>1317.9</v>
      </c>
      <c r="AD98" s="64"/>
      <c r="AE98" s="73"/>
      <c r="AF98" s="64">
        <f t="shared" si="211"/>
        <v>1317.9</v>
      </c>
      <c r="AG98" s="64"/>
      <c r="AH98" s="65">
        <v>1317.9</v>
      </c>
      <c r="AI98" s="64"/>
      <c r="AJ98" s="73"/>
      <c r="AK98" s="64">
        <f t="shared" si="212"/>
        <v>573</v>
      </c>
      <c r="AL98" s="64"/>
      <c r="AM98" s="65">
        <v>573</v>
      </c>
      <c r="AN98" s="64"/>
      <c r="AO98" s="73"/>
      <c r="AP98" s="64" t="s">
        <v>515</v>
      </c>
      <c r="AQ98" s="64">
        <f t="shared" si="213"/>
        <v>1317.9</v>
      </c>
      <c r="AR98" s="64"/>
      <c r="AS98" s="65">
        <v>1317.9</v>
      </c>
      <c r="AT98" s="64"/>
      <c r="AU98" s="64"/>
      <c r="AV98" s="64">
        <f t="shared" si="152"/>
        <v>0</v>
      </c>
      <c r="AW98" s="64">
        <f t="shared" si="153"/>
        <v>0</v>
      </c>
      <c r="AX98" s="64">
        <f t="shared" si="154"/>
        <v>0</v>
      </c>
      <c r="AY98" s="64">
        <f t="shared" si="155"/>
        <v>0</v>
      </c>
      <c r="AZ98" s="64" t="e">
        <f>#REF!-AU98</f>
        <v>#REF!</v>
      </c>
      <c r="BA98" s="64">
        <f t="shared" si="214"/>
        <v>1317.9</v>
      </c>
      <c r="BB98" s="64"/>
      <c r="BC98" s="65">
        <v>1317.9</v>
      </c>
      <c r="BD98" s="64"/>
      <c r="BE98" s="64"/>
      <c r="BF98" s="64">
        <f t="shared" si="215"/>
        <v>0</v>
      </c>
      <c r="BG98" s="64"/>
      <c r="BH98" s="65"/>
      <c r="BI98" s="64"/>
      <c r="BJ98" s="64"/>
      <c r="BK98" s="64">
        <f t="shared" si="216"/>
        <v>1317.9</v>
      </c>
      <c r="BL98" s="64"/>
      <c r="BM98" s="65">
        <v>1317.9</v>
      </c>
      <c r="BN98" s="64"/>
      <c r="BO98" s="64"/>
      <c r="BP98" s="64">
        <f t="shared" si="230"/>
        <v>1317.9</v>
      </c>
      <c r="BQ98" s="64"/>
      <c r="BR98" s="74">
        <v>1317.9</v>
      </c>
      <c r="BS98" s="64"/>
      <c r="BT98" s="64"/>
      <c r="BU98" s="64">
        <f t="shared" si="217"/>
        <v>1400.2941599999999</v>
      </c>
      <c r="BV98" s="64"/>
      <c r="BW98" s="64">
        <f>1400.29416</f>
        <v>1400.2941599999999</v>
      </c>
      <c r="BX98" s="64"/>
      <c r="BY98" s="64"/>
      <c r="BZ98" s="60">
        <f t="shared" si="218"/>
        <v>2718.19416</v>
      </c>
      <c r="CA98" s="64">
        <f t="shared" si="156"/>
        <v>2718.19416</v>
      </c>
      <c r="CB98" s="64">
        <f t="shared" si="157"/>
        <v>0</v>
      </c>
      <c r="CC98" s="64">
        <f t="shared" si="158"/>
        <v>2718.19416</v>
      </c>
      <c r="CD98" s="64">
        <f t="shared" si="159"/>
        <v>0</v>
      </c>
      <c r="CE98" s="64">
        <f t="shared" si="219"/>
        <v>0</v>
      </c>
      <c r="CF98" s="64">
        <f t="shared" si="160"/>
        <v>0</v>
      </c>
      <c r="CG98" s="64">
        <f t="shared" si="161"/>
        <v>0</v>
      </c>
      <c r="CH98" s="64">
        <f t="shared" si="162"/>
        <v>0</v>
      </c>
      <c r="CI98" s="64">
        <f t="shared" si="163"/>
        <v>0</v>
      </c>
      <c r="CJ98" s="64">
        <f t="shared" si="220"/>
        <v>0</v>
      </c>
      <c r="CK98" s="66"/>
      <c r="CL98" s="67"/>
      <c r="CM98" s="67"/>
      <c r="CN98" s="64">
        <f t="shared" si="221"/>
        <v>0</v>
      </c>
      <c r="CO98" s="64"/>
      <c r="CP98" s="65"/>
      <c r="CQ98" s="64"/>
      <c r="CR98" s="64"/>
      <c r="CS98" s="64">
        <f t="shared" si="222"/>
        <v>0</v>
      </c>
      <c r="CT98" s="64"/>
      <c r="CU98" s="65"/>
      <c r="CV98" s="64"/>
      <c r="CW98" s="64"/>
      <c r="CX98" s="64">
        <f t="shared" si="223"/>
        <v>0</v>
      </c>
      <c r="CY98" s="64">
        <f t="shared" si="224"/>
        <v>0</v>
      </c>
      <c r="CZ98" s="64">
        <f t="shared" si="224"/>
        <v>0</v>
      </c>
      <c r="DA98" s="64">
        <f t="shared" si="224"/>
        <v>0</v>
      </c>
      <c r="DB98" s="64">
        <f t="shared" si="224"/>
        <v>0</v>
      </c>
      <c r="DC98" s="64"/>
      <c r="DD98" s="64"/>
      <c r="DE98" s="64"/>
      <c r="DF98" s="64">
        <f t="shared" si="225"/>
        <v>0</v>
      </c>
      <c r="DH98" s="64">
        <f t="shared" si="226"/>
        <v>1317.9</v>
      </c>
      <c r="DI98" s="64">
        <f t="shared" si="227"/>
        <v>1317.9</v>
      </c>
      <c r="DK98" s="64"/>
      <c r="DL98" s="64"/>
      <c r="DN98" s="64"/>
      <c r="DQ98" s="64">
        <f t="shared" si="228"/>
        <v>1317.9</v>
      </c>
      <c r="DR98" s="64"/>
      <c r="DS98" s="74">
        <v>1317.9</v>
      </c>
      <c r="DT98" s="64"/>
      <c r="DU98" s="64"/>
      <c r="DV98" s="64">
        <f t="shared" si="229"/>
        <v>0</v>
      </c>
      <c r="DW98" s="64"/>
      <c r="DX98" s="64"/>
      <c r="DY98" s="64"/>
      <c r="DZ98" s="64"/>
      <c r="EA98" s="375"/>
      <c r="EB98" s="375"/>
      <c r="EC98" s="375"/>
      <c r="ED98" s="375"/>
      <c r="EE98" s="375"/>
      <c r="EF98" s="375"/>
      <c r="EG98" s="375"/>
      <c r="EH98" s="375"/>
      <c r="EI98" s="375"/>
      <c r="EJ98" s="375"/>
      <c r="EK98" s="375"/>
      <c r="EL98" s="375"/>
      <c r="EM98" s="375"/>
      <c r="EN98" s="375"/>
      <c r="EO98" s="375"/>
      <c r="EP98" s="375"/>
      <c r="EQ98" s="375"/>
      <c r="ER98" s="375"/>
      <c r="ES98" s="375"/>
      <c r="ET98" s="375"/>
      <c r="EU98" s="375"/>
      <c r="EV98" s="375"/>
      <c r="EW98" s="375"/>
      <c r="EX98" s="375"/>
      <c r="EY98" s="375"/>
      <c r="EZ98" s="375"/>
      <c r="FA98" s="375"/>
      <c r="FB98" s="375"/>
      <c r="FC98" s="375"/>
      <c r="FD98" s="375"/>
      <c r="FE98" s="375"/>
      <c r="FF98" s="375"/>
      <c r="FG98" s="375"/>
      <c r="FH98" s="375"/>
      <c r="FI98" s="375"/>
      <c r="FJ98" s="375"/>
      <c r="FK98" s="375"/>
      <c r="FL98" s="375"/>
      <c r="FM98" s="375"/>
      <c r="FN98" s="375"/>
      <c r="FO98" s="375"/>
      <c r="FP98" s="375"/>
      <c r="FQ98" s="375"/>
      <c r="FR98" s="375"/>
      <c r="FS98" s="375"/>
      <c r="FT98" s="375"/>
      <c r="FU98" s="375"/>
      <c r="FV98" s="375"/>
      <c r="FW98" s="375"/>
      <c r="FX98" s="375"/>
      <c r="FY98" s="375"/>
      <c r="FZ98" s="375"/>
      <c r="GA98" s="375"/>
      <c r="GB98" s="375"/>
      <c r="GC98" s="375"/>
      <c r="GD98" s="375"/>
      <c r="GE98" s="375"/>
      <c r="GF98" s="375"/>
      <c r="GG98" s="375"/>
      <c r="GH98" s="375"/>
      <c r="GI98" s="375"/>
      <c r="GJ98" s="375"/>
      <c r="GK98" s="375"/>
      <c r="GL98" s="375"/>
      <c r="GM98" s="375"/>
      <c r="GN98" s="375"/>
      <c r="GO98" s="375"/>
      <c r="GP98" s="375"/>
      <c r="GQ98" s="375"/>
      <c r="GR98" s="375"/>
    </row>
    <row r="99" spans="1:200" s="61" customFormat="1" ht="15.75" customHeight="1" x14ac:dyDescent="0.3">
      <c r="A99" s="280"/>
      <c r="B99" s="281"/>
      <c r="C99" s="282"/>
      <c r="D99" s="282">
        <v>1</v>
      </c>
      <c r="E99" s="4">
        <v>81</v>
      </c>
      <c r="F99" s="281"/>
      <c r="G99" s="282"/>
      <c r="H99" s="282">
        <v>1</v>
      </c>
      <c r="I99" s="280"/>
      <c r="J99" s="280"/>
      <c r="K99" s="280"/>
      <c r="L99" s="280"/>
      <c r="M99" s="4">
        <v>78</v>
      </c>
      <c r="N99" s="62" t="s">
        <v>102</v>
      </c>
      <c r="O99" s="62" t="s">
        <v>450</v>
      </c>
      <c r="P99" s="62" t="s">
        <v>450</v>
      </c>
      <c r="Q99" s="60">
        <f t="shared" si="164"/>
        <v>0</v>
      </c>
      <c r="R99" s="60">
        <f t="shared" si="165"/>
        <v>0</v>
      </c>
      <c r="S99" s="60">
        <f t="shared" si="166"/>
        <v>0</v>
      </c>
      <c r="T99" s="60">
        <v>1</v>
      </c>
      <c r="U99" s="60">
        <v>1</v>
      </c>
      <c r="V99" s="64">
        <f t="shared" si="209"/>
        <v>485.3</v>
      </c>
      <c r="W99" s="64"/>
      <c r="X99" s="65">
        <v>485.3</v>
      </c>
      <c r="Y99" s="64"/>
      <c r="Z99" s="73"/>
      <c r="AA99" s="64">
        <f t="shared" si="210"/>
        <v>485.3</v>
      </c>
      <c r="AB99" s="64"/>
      <c r="AC99" s="65">
        <v>485.3</v>
      </c>
      <c r="AD99" s="64"/>
      <c r="AE99" s="73"/>
      <c r="AF99" s="64">
        <f t="shared" si="211"/>
        <v>485.3</v>
      </c>
      <c r="AG99" s="64"/>
      <c r="AH99" s="65">
        <v>485.3</v>
      </c>
      <c r="AI99" s="64"/>
      <c r="AJ99" s="73"/>
      <c r="AK99" s="64">
        <f t="shared" si="212"/>
        <v>211</v>
      </c>
      <c r="AL99" s="64"/>
      <c r="AM99" s="65">
        <v>211</v>
      </c>
      <c r="AN99" s="64"/>
      <c r="AO99" s="73"/>
      <c r="AP99" s="64" t="s">
        <v>374</v>
      </c>
      <c r="AQ99" s="64">
        <f t="shared" si="213"/>
        <v>485.3</v>
      </c>
      <c r="AR99" s="64"/>
      <c r="AS99" s="65">
        <f>211+274.3</f>
        <v>485.3</v>
      </c>
      <c r="AT99" s="64"/>
      <c r="AU99" s="64"/>
      <c r="AV99" s="64">
        <f t="shared" si="152"/>
        <v>0</v>
      </c>
      <c r="AW99" s="64">
        <f t="shared" si="153"/>
        <v>0</v>
      </c>
      <c r="AX99" s="64">
        <f t="shared" si="154"/>
        <v>0</v>
      </c>
      <c r="AY99" s="64">
        <f t="shared" si="155"/>
        <v>0</v>
      </c>
      <c r="AZ99" s="64" t="e">
        <f>#REF!-AU99</f>
        <v>#REF!</v>
      </c>
      <c r="BA99" s="64">
        <f t="shared" si="214"/>
        <v>485.3</v>
      </c>
      <c r="BB99" s="64"/>
      <c r="BC99" s="65">
        <f>211+274.3</f>
        <v>485.3</v>
      </c>
      <c r="BD99" s="64"/>
      <c r="BE99" s="64"/>
      <c r="BF99" s="64">
        <f t="shared" si="215"/>
        <v>0</v>
      </c>
      <c r="BG99" s="64"/>
      <c r="BH99" s="65"/>
      <c r="BI99" s="64"/>
      <c r="BJ99" s="64"/>
      <c r="BK99" s="64">
        <f t="shared" si="216"/>
        <v>485.3</v>
      </c>
      <c r="BL99" s="64"/>
      <c r="BM99" s="65">
        <f>211+274.3</f>
        <v>485.3</v>
      </c>
      <c r="BN99" s="64"/>
      <c r="BO99" s="64"/>
      <c r="BP99" s="64">
        <f t="shared" si="230"/>
        <v>485.3</v>
      </c>
      <c r="BQ99" s="64"/>
      <c r="BR99" s="74">
        <v>485.3</v>
      </c>
      <c r="BS99" s="64"/>
      <c r="BT99" s="64"/>
      <c r="BU99" s="64">
        <f t="shared" si="217"/>
        <v>402.05</v>
      </c>
      <c r="BV99" s="64"/>
      <c r="BW99" s="64">
        <v>402.05</v>
      </c>
      <c r="BX99" s="64"/>
      <c r="BY99" s="64"/>
      <c r="BZ99" s="60">
        <f t="shared" si="218"/>
        <v>887.35</v>
      </c>
      <c r="CA99" s="64">
        <f t="shared" si="156"/>
        <v>887.35</v>
      </c>
      <c r="CB99" s="64">
        <f t="shared" si="157"/>
        <v>0</v>
      </c>
      <c r="CC99" s="64">
        <f t="shared" si="158"/>
        <v>887.35</v>
      </c>
      <c r="CD99" s="64">
        <f t="shared" si="159"/>
        <v>0</v>
      </c>
      <c r="CE99" s="64">
        <f t="shared" si="219"/>
        <v>0</v>
      </c>
      <c r="CF99" s="64">
        <f t="shared" si="160"/>
        <v>0</v>
      </c>
      <c r="CG99" s="64">
        <f t="shared" si="161"/>
        <v>0</v>
      </c>
      <c r="CH99" s="64">
        <f t="shared" si="162"/>
        <v>0</v>
      </c>
      <c r="CI99" s="64">
        <f t="shared" si="163"/>
        <v>0</v>
      </c>
      <c r="CJ99" s="64">
        <f t="shared" si="220"/>
        <v>0</v>
      </c>
      <c r="CK99" s="66"/>
      <c r="CL99" s="67"/>
      <c r="CM99" s="67"/>
      <c r="CN99" s="64">
        <f t="shared" si="221"/>
        <v>0</v>
      </c>
      <c r="CO99" s="64"/>
      <c r="CP99" s="65"/>
      <c r="CQ99" s="64"/>
      <c r="CR99" s="64"/>
      <c r="CS99" s="64">
        <f t="shared" si="222"/>
        <v>0</v>
      </c>
      <c r="CT99" s="64"/>
      <c r="CU99" s="65"/>
      <c r="CV99" s="64"/>
      <c r="CW99" s="64"/>
      <c r="CX99" s="64">
        <f t="shared" si="223"/>
        <v>0</v>
      </c>
      <c r="CY99" s="64">
        <f t="shared" si="224"/>
        <v>0</v>
      </c>
      <c r="CZ99" s="64">
        <f t="shared" si="224"/>
        <v>0</v>
      </c>
      <c r="DA99" s="64">
        <f t="shared" si="224"/>
        <v>0</v>
      </c>
      <c r="DB99" s="64">
        <f t="shared" si="224"/>
        <v>0</v>
      </c>
      <c r="DC99" s="64"/>
      <c r="DD99" s="64"/>
      <c r="DE99" s="64"/>
      <c r="DF99" s="64">
        <f t="shared" si="225"/>
        <v>0</v>
      </c>
      <c r="DH99" s="64">
        <f t="shared" si="226"/>
        <v>485.3</v>
      </c>
      <c r="DI99" s="64">
        <f t="shared" si="227"/>
        <v>485.3</v>
      </c>
      <c r="DK99" s="64"/>
      <c r="DL99" s="64"/>
      <c r="DN99" s="64"/>
      <c r="DQ99" s="64">
        <f t="shared" si="228"/>
        <v>485.3</v>
      </c>
      <c r="DR99" s="64"/>
      <c r="DS99" s="74">
        <v>485.3</v>
      </c>
      <c r="DT99" s="64"/>
      <c r="DU99" s="64"/>
      <c r="DV99" s="64">
        <f t="shared" si="229"/>
        <v>402.05</v>
      </c>
      <c r="DW99" s="64"/>
      <c r="DX99" s="64">
        <v>402.05</v>
      </c>
      <c r="DY99" s="64"/>
      <c r="DZ99" s="64"/>
      <c r="EA99" s="375"/>
      <c r="EB99" s="375"/>
      <c r="EC99" s="375"/>
      <c r="ED99" s="375"/>
      <c r="EE99" s="375"/>
      <c r="EF99" s="375"/>
      <c r="EG99" s="375"/>
      <c r="EH99" s="375"/>
      <c r="EI99" s="375"/>
      <c r="EJ99" s="375"/>
      <c r="EK99" s="375"/>
      <c r="EL99" s="375"/>
      <c r="EM99" s="375"/>
      <c r="EN99" s="375"/>
      <c r="EO99" s="375"/>
      <c r="EP99" s="375"/>
      <c r="EQ99" s="375"/>
      <c r="ER99" s="375"/>
      <c r="ES99" s="375"/>
      <c r="ET99" s="375"/>
      <c r="EU99" s="375"/>
      <c r="EV99" s="375"/>
      <c r="EW99" s="375"/>
      <c r="EX99" s="375"/>
      <c r="EY99" s="375"/>
      <c r="EZ99" s="375"/>
      <c r="FA99" s="375"/>
      <c r="FB99" s="375"/>
      <c r="FC99" s="375"/>
      <c r="FD99" s="375"/>
      <c r="FE99" s="375"/>
      <c r="FF99" s="375"/>
      <c r="FG99" s="375"/>
      <c r="FH99" s="375"/>
      <c r="FI99" s="375"/>
      <c r="FJ99" s="375"/>
      <c r="FK99" s="375"/>
      <c r="FL99" s="375"/>
      <c r="FM99" s="375"/>
      <c r="FN99" s="375"/>
      <c r="FO99" s="375"/>
      <c r="FP99" s="375"/>
      <c r="FQ99" s="375"/>
      <c r="FR99" s="375"/>
      <c r="FS99" s="375"/>
      <c r="FT99" s="375"/>
      <c r="FU99" s="375"/>
      <c r="FV99" s="375"/>
      <c r="FW99" s="375"/>
      <c r="FX99" s="375"/>
      <c r="FY99" s="375"/>
      <c r="FZ99" s="375"/>
      <c r="GA99" s="375"/>
      <c r="GB99" s="375"/>
      <c r="GC99" s="375"/>
      <c r="GD99" s="375"/>
      <c r="GE99" s="375"/>
      <c r="GF99" s="375"/>
      <c r="GG99" s="375"/>
      <c r="GH99" s="375"/>
      <c r="GI99" s="375"/>
      <c r="GJ99" s="375"/>
      <c r="GK99" s="375"/>
      <c r="GL99" s="375"/>
      <c r="GM99" s="375"/>
      <c r="GN99" s="375"/>
      <c r="GO99" s="375"/>
      <c r="GP99" s="375"/>
      <c r="GQ99" s="375"/>
      <c r="GR99" s="375"/>
    </row>
    <row r="100" spans="1:200" s="61" customFormat="1" ht="15.75" customHeight="1" x14ac:dyDescent="0.3">
      <c r="A100" s="280"/>
      <c r="B100" s="281"/>
      <c r="C100" s="282">
        <v>1</v>
      </c>
      <c r="D100" s="282"/>
      <c r="E100" s="4">
        <v>82</v>
      </c>
      <c r="F100" s="281"/>
      <c r="G100" s="282"/>
      <c r="H100" s="282">
        <v>1</v>
      </c>
      <c r="I100" s="280"/>
      <c r="J100" s="280"/>
      <c r="K100" s="280"/>
      <c r="L100" s="280"/>
      <c r="M100" s="4">
        <v>79</v>
      </c>
      <c r="N100" s="62" t="s">
        <v>178</v>
      </c>
      <c r="O100" s="62" t="s">
        <v>450</v>
      </c>
      <c r="P100" s="62" t="s">
        <v>448</v>
      </c>
      <c r="Q100" s="60">
        <f t="shared" si="164"/>
        <v>0</v>
      </c>
      <c r="R100" s="60">
        <f t="shared" si="165"/>
        <v>0</v>
      </c>
      <c r="S100" s="60">
        <f t="shared" si="166"/>
        <v>0</v>
      </c>
      <c r="T100" s="60">
        <v>1</v>
      </c>
      <c r="U100" s="60"/>
      <c r="V100" s="64">
        <f t="shared" si="209"/>
        <v>5543</v>
      </c>
      <c r="W100" s="64"/>
      <c r="X100" s="65">
        <v>5543</v>
      </c>
      <c r="Y100" s="64"/>
      <c r="Z100" s="73"/>
      <c r="AA100" s="64">
        <f t="shared" si="210"/>
        <v>5543</v>
      </c>
      <c r="AB100" s="64"/>
      <c r="AC100" s="65">
        <v>5543</v>
      </c>
      <c r="AD100" s="64"/>
      <c r="AE100" s="73"/>
      <c r="AF100" s="64">
        <f t="shared" si="211"/>
        <v>5543</v>
      </c>
      <c r="AG100" s="64"/>
      <c r="AH100" s="65">
        <v>5543</v>
      </c>
      <c r="AI100" s="64"/>
      <c r="AJ100" s="73"/>
      <c r="AK100" s="64">
        <f t="shared" si="212"/>
        <v>2410</v>
      </c>
      <c r="AL100" s="64"/>
      <c r="AM100" s="65">
        <v>2410</v>
      </c>
      <c r="AN100" s="64"/>
      <c r="AO100" s="73"/>
      <c r="AP100" s="64" t="s">
        <v>391</v>
      </c>
      <c r="AQ100" s="64">
        <f t="shared" si="213"/>
        <v>5543</v>
      </c>
      <c r="AR100" s="64"/>
      <c r="AS100" s="65">
        <v>5543</v>
      </c>
      <c r="AT100" s="64"/>
      <c r="AU100" s="64"/>
      <c r="AV100" s="64">
        <f t="shared" si="152"/>
        <v>0</v>
      </c>
      <c r="AW100" s="64">
        <f t="shared" si="153"/>
        <v>0</v>
      </c>
      <c r="AX100" s="64">
        <f t="shared" si="154"/>
        <v>0</v>
      </c>
      <c r="AY100" s="64">
        <f t="shared" si="155"/>
        <v>0</v>
      </c>
      <c r="AZ100" s="64" t="e">
        <f>#REF!-AU100</f>
        <v>#REF!</v>
      </c>
      <c r="BA100" s="64">
        <f t="shared" si="214"/>
        <v>5543</v>
      </c>
      <c r="BB100" s="64"/>
      <c r="BC100" s="65">
        <v>5543</v>
      </c>
      <c r="BD100" s="64"/>
      <c r="BE100" s="64"/>
      <c r="BF100" s="64">
        <f t="shared" si="215"/>
        <v>0</v>
      </c>
      <c r="BG100" s="64"/>
      <c r="BH100" s="64"/>
      <c r="BI100" s="64"/>
      <c r="BJ100" s="64"/>
      <c r="BK100" s="64">
        <f t="shared" si="216"/>
        <v>5543</v>
      </c>
      <c r="BL100" s="64"/>
      <c r="BM100" s="65">
        <v>5543</v>
      </c>
      <c r="BN100" s="64"/>
      <c r="BO100" s="64"/>
      <c r="BP100" s="64">
        <f t="shared" si="230"/>
        <v>5543</v>
      </c>
      <c r="BQ100" s="64"/>
      <c r="BR100" s="64">
        <f>689+2769+1222+863</f>
        <v>5543</v>
      </c>
      <c r="BS100" s="64"/>
      <c r="BT100" s="64"/>
      <c r="BU100" s="64">
        <f t="shared" si="217"/>
        <v>1865.152</v>
      </c>
      <c r="BV100" s="64"/>
      <c r="BW100" s="64">
        <f>232.18+931.733+410.703+290.536</f>
        <v>1865.152</v>
      </c>
      <c r="BX100" s="64"/>
      <c r="BY100" s="64"/>
      <c r="BZ100" s="60">
        <f t="shared" si="218"/>
        <v>7408.152</v>
      </c>
      <c r="CA100" s="64">
        <f t="shared" si="156"/>
        <v>7408.152</v>
      </c>
      <c r="CB100" s="64">
        <f t="shared" si="157"/>
        <v>0</v>
      </c>
      <c r="CC100" s="64">
        <f t="shared" si="158"/>
        <v>7408.152</v>
      </c>
      <c r="CD100" s="64">
        <f t="shared" si="159"/>
        <v>0</v>
      </c>
      <c r="CE100" s="64">
        <f t="shared" si="219"/>
        <v>0</v>
      </c>
      <c r="CF100" s="64">
        <f t="shared" si="160"/>
        <v>0</v>
      </c>
      <c r="CG100" s="64">
        <f t="shared" si="161"/>
        <v>0</v>
      </c>
      <c r="CH100" s="64">
        <f t="shared" si="162"/>
        <v>0</v>
      </c>
      <c r="CI100" s="64">
        <f t="shared" si="163"/>
        <v>0</v>
      </c>
      <c r="CJ100" s="64">
        <f t="shared" si="220"/>
        <v>0</v>
      </c>
      <c r="CK100" s="66"/>
      <c r="CL100" s="76">
        <f>BA100+BA101+BA102+BA105+BA110+BA113</f>
        <v>103961.78241000001</v>
      </c>
      <c r="CM100" s="76">
        <f>CL100-BF110</f>
        <v>103961.78241000001</v>
      </c>
      <c r="CN100" s="64">
        <f t="shared" si="221"/>
        <v>0</v>
      </c>
      <c r="CO100" s="64"/>
      <c r="CP100" s="64"/>
      <c r="CQ100" s="64"/>
      <c r="CR100" s="64"/>
      <c r="CS100" s="64">
        <f t="shared" si="222"/>
        <v>0</v>
      </c>
      <c r="CT100" s="64"/>
      <c r="CU100" s="64"/>
      <c r="CV100" s="64"/>
      <c r="CW100" s="64"/>
      <c r="CX100" s="64">
        <f t="shared" si="223"/>
        <v>0</v>
      </c>
      <c r="CY100" s="64">
        <f t="shared" si="224"/>
        <v>0</v>
      </c>
      <c r="CZ100" s="64">
        <f t="shared" si="224"/>
        <v>0</v>
      </c>
      <c r="DA100" s="64">
        <f t="shared" si="224"/>
        <v>0</v>
      </c>
      <c r="DB100" s="64">
        <f t="shared" si="224"/>
        <v>0</v>
      </c>
      <c r="DC100" s="64"/>
      <c r="DD100" s="64"/>
      <c r="DE100" s="64"/>
      <c r="DF100" s="64">
        <f t="shared" si="225"/>
        <v>0</v>
      </c>
      <c r="DH100" s="64">
        <f t="shared" si="226"/>
        <v>5543</v>
      </c>
      <c r="DI100" s="64">
        <f t="shared" si="227"/>
        <v>5543</v>
      </c>
      <c r="DK100" s="77">
        <f>DI100+DI101+DI102+DI105+DI110+DI113</f>
        <v>102730.49867999999</v>
      </c>
      <c r="DL100" s="77">
        <f>DF100+DF101+DF102+DF105+DF110+DF113</f>
        <v>1231.2837300000101</v>
      </c>
      <c r="DN100" s="64">
        <f>CM100-DK100</f>
        <v>1231.2837300000247</v>
      </c>
      <c r="DQ100" s="64">
        <f t="shared" si="228"/>
        <v>5543</v>
      </c>
      <c r="DR100" s="64"/>
      <c r="DS100" s="64">
        <f>689+2769+1222+863</f>
        <v>5543</v>
      </c>
      <c r="DT100" s="64"/>
      <c r="DU100" s="64"/>
      <c r="DV100" s="64">
        <f t="shared" si="229"/>
        <v>1865.152</v>
      </c>
      <c r="DW100" s="64"/>
      <c r="DX100" s="64">
        <v>1865.152</v>
      </c>
      <c r="DY100" s="64"/>
      <c r="DZ100" s="64"/>
      <c r="EA100" s="375"/>
      <c r="EB100" s="375"/>
      <c r="EC100" s="375"/>
      <c r="ED100" s="375"/>
      <c r="EE100" s="375"/>
      <c r="EF100" s="375"/>
      <c r="EG100" s="375"/>
      <c r="EH100" s="375"/>
      <c r="EI100" s="375"/>
      <c r="EJ100" s="375"/>
      <c r="EK100" s="375"/>
      <c r="EL100" s="375"/>
      <c r="EM100" s="375"/>
      <c r="EN100" s="375"/>
      <c r="EO100" s="375"/>
      <c r="EP100" s="375"/>
      <c r="EQ100" s="375"/>
      <c r="ER100" s="375"/>
      <c r="ES100" s="375"/>
      <c r="ET100" s="375"/>
      <c r="EU100" s="375"/>
      <c r="EV100" s="375"/>
      <c r="EW100" s="375"/>
      <c r="EX100" s="375"/>
      <c r="EY100" s="375"/>
      <c r="EZ100" s="375"/>
      <c r="FA100" s="375"/>
      <c r="FB100" s="375"/>
      <c r="FC100" s="375"/>
      <c r="FD100" s="375"/>
      <c r="FE100" s="375"/>
      <c r="FF100" s="375"/>
      <c r="FG100" s="375"/>
      <c r="FH100" s="375"/>
      <c r="FI100" s="375"/>
      <c r="FJ100" s="375"/>
      <c r="FK100" s="375"/>
      <c r="FL100" s="375"/>
      <c r="FM100" s="375"/>
      <c r="FN100" s="375"/>
      <c r="FO100" s="375"/>
      <c r="FP100" s="375"/>
      <c r="FQ100" s="375"/>
      <c r="FR100" s="375"/>
      <c r="FS100" s="375"/>
      <c r="FT100" s="375"/>
      <c r="FU100" s="375"/>
      <c r="FV100" s="375"/>
      <c r="FW100" s="375"/>
      <c r="FX100" s="375"/>
      <c r="FY100" s="375"/>
      <c r="FZ100" s="375"/>
      <c r="GA100" s="375"/>
      <c r="GB100" s="375"/>
      <c r="GC100" s="375"/>
      <c r="GD100" s="375"/>
      <c r="GE100" s="375"/>
      <c r="GF100" s="375"/>
      <c r="GG100" s="375"/>
      <c r="GH100" s="375"/>
      <c r="GI100" s="375"/>
      <c r="GJ100" s="375"/>
      <c r="GK100" s="375"/>
      <c r="GL100" s="375"/>
      <c r="GM100" s="375"/>
      <c r="GN100" s="375"/>
      <c r="GO100" s="375"/>
      <c r="GP100" s="375"/>
      <c r="GQ100" s="375"/>
      <c r="GR100" s="375"/>
    </row>
    <row r="101" spans="1:200" s="61" customFormat="1" ht="15.75" customHeight="1" x14ac:dyDescent="0.3">
      <c r="A101" s="280"/>
      <c r="B101" s="281"/>
      <c r="C101" s="282">
        <v>1</v>
      </c>
      <c r="D101" s="282"/>
      <c r="E101" s="4">
        <v>83</v>
      </c>
      <c r="F101" s="281"/>
      <c r="G101" s="282">
        <v>1</v>
      </c>
      <c r="H101" s="282">
        <v>1</v>
      </c>
      <c r="I101" s="280"/>
      <c r="J101" s="280"/>
      <c r="K101" s="280"/>
      <c r="L101" s="280"/>
      <c r="M101" s="4">
        <v>80</v>
      </c>
      <c r="N101" s="62" t="s">
        <v>30</v>
      </c>
      <c r="O101" s="62" t="s">
        <v>448</v>
      </c>
      <c r="P101" s="62" t="s">
        <v>450</v>
      </c>
      <c r="Q101" s="60">
        <f t="shared" si="164"/>
        <v>0</v>
      </c>
      <c r="R101" s="60">
        <f t="shared" si="165"/>
        <v>0</v>
      </c>
      <c r="S101" s="60">
        <f t="shared" si="166"/>
        <v>1231.2837300000101</v>
      </c>
      <c r="T101" s="60">
        <v>1</v>
      </c>
      <c r="U101" s="60">
        <v>3</v>
      </c>
      <c r="V101" s="64">
        <f t="shared" si="209"/>
        <v>109932.826</v>
      </c>
      <c r="W101" s="64">
        <v>38756</v>
      </c>
      <c r="X101" s="65">
        <v>5132.5640000000003</v>
      </c>
      <c r="Y101" s="64">
        <v>66044.262000000002</v>
      </c>
      <c r="Z101" s="73"/>
      <c r="AA101" s="64">
        <f t="shared" si="210"/>
        <v>110702.06200000001</v>
      </c>
      <c r="AB101" s="64">
        <v>38756</v>
      </c>
      <c r="AC101" s="65">
        <v>5901.8</v>
      </c>
      <c r="AD101" s="64">
        <v>66044.262000000002</v>
      </c>
      <c r="AE101" s="73"/>
      <c r="AF101" s="64">
        <f t="shared" si="211"/>
        <v>96434.686000000002</v>
      </c>
      <c r="AG101" s="64">
        <v>38756</v>
      </c>
      <c r="AH101" s="65">
        <v>5901.8</v>
      </c>
      <c r="AI101" s="64">
        <v>51776.885999999999</v>
      </c>
      <c r="AJ101" s="73"/>
      <c r="AK101" s="64">
        <f t="shared" si="212"/>
        <v>91915.885999999999</v>
      </c>
      <c r="AL101" s="64">
        <v>38756</v>
      </c>
      <c r="AM101" s="65">
        <v>1383</v>
      </c>
      <c r="AN101" s="64">
        <v>51776.885999999999</v>
      </c>
      <c r="AO101" s="73"/>
      <c r="AP101" s="64" t="s">
        <v>454</v>
      </c>
      <c r="AQ101" s="64">
        <f t="shared" si="213"/>
        <v>109932.826</v>
      </c>
      <c r="AR101" s="64">
        <v>38756</v>
      </c>
      <c r="AS101" s="65">
        <f>1383+3749.564</f>
        <v>5132.5640000000003</v>
      </c>
      <c r="AT101" s="64">
        <f>51776.886+14267.376</f>
        <v>66044.262000000002</v>
      </c>
      <c r="AU101" s="73"/>
      <c r="AV101" s="64">
        <f t="shared" si="152"/>
        <v>0</v>
      </c>
      <c r="AW101" s="64">
        <f t="shared" si="153"/>
        <v>0</v>
      </c>
      <c r="AX101" s="64">
        <f t="shared" si="154"/>
        <v>0</v>
      </c>
      <c r="AY101" s="64">
        <f t="shared" si="155"/>
        <v>0</v>
      </c>
      <c r="AZ101" s="64" t="e">
        <f>#REF!-AU101</f>
        <v>#REF!</v>
      </c>
      <c r="BA101" s="64">
        <f t="shared" si="214"/>
        <v>94860.682410000009</v>
      </c>
      <c r="BB101" s="64">
        <f>6694.64351+2772.73603+8547.91635+5668.56052</f>
        <v>23683.85641</v>
      </c>
      <c r="BC101" s="65">
        <f>1383+3749.564</f>
        <v>5132.5640000000003</v>
      </c>
      <c r="BD101" s="64">
        <f>51776.886+14267.376</f>
        <v>66044.262000000002</v>
      </c>
      <c r="BE101" s="73"/>
      <c r="BF101" s="64">
        <f t="shared" si="215"/>
        <v>0</v>
      </c>
      <c r="BG101" s="64"/>
      <c r="BH101" s="65"/>
      <c r="BI101" s="64"/>
      <c r="BJ101" s="73"/>
      <c r="BK101" s="64">
        <f t="shared" si="216"/>
        <v>94860.682410000009</v>
      </c>
      <c r="BL101" s="64">
        <f>6694.64351+2772.73603+8547.91635+5668.56052</f>
        <v>23683.85641</v>
      </c>
      <c r="BM101" s="65">
        <f>1383+3749.564</f>
        <v>5132.5640000000003</v>
      </c>
      <c r="BN101" s="64">
        <f>51776.886+14267.376</f>
        <v>66044.262000000002</v>
      </c>
      <c r="BO101" s="74"/>
      <c r="BP101" s="64">
        <f t="shared" si="230"/>
        <v>93629.398679999984</v>
      </c>
      <c r="BQ101" s="64">
        <f>6694.64351+2772.73603+8547.91635+5668.56052</f>
        <v>23683.85641</v>
      </c>
      <c r="BR101" s="74">
        <f>1383+3749.564</f>
        <v>5132.5640000000003</v>
      </c>
      <c r="BS101" s="64">
        <f>21512.96775+14070.228+5021.23579+10913.58873+13294.958</f>
        <v>64812.978269999992</v>
      </c>
      <c r="BT101" s="74"/>
      <c r="BU101" s="64">
        <f t="shared" si="217"/>
        <v>24866.349590000002</v>
      </c>
      <c r="BV101" s="64">
        <f>352.34965+145.93348+449.89035+298.34529</f>
        <v>1246.5187700000001</v>
      </c>
      <c r="BW101" s="64">
        <f>765.649+1249.855</f>
        <v>2015.5039999999999</v>
      </c>
      <c r="BX101" s="64">
        <f>4690.076+7170.98925+1577.81299+3459.23546+3474.92939+162.93352+95.93221+972.418</f>
        <v>21604.326820000002</v>
      </c>
      <c r="BY101" s="64"/>
      <c r="BZ101" s="60">
        <f t="shared" si="218"/>
        <v>118495.74827</v>
      </c>
      <c r="CA101" s="64">
        <f t="shared" si="156"/>
        <v>118495.74827</v>
      </c>
      <c r="CB101" s="64">
        <f t="shared" si="157"/>
        <v>24930.375179999999</v>
      </c>
      <c r="CC101" s="64">
        <f t="shared" si="158"/>
        <v>7148.0680000000002</v>
      </c>
      <c r="CD101" s="64">
        <f t="shared" si="159"/>
        <v>86417.305089999994</v>
      </c>
      <c r="CE101" s="64">
        <f t="shared" si="219"/>
        <v>0</v>
      </c>
      <c r="CF101" s="64">
        <f t="shared" si="160"/>
        <v>1231.2837300000101</v>
      </c>
      <c r="CG101" s="64">
        <f t="shared" si="161"/>
        <v>0</v>
      </c>
      <c r="CH101" s="64">
        <f t="shared" si="162"/>
        <v>0</v>
      </c>
      <c r="CI101" s="64">
        <f t="shared" si="163"/>
        <v>1231.2837300000101</v>
      </c>
      <c r="CJ101" s="64">
        <f t="shared" si="220"/>
        <v>0</v>
      </c>
      <c r="CK101" s="66"/>
      <c r="CL101" s="67"/>
      <c r="CM101" s="67"/>
      <c r="CN101" s="64">
        <f t="shared" si="221"/>
        <v>0</v>
      </c>
      <c r="CO101" s="64"/>
      <c r="CP101" s="65"/>
      <c r="CQ101" s="64"/>
      <c r="CR101" s="73"/>
      <c r="CS101" s="64">
        <f t="shared" si="222"/>
        <v>0</v>
      </c>
      <c r="CT101" s="64"/>
      <c r="CU101" s="65"/>
      <c r="CV101" s="64"/>
      <c r="CW101" s="73"/>
      <c r="CX101" s="64">
        <f t="shared" si="223"/>
        <v>0</v>
      </c>
      <c r="CY101" s="64">
        <f t="shared" si="224"/>
        <v>0</v>
      </c>
      <c r="CZ101" s="64">
        <f t="shared" si="224"/>
        <v>0</v>
      </c>
      <c r="DA101" s="64">
        <f t="shared" si="224"/>
        <v>0</v>
      </c>
      <c r="DB101" s="64">
        <f t="shared" si="224"/>
        <v>0</v>
      </c>
      <c r="DC101" s="64"/>
      <c r="DD101" s="64"/>
      <c r="DE101" s="64"/>
      <c r="DF101" s="64">
        <f t="shared" si="225"/>
        <v>1231.2837300000101</v>
      </c>
      <c r="DH101" s="64">
        <f t="shared" si="226"/>
        <v>94860.682410000009</v>
      </c>
      <c r="DI101" s="64">
        <f t="shared" si="227"/>
        <v>93629.398679999984</v>
      </c>
      <c r="DK101" s="64"/>
      <c r="DL101" s="64"/>
      <c r="DN101" s="64"/>
      <c r="DQ101" s="64">
        <f t="shared" si="228"/>
        <v>94860.646409999987</v>
      </c>
      <c r="DR101" s="64">
        <f>6694.64351+2772.73603+8547.91635+5668.56052</f>
        <v>23683.85641</v>
      </c>
      <c r="DS101" s="74">
        <f>1383+3749.564</f>
        <v>5132.5640000000003</v>
      </c>
      <c r="DT101" s="64">
        <v>66044.225999999995</v>
      </c>
      <c r="DU101" s="74"/>
      <c r="DV101" s="64">
        <f t="shared" si="229"/>
        <v>22385.210859999999</v>
      </c>
      <c r="DW101" s="64">
        <f>352.34965+145.93348+449.89035+298.34529</f>
        <v>1246.5187700000001</v>
      </c>
      <c r="DX101" s="64">
        <v>765.649</v>
      </c>
      <c r="DY101" s="64">
        <v>20373.043089999999</v>
      </c>
      <c r="DZ101" s="64"/>
      <c r="EA101" s="375"/>
      <c r="EB101" s="375"/>
      <c r="EC101" s="375"/>
      <c r="ED101" s="375"/>
      <c r="EE101" s="375"/>
      <c r="EF101" s="375"/>
      <c r="EG101" s="375"/>
      <c r="EH101" s="375"/>
      <c r="EI101" s="375"/>
      <c r="EJ101" s="375"/>
      <c r="EK101" s="375"/>
      <c r="EL101" s="375"/>
      <c r="EM101" s="375"/>
      <c r="EN101" s="375"/>
      <c r="EO101" s="375"/>
      <c r="EP101" s="375"/>
      <c r="EQ101" s="375"/>
      <c r="ER101" s="375"/>
      <c r="ES101" s="375"/>
      <c r="ET101" s="375"/>
      <c r="EU101" s="375"/>
      <c r="EV101" s="375"/>
      <c r="EW101" s="375"/>
      <c r="EX101" s="375"/>
      <c r="EY101" s="375"/>
      <c r="EZ101" s="375"/>
      <c r="FA101" s="375"/>
      <c r="FB101" s="375"/>
      <c r="FC101" s="375"/>
      <c r="FD101" s="375"/>
      <c r="FE101" s="375"/>
      <c r="FF101" s="375"/>
      <c r="FG101" s="375"/>
      <c r="FH101" s="375"/>
      <c r="FI101" s="375"/>
      <c r="FJ101" s="375"/>
      <c r="FK101" s="375"/>
      <c r="FL101" s="375"/>
      <c r="FM101" s="375"/>
      <c r="FN101" s="375"/>
      <c r="FO101" s="375"/>
      <c r="FP101" s="375"/>
      <c r="FQ101" s="375"/>
      <c r="FR101" s="375"/>
      <c r="FS101" s="375"/>
      <c r="FT101" s="375"/>
      <c r="FU101" s="375"/>
      <c r="FV101" s="375"/>
      <c r="FW101" s="375"/>
      <c r="FX101" s="375"/>
      <c r="FY101" s="375"/>
      <c r="FZ101" s="375"/>
      <c r="GA101" s="375"/>
      <c r="GB101" s="375"/>
      <c r="GC101" s="375"/>
      <c r="GD101" s="375"/>
      <c r="GE101" s="375"/>
      <c r="GF101" s="375"/>
      <c r="GG101" s="375"/>
      <c r="GH101" s="375"/>
      <c r="GI101" s="375"/>
      <c r="GJ101" s="375"/>
      <c r="GK101" s="375"/>
      <c r="GL101" s="375"/>
      <c r="GM101" s="375"/>
      <c r="GN101" s="375"/>
      <c r="GO101" s="375"/>
      <c r="GP101" s="375"/>
      <c r="GQ101" s="375"/>
      <c r="GR101" s="375"/>
    </row>
    <row r="102" spans="1:200" s="61" customFormat="1" ht="15.75" customHeight="1" x14ac:dyDescent="0.3">
      <c r="A102" s="280"/>
      <c r="B102" s="281"/>
      <c r="C102" s="282">
        <v>1</v>
      </c>
      <c r="D102" s="282"/>
      <c r="E102" s="4">
        <v>84</v>
      </c>
      <c r="F102" s="281"/>
      <c r="G102" s="282">
        <v>1</v>
      </c>
      <c r="H102" s="282">
        <v>1</v>
      </c>
      <c r="I102" s="4"/>
      <c r="J102" s="283"/>
      <c r="K102" s="283"/>
      <c r="L102" s="286"/>
      <c r="M102" s="4">
        <v>81</v>
      </c>
      <c r="N102" s="62" t="s">
        <v>46</v>
      </c>
      <c r="O102" s="62" t="s">
        <v>448</v>
      </c>
      <c r="P102" s="62" t="s">
        <v>450</v>
      </c>
      <c r="Q102" s="60">
        <f t="shared" si="164"/>
        <v>0</v>
      </c>
      <c r="R102" s="60">
        <f t="shared" si="165"/>
        <v>0</v>
      </c>
      <c r="S102" s="60">
        <f t="shared" si="166"/>
        <v>0</v>
      </c>
      <c r="T102" s="60">
        <v>1</v>
      </c>
      <c r="U102" s="60">
        <v>2</v>
      </c>
      <c r="V102" s="64">
        <f t="shared" si="209"/>
        <v>595.70000000000005</v>
      </c>
      <c r="W102" s="64"/>
      <c r="X102" s="65">
        <v>595.70000000000005</v>
      </c>
      <c r="Y102" s="64"/>
      <c r="Z102" s="73"/>
      <c r="AA102" s="64">
        <f t="shared" si="210"/>
        <v>595.70000000000005</v>
      </c>
      <c r="AB102" s="64"/>
      <c r="AC102" s="65">
        <v>595.70000000000005</v>
      </c>
      <c r="AD102" s="64"/>
      <c r="AE102" s="73"/>
      <c r="AF102" s="64">
        <f t="shared" si="211"/>
        <v>595.70000000000005</v>
      </c>
      <c r="AG102" s="64"/>
      <c r="AH102" s="65">
        <v>595.70000000000005</v>
      </c>
      <c r="AI102" s="64"/>
      <c r="AJ102" s="73"/>
      <c r="AK102" s="64">
        <f t="shared" si="212"/>
        <v>259</v>
      </c>
      <c r="AL102" s="64"/>
      <c r="AM102" s="65">
        <v>259</v>
      </c>
      <c r="AN102" s="64"/>
      <c r="AO102" s="73"/>
      <c r="AP102" s="64" t="s">
        <v>422</v>
      </c>
      <c r="AQ102" s="64">
        <f t="shared" si="213"/>
        <v>595.70000000000005</v>
      </c>
      <c r="AR102" s="64"/>
      <c r="AS102" s="65">
        <f>259+336.7</f>
        <v>595.70000000000005</v>
      </c>
      <c r="AT102" s="64"/>
      <c r="AU102" s="73"/>
      <c r="AV102" s="64">
        <f t="shared" si="152"/>
        <v>0</v>
      </c>
      <c r="AW102" s="64">
        <f t="shared" si="153"/>
        <v>0</v>
      </c>
      <c r="AX102" s="64">
        <f t="shared" si="154"/>
        <v>0</v>
      </c>
      <c r="AY102" s="64">
        <f t="shared" si="155"/>
        <v>0</v>
      </c>
      <c r="AZ102" s="64" t="e">
        <f>#REF!-AU102</f>
        <v>#REF!</v>
      </c>
      <c r="BA102" s="64">
        <f t="shared" si="214"/>
        <v>595.70000000000005</v>
      </c>
      <c r="BB102" s="64"/>
      <c r="BC102" s="65">
        <f>259+336.7</f>
        <v>595.70000000000005</v>
      </c>
      <c r="BD102" s="64"/>
      <c r="BE102" s="73"/>
      <c r="BF102" s="64">
        <f t="shared" si="215"/>
        <v>0</v>
      </c>
      <c r="BG102" s="64"/>
      <c r="BH102" s="65"/>
      <c r="BI102" s="64"/>
      <c r="BJ102" s="73"/>
      <c r="BK102" s="64">
        <f t="shared" si="216"/>
        <v>595.70000000000005</v>
      </c>
      <c r="BL102" s="64"/>
      <c r="BM102" s="65">
        <f>259+336.7</f>
        <v>595.70000000000005</v>
      </c>
      <c r="BN102" s="64"/>
      <c r="BO102" s="74"/>
      <c r="BP102" s="64">
        <f t="shared" si="230"/>
        <v>595.70000000000005</v>
      </c>
      <c r="BQ102" s="64"/>
      <c r="BR102" s="74">
        <f>336.7+259</f>
        <v>595.70000000000005</v>
      </c>
      <c r="BS102" s="64"/>
      <c r="BT102" s="74"/>
      <c r="BU102" s="64">
        <f t="shared" si="217"/>
        <v>342.02190000000002</v>
      </c>
      <c r="BV102" s="64"/>
      <c r="BW102" s="64">
        <f>122.5619+219.46</f>
        <v>342.02190000000002</v>
      </c>
      <c r="BX102" s="64"/>
      <c r="BY102" s="64"/>
      <c r="BZ102" s="60">
        <f t="shared" si="218"/>
        <v>937.72190000000001</v>
      </c>
      <c r="CA102" s="64">
        <f t="shared" si="156"/>
        <v>937.72190000000001</v>
      </c>
      <c r="CB102" s="64">
        <f t="shared" si="157"/>
        <v>0</v>
      </c>
      <c r="CC102" s="64">
        <f t="shared" si="158"/>
        <v>937.72190000000001</v>
      </c>
      <c r="CD102" s="64">
        <f t="shared" si="159"/>
        <v>0</v>
      </c>
      <c r="CE102" s="64">
        <f t="shared" si="219"/>
        <v>0</v>
      </c>
      <c r="CF102" s="64">
        <f t="shared" si="160"/>
        <v>0</v>
      </c>
      <c r="CG102" s="64">
        <f t="shared" si="161"/>
        <v>0</v>
      </c>
      <c r="CH102" s="64">
        <f t="shared" si="162"/>
        <v>0</v>
      </c>
      <c r="CI102" s="64">
        <f t="shared" si="163"/>
        <v>0</v>
      </c>
      <c r="CJ102" s="64">
        <f t="shared" si="220"/>
        <v>0</v>
      </c>
      <c r="CK102" s="66"/>
      <c r="CL102" s="67"/>
      <c r="CM102" s="67"/>
      <c r="CN102" s="64">
        <f t="shared" si="221"/>
        <v>0</v>
      </c>
      <c r="CO102" s="64"/>
      <c r="CP102" s="65"/>
      <c r="CQ102" s="64"/>
      <c r="CR102" s="73"/>
      <c r="CS102" s="64">
        <f t="shared" si="222"/>
        <v>0</v>
      </c>
      <c r="CT102" s="64"/>
      <c r="CU102" s="65"/>
      <c r="CV102" s="64"/>
      <c r="CW102" s="73"/>
      <c r="CX102" s="64">
        <f t="shared" si="223"/>
        <v>0</v>
      </c>
      <c r="CY102" s="64">
        <f t="shared" si="224"/>
        <v>0</v>
      </c>
      <c r="CZ102" s="64">
        <f t="shared" si="224"/>
        <v>0</v>
      </c>
      <c r="DA102" s="64">
        <f t="shared" si="224"/>
        <v>0</v>
      </c>
      <c r="DB102" s="64">
        <f t="shared" si="224"/>
        <v>0</v>
      </c>
      <c r="DC102" s="64"/>
      <c r="DD102" s="64"/>
      <c r="DE102" s="64"/>
      <c r="DF102" s="64">
        <f t="shared" si="225"/>
        <v>0</v>
      </c>
      <c r="DH102" s="64">
        <f t="shared" si="226"/>
        <v>595.70000000000005</v>
      </c>
      <c r="DI102" s="64">
        <f t="shared" si="227"/>
        <v>595.70000000000005</v>
      </c>
      <c r="DK102" s="64"/>
      <c r="DL102" s="64"/>
      <c r="DN102" s="64"/>
      <c r="DQ102" s="64">
        <f t="shared" si="228"/>
        <v>595.70000000000005</v>
      </c>
      <c r="DR102" s="64"/>
      <c r="DS102" s="74">
        <f>336.7+259</f>
        <v>595.70000000000005</v>
      </c>
      <c r="DT102" s="64"/>
      <c r="DU102" s="74"/>
      <c r="DV102" s="64">
        <f t="shared" si="229"/>
        <v>342.02190000000002</v>
      </c>
      <c r="DW102" s="64"/>
      <c r="DX102" s="64">
        <v>342.02190000000002</v>
      </c>
      <c r="DY102" s="64"/>
      <c r="DZ102" s="64"/>
      <c r="EA102" s="375"/>
      <c r="EB102" s="375"/>
      <c r="EC102" s="375"/>
      <c r="ED102" s="375"/>
      <c r="EE102" s="375"/>
      <c r="EF102" s="375"/>
      <c r="EG102" s="375"/>
      <c r="EH102" s="375"/>
      <c r="EI102" s="375"/>
      <c r="EJ102" s="375"/>
      <c r="EK102" s="375"/>
      <c r="EL102" s="375"/>
      <c r="EM102" s="375"/>
      <c r="EN102" s="375"/>
      <c r="EO102" s="375"/>
      <c r="EP102" s="375"/>
      <c r="EQ102" s="375"/>
      <c r="ER102" s="375"/>
      <c r="ES102" s="375"/>
      <c r="ET102" s="375"/>
      <c r="EU102" s="375"/>
      <c r="EV102" s="375"/>
      <c r="EW102" s="375"/>
      <c r="EX102" s="375"/>
      <c r="EY102" s="375"/>
      <c r="EZ102" s="375"/>
      <c r="FA102" s="375"/>
      <c r="FB102" s="375"/>
      <c r="FC102" s="375"/>
      <c r="FD102" s="375"/>
      <c r="FE102" s="375"/>
      <c r="FF102" s="375"/>
      <c r="FG102" s="375"/>
      <c r="FH102" s="375"/>
      <c r="FI102" s="375"/>
      <c r="FJ102" s="375"/>
      <c r="FK102" s="375"/>
      <c r="FL102" s="375"/>
      <c r="FM102" s="375"/>
      <c r="FN102" s="375"/>
      <c r="FO102" s="375"/>
      <c r="FP102" s="375"/>
      <c r="FQ102" s="375"/>
      <c r="FR102" s="375"/>
      <c r="FS102" s="375"/>
      <c r="FT102" s="375"/>
      <c r="FU102" s="375"/>
      <c r="FV102" s="375"/>
      <c r="FW102" s="375"/>
      <c r="FX102" s="375"/>
      <c r="FY102" s="375"/>
      <c r="FZ102" s="375"/>
      <c r="GA102" s="375"/>
      <c r="GB102" s="375"/>
      <c r="GC102" s="375"/>
      <c r="GD102" s="375"/>
      <c r="GE102" s="375"/>
      <c r="GF102" s="375"/>
      <c r="GG102" s="375"/>
      <c r="GH102" s="375"/>
      <c r="GI102" s="375"/>
      <c r="GJ102" s="375"/>
      <c r="GK102" s="375"/>
      <c r="GL102" s="375"/>
      <c r="GM102" s="375"/>
      <c r="GN102" s="375"/>
      <c r="GO102" s="375"/>
      <c r="GP102" s="375"/>
      <c r="GQ102" s="375"/>
      <c r="GR102" s="375"/>
    </row>
    <row r="103" spans="1:200" s="61" customFormat="1" ht="15.75" customHeight="1" x14ac:dyDescent="0.3">
      <c r="A103" s="280"/>
      <c r="B103" s="281"/>
      <c r="C103" s="282"/>
      <c r="D103" s="282">
        <v>1</v>
      </c>
      <c r="E103" s="4">
        <v>85</v>
      </c>
      <c r="F103" s="281"/>
      <c r="G103" s="282"/>
      <c r="H103" s="282">
        <v>1</v>
      </c>
      <c r="I103" s="280"/>
      <c r="J103" s="280"/>
      <c r="K103" s="280"/>
      <c r="L103" s="280"/>
      <c r="M103" s="4">
        <v>82</v>
      </c>
      <c r="N103" s="62" t="s">
        <v>103</v>
      </c>
      <c r="O103" s="62" t="s">
        <v>450</v>
      </c>
      <c r="P103" s="62" t="s">
        <v>450</v>
      </c>
      <c r="Q103" s="60">
        <f t="shared" si="164"/>
        <v>0</v>
      </c>
      <c r="R103" s="60">
        <f t="shared" si="165"/>
        <v>0</v>
      </c>
      <c r="S103" s="60">
        <f t="shared" si="166"/>
        <v>0</v>
      </c>
      <c r="T103" s="60">
        <v>1</v>
      </c>
      <c r="U103" s="60">
        <v>1</v>
      </c>
      <c r="V103" s="64">
        <f t="shared" si="209"/>
        <v>1260.4000000000001</v>
      </c>
      <c r="W103" s="64"/>
      <c r="X103" s="65">
        <v>1260.4000000000001</v>
      </c>
      <c r="Y103" s="64"/>
      <c r="Z103" s="73"/>
      <c r="AA103" s="64">
        <f t="shared" si="210"/>
        <v>1260.4000000000001</v>
      </c>
      <c r="AB103" s="64"/>
      <c r="AC103" s="65">
        <v>1260.4000000000001</v>
      </c>
      <c r="AD103" s="64"/>
      <c r="AE103" s="73"/>
      <c r="AF103" s="64">
        <f t="shared" si="211"/>
        <v>1260.4000000000001</v>
      </c>
      <c r="AG103" s="64"/>
      <c r="AH103" s="65">
        <v>1260.4000000000001</v>
      </c>
      <c r="AI103" s="64"/>
      <c r="AJ103" s="73"/>
      <c r="AK103" s="64">
        <f t="shared" si="212"/>
        <v>548</v>
      </c>
      <c r="AL103" s="64"/>
      <c r="AM103" s="65">
        <v>548</v>
      </c>
      <c r="AN103" s="64"/>
      <c r="AO103" s="73"/>
      <c r="AP103" s="64" t="s">
        <v>462</v>
      </c>
      <c r="AQ103" s="64">
        <f t="shared" si="213"/>
        <v>1260.4000000000001</v>
      </c>
      <c r="AR103" s="64"/>
      <c r="AS103" s="65">
        <v>1260.4000000000001</v>
      </c>
      <c r="AT103" s="64"/>
      <c r="AU103" s="73"/>
      <c r="AV103" s="64">
        <f t="shared" si="152"/>
        <v>0</v>
      </c>
      <c r="AW103" s="64">
        <f t="shared" si="153"/>
        <v>0</v>
      </c>
      <c r="AX103" s="64">
        <f t="shared" si="154"/>
        <v>0</v>
      </c>
      <c r="AY103" s="64">
        <f t="shared" si="155"/>
        <v>0</v>
      </c>
      <c r="AZ103" s="64" t="e">
        <f>#REF!-AU103</f>
        <v>#REF!</v>
      </c>
      <c r="BA103" s="64">
        <f t="shared" si="214"/>
        <v>1260.4000000000001</v>
      </c>
      <c r="BB103" s="64"/>
      <c r="BC103" s="65">
        <v>1260.4000000000001</v>
      </c>
      <c r="BD103" s="64"/>
      <c r="BE103" s="73"/>
      <c r="BF103" s="64">
        <f t="shared" si="215"/>
        <v>0</v>
      </c>
      <c r="BG103" s="64"/>
      <c r="BH103" s="65"/>
      <c r="BI103" s="64"/>
      <c r="BJ103" s="73"/>
      <c r="BK103" s="64">
        <f t="shared" si="216"/>
        <v>1260.4000000000001</v>
      </c>
      <c r="BL103" s="64"/>
      <c r="BM103" s="65">
        <v>1260.4000000000001</v>
      </c>
      <c r="BN103" s="64"/>
      <c r="BO103" s="74"/>
      <c r="BP103" s="64">
        <f t="shared" si="230"/>
        <v>1260.4000000000001</v>
      </c>
      <c r="BQ103" s="64"/>
      <c r="BR103" s="74">
        <v>1260.4000000000001</v>
      </c>
      <c r="BS103" s="64"/>
      <c r="BT103" s="74"/>
      <c r="BU103" s="64">
        <f t="shared" si="217"/>
        <v>1474.36708</v>
      </c>
      <c r="BV103" s="64"/>
      <c r="BW103" s="64">
        <v>1474.36708</v>
      </c>
      <c r="BX103" s="64"/>
      <c r="BY103" s="64"/>
      <c r="BZ103" s="60">
        <f t="shared" si="218"/>
        <v>2734.7670800000001</v>
      </c>
      <c r="CA103" s="64">
        <f t="shared" si="156"/>
        <v>2734.7670800000001</v>
      </c>
      <c r="CB103" s="64">
        <f t="shared" si="157"/>
        <v>0</v>
      </c>
      <c r="CC103" s="64">
        <f t="shared" si="158"/>
        <v>2734.7670800000001</v>
      </c>
      <c r="CD103" s="64">
        <f t="shared" si="159"/>
        <v>0</v>
      </c>
      <c r="CE103" s="64">
        <f t="shared" si="219"/>
        <v>0</v>
      </c>
      <c r="CF103" s="64">
        <f t="shared" si="160"/>
        <v>0</v>
      </c>
      <c r="CG103" s="64">
        <f t="shared" si="161"/>
        <v>0</v>
      </c>
      <c r="CH103" s="64">
        <f t="shared" si="162"/>
        <v>0</v>
      </c>
      <c r="CI103" s="64">
        <f t="shared" si="163"/>
        <v>0</v>
      </c>
      <c r="CJ103" s="64">
        <f t="shared" si="220"/>
        <v>0</v>
      </c>
      <c r="CK103" s="66"/>
      <c r="CL103" s="67">
        <f>BA94-CL95-CL100</f>
        <v>12747.39999999998</v>
      </c>
      <c r="CM103" s="67">
        <f>CL103+CN106+CN108</f>
        <v>12747.39999999998</v>
      </c>
      <c r="CN103" s="64">
        <f t="shared" si="221"/>
        <v>0</v>
      </c>
      <c r="CO103" s="64"/>
      <c r="CP103" s="65"/>
      <c r="CQ103" s="64"/>
      <c r="CR103" s="73"/>
      <c r="CS103" s="64">
        <f t="shared" si="222"/>
        <v>0</v>
      </c>
      <c r="CT103" s="64"/>
      <c r="CU103" s="65"/>
      <c r="CV103" s="64"/>
      <c r="CW103" s="73"/>
      <c r="CX103" s="64">
        <f t="shared" si="223"/>
        <v>0</v>
      </c>
      <c r="CY103" s="64">
        <f t="shared" si="224"/>
        <v>0</v>
      </c>
      <c r="CZ103" s="64">
        <f t="shared" si="224"/>
        <v>0</v>
      </c>
      <c r="DA103" s="64">
        <f t="shared" si="224"/>
        <v>0</v>
      </c>
      <c r="DB103" s="64">
        <f t="shared" si="224"/>
        <v>0</v>
      </c>
      <c r="DC103" s="64"/>
      <c r="DD103" s="64"/>
      <c r="DE103" s="64"/>
      <c r="DF103" s="64">
        <f t="shared" si="225"/>
        <v>0</v>
      </c>
      <c r="DH103" s="64">
        <f t="shared" si="226"/>
        <v>1260.4000000000001</v>
      </c>
      <c r="DI103" s="64">
        <f t="shared" si="227"/>
        <v>1260.4000000000001</v>
      </c>
      <c r="DK103" s="64">
        <f>DI97+DI98+DI99+DI103+DI104+DI106+DI107+DI108+DI109+DI111+DI112</f>
        <v>11649.241580000002</v>
      </c>
      <c r="DL103" s="64">
        <f>DF97+DF98+DF99+DF103+DF104+DF106+DF107+DF108+DF109+DF111+DF112</f>
        <v>1098.15842</v>
      </c>
      <c r="DN103" s="64">
        <f>CM103-DK103</f>
        <v>1098.1584199999779</v>
      </c>
      <c r="DQ103" s="64">
        <f t="shared" si="228"/>
        <v>1260.4000000000001</v>
      </c>
      <c r="DR103" s="64"/>
      <c r="DS103" s="74">
        <v>1260.4000000000001</v>
      </c>
      <c r="DT103" s="64"/>
      <c r="DU103" s="74"/>
      <c r="DV103" s="64">
        <f t="shared" si="229"/>
        <v>1474.36708</v>
      </c>
      <c r="DW103" s="64"/>
      <c r="DX103" s="64">
        <v>1474.36708</v>
      </c>
      <c r="DY103" s="64"/>
      <c r="DZ103" s="64"/>
      <c r="EA103" s="375"/>
      <c r="EB103" s="375"/>
      <c r="EC103" s="375"/>
      <c r="ED103" s="375"/>
      <c r="EE103" s="375"/>
      <c r="EF103" s="375"/>
      <c r="EG103" s="375"/>
      <c r="EH103" s="375"/>
      <c r="EI103" s="375"/>
      <c r="EJ103" s="375"/>
      <c r="EK103" s="375"/>
      <c r="EL103" s="375"/>
      <c r="EM103" s="375"/>
      <c r="EN103" s="375"/>
      <c r="EO103" s="375"/>
      <c r="EP103" s="375"/>
      <c r="EQ103" s="375"/>
      <c r="ER103" s="375"/>
      <c r="ES103" s="375"/>
      <c r="ET103" s="375"/>
      <c r="EU103" s="375"/>
      <c r="EV103" s="375"/>
      <c r="EW103" s="375"/>
      <c r="EX103" s="375"/>
      <c r="EY103" s="375"/>
      <c r="EZ103" s="375"/>
      <c r="FA103" s="375"/>
      <c r="FB103" s="375"/>
      <c r="FC103" s="375"/>
      <c r="FD103" s="375"/>
      <c r="FE103" s="375"/>
      <c r="FF103" s="375"/>
      <c r="FG103" s="375"/>
      <c r="FH103" s="375"/>
      <c r="FI103" s="375"/>
      <c r="FJ103" s="375"/>
      <c r="FK103" s="375"/>
      <c r="FL103" s="375"/>
      <c r="FM103" s="375"/>
      <c r="FN103" s="375"/>
      <c r="FO103" s="375"/>
      <c r="FP103" s="375"/>
      <c r="FQ103" s="375"/>
      <c r="FR103" s="375"/>
      <c r="FS103" s="375"/>
      <c r="FT103" s="375"/>
      <c r="FU103" s="375"/>
      <c r="FV103" s="375"/>
      <c r="FW103" s="375"/>
      <c r="FX103" s="375"/>
      <c r="FY103" s="375"/>
      <c r="FZ103" s="375"/>
      <c r="GA103" s="375"/>
      <c r="GB103" s="375"/>
      <c r="GC103" s="375"/>
      <c r="GD103" s="375"/>
      <c r="GE103" s="375"/>
      <c r="GF103" s="375"/>
      <c r="GG103" s="375"/>
      <c r="GH103" s="375"/>
      <c r="GI103" s="375"/>
      <c r="GJ103" s="375"/>
      <c r="GK103" s="375"/>
      <c r="GL103" s="375"/>
      <c r="GM103" s="375"/>
      <c r="GN103" s="375"/>
      <c r="GO103" s="375"/>
      <c r="GP103" s="375"/>
      <c r="GQ103" s="375"/>
      <c r="GR103" s="375"/>
    </row>
    <row r="104" spans="1:200" s="61" customFormat="1" ht="15.75" customHeight="1" x14ac:dyDescent="0.3">
      <c r="A104" s="280"/>
      <c r="B104" s="281"/>
      <c r="C104" s="282"/>
      <c r="D104" s="282">
        <v>1</v>
      </c>
      <c r="E104" s="4">
        <v>86</v>
      </c>
      <c r="F104" s="281"/>
      <c r="G104" s="282"/>
      <c r="H104" s="282">
        <v>1</v>
      </c>
      <c r="I104" s="4"/>
      <c r="J104" s="283"/>
      <c r="K104" s="283"/>
      <c r="L104" s="286"/>
      <c r="M104" s="4">
        <v>83</v>
      </c>
      <c r="N104" s="62" t="s">
        <v>104</v>
      </c>
      <c r="O104" s="62" t="s">
        <v>450</v>
      </c>
      <c r="P104" s="62" t="s">
        <v>448</v>
      </c>
      <c r="Q104" s="60">
        <f t="shared" si="164"/>
        <v>0</v>
      </c>
      <c r="R104" s="60">
        <f t="shared" si="165"/>
        <v>257.16899999999987</v>
      </c>
      <c r="S104" s="60">
        <f t="shared" si="166"/>
        <v>0</v>
      </c>
      <c r="T104" s="60">
        <v>1</v>
      </c>
      <c r="U104" s="60">
        <v>4</v>
      </c>
      <c r="V104" s="64">
        <f t="shared" si="209"/>
        <v>1614.6</v>
      </c>
      <c r="W104" s="64"/>
      <c r="X104" s="65">
        <v>1614.6</v>
      </c>
      <c r="Y104" s="64"/>
      <c r="Z104" s="73"/>
      <c r="AA104" s="64">
        <f t="shared" si="210"/>
        <v>1614.6</v>
      </c>
      <c r="AB104" s="64"/>
      <c r="AC104" s="65">
        <v>1614.6</v>
      </c>
      <c r="AD104" s="64"/>
      <c r="AE104" s="73"/>
      <c r="AF104" s="64">
        <f t="shared" si="211"/>
        <v>1614.6</v>
      </c>
      <c r="AG104" s="64"/>
      <c r="AH104" s="65">
        <v>1614.6</v>
      </c>
      <c r="AI104" s="64"/>
      <c r="AJ104" s="73"/>
      <c r="AK104" s="64">
        <f t="shared" si="212"/>
        <v>702</v>
      </c>
      <c r="AL104" s="64"/>
      <c r="AM104" s="65">
        <v>702</v>
      </c>
      <c r="AN104" s="64"/>
      <c r="AO104" s="73"/>
      <c r="AP104" s="64" t="s">
        <v>531</v>
      </c>
      <c r="AQ104" s="64">
        <f t="shared" si="213"/>
        <v>1614.6</v>
      </c>
      <c r="AR104" s="64"/>
      <c r="AS104" s="65">
        <f>702+912.6</f>
        <v>1614.6</v>
      </c>
      <c r="AT104" s="64"/>
      <c r="AU104" s="73"/>
      <c r="AV104" s="64">
        <f t="shared" si="152"/>
        <v>0</v>
      </c>
      <c r="AW104" s="64">
        <f t="shared" si="153"/>
        <v>0</v>
      </c>
      <c r="AX104" s="64">
        <f t="shared" si="154"/>
        <v>0</v>
      </c>
      <c r="AY104" s="64">
        <f t="shared" si="155"/>
        <v>0</v>
      </c>
      <c r="AZ104" s="64" t="e">
        <f>#REF!-AU104</f>
        <v>#REF!</v>
      </c>
      <c r="BA104" s="64">
        <f t="shared" si="214"/>
        <v>1614.6</v>
      </c>
      <c r="BB104" s="64"/>
      <c r="BC104" s="65">
        <f>702+912.6</f>
        <v>1614.6</v>
      </c>
      <c r="BD104" s="64"/>
      <c r="BE104" s="73"/>
      <c r="BF104" s="64">
        <f t="shared" si="215"/>
        <v>0</v>
      </c>
      <c r="BG104" s="64"/>
      <c r="BH104" s="65"/>
      <c r="BI104" s="64"/>
      <c r="BJ104" s="73"/>
      <c r="BK104" s="64">
        <f t="shared" si="216"/>
        <v>1614.6</v>
      </c>
      <c r="BL104" s="64"/>
      <c r="BM104" s="65">
        <f>702+912.6</f>
        <v>1614.6</v>
      </c>
      <c r="BN104" s="64"/>
      <c r="BO104" s="74"/>
      <c r="BP104" s="64">
        <f t="shared" si="230"/>
        <v>1357.431</v>
      </c>
      <c r="BQ104" s="64"/>
      <c r="BR104" s="74">
        <f>516.6+655.431+185.4</f>
        <v>1357.431</v>
      </c>
      <c r="BS104" s="64"/>
      <c r="BT104" s="74"/>
      <c r="BU104" s="64">
        <f t="shared" si="217"/>
        <v>455.64270999999997</v>
      </c>
      <c r="BV104" s="64"/>
      <c r="BW104" s="64">
        <f>172.2+218.47765+64.96506</f>
        <v>455.64270999999997</v>
      </c>
      <c r="BX104" s="64"/>
      <c r="BY104" s="64"/>
      <c r="BZ104" s="60">
        <f t="shared" si="218"/>
        <v>1813.0737100000001</v>
      </c>
      <c r="CA104" s="64">
        <f t="shared" si="156"/>
        <v>1813.0737100000001</v>
      </c>
      <c r="CB104" s="64">
        <f t="shared" si="157"/>
        <v>0</v>
      </c>
      <c r="CC104" s="64">
        <f t="shared" si="158"/>
        <v>1813.0737100000001</v>
      </c>
      <c r="CD104" s="64">
        <f t="shared" si="159"/>
        <v>0</v>
      </c>
      <c r="CE104" s="64">
        <f t="shared" si="219"/>
        <v>0</v>
      </c>
      <c r="CF104" s="64">
        <f t="shared" si="160"/>
        <v>257.16899999999987</v>
      </c>
      <c r="CG104" s="64">
        <f t="shared" si="161"/>
        <v>0</v>
      </c>
      <c r="CH104" s="64">
        <f t="shared" si="162"/>
        <v>257.16899999999987</v>
      </c>
      <c r="CI104" s="64">
        <f t="shared" si="163"/>
        <v>0</v>
      </c>
      <c r="CJ104" s="64">
        <f t="shared" si="220"/>
        <v>0</v>
      </c>
      <c r="CK104" s="66"/>
      <c r="CL104" s="67"/>
      <c r="CM104" s="67"/>
      <c r="CN104" s="64">
        <f t="shared" si="221"/>
        <v>0</v>
      </c>
      <c r="CO104" s="64"/>
      <c r="CP104" s="65"/>
      <c r="CQ104" s="64"/>
      <c r="CR104" s="73"/>
      <c r="CS104" s="64">
        <f t="shared" si="222"/>
        <v>0</v>
      </c>
      <c r="CT104" s="64"/>
      <c r="CU104" s="65"/>
      <c r="CV104" s="64"/>
      <c r="CW104" s="73"/>
      <c r="CX104" s="64">
        <f t="shared" si="223"/>
        <v>0</v>
      </c>
      <c r="CY104" s="64">
        <f t="shared" si="224"/>
        <v>0</v>
      </c>
      <c r="CZ104" s="64">
        <f t="shared" si="224"/>
        <v>0</v>
      </c>
      <c r="DA104" s="64">
        <f t="shared" si="224"/>
        <v>0</v>
      </c>
      <c r="DB104" s="64">
        <f t="shared" si="224"/>
        <v>0</v>
      </c>
      <c r="DC104" s="64"/>
      <c r="DD104" s="64"/>
      <c r="DE104" s="64"/>
      <c r="DF104" s="64">
        <f t="shared" si="225"/>
        <v>257.16899999999987</v>
      </c>
      <c r="DH104" s="64">
        <f t="shared" si="226"/>
        <v>1614.6</v>
      </c>
      <c r="DI104" s="64">
        <f t="shared" si="227"/>
        <v>1357.431</v>
      </c>
      <c r="DK104" s="64"/>
      <c r="DL104" s="64"/>
      <c r="DN104" s="64"/>
      <c r="DQ104" s="64">
        <f t="shared" si="228"/>
        <v>1357.431</v>
      </c>
      <c r="DR104" s="64"/>
      <c r="DS104" s="74">
        <f>516.6+655.431+185.4</f>
        <v>1357.431</v>
      </c>
      <c r="DT104" s="64"/>
      <c r="DU104" s="74"/>
      <c r="DV104" s="64">
        <f t="shared" si="229"/>
        <v>455.64271000000002</v>
      </c>
      <c r="DW104" s="64"/>
      <c r="DX104" s="64">
        <v>455.64271000000002</v>
      </c>
      <c r="DY104" s="64"/>
      <c r="DZ104" s="64"/>
      <c r="EA104" s="375"/>
      <c r="EB104" s="375"/>
      <c r="EC104" s="375"/>
      <c r="ED104" s="375"/>
      <c r="EE104" s="375"/>
      <c r="EF104" s="375"/>
      <c r="EG104" s="375"/>
      <c r="EH104" s="375"/>
      <c r="EI104" s="375"/>
      <c r="EJ104" s="375"/>
      <c r="EK104" s="375"/>
      <c r="EL104" s="375"/>
      <c r="EM104" s="375"/>
      <c r="EN104" s="375"/>
      <c r="EO104" s="375"/>
      <c r="EP104" s="375"/>
      <c r="EQ104" s="375"/>
      <c r="ER104" s="375"/>
      <c r="ES104" s="375"/>
      <c r="ET104" s="375"/>
      <c r="EU104" s="375"/>
      <c r="EV104" s="375"/>
      <c r="EW104" s="375"/>
      <c r="EX104" s="375"/>
      <c r="EY104" s="375"/>
      <c r="EZ104" s="375"/>
      <c r="FA104" s="375"/>
      <c r="FB104" s="375"/>
      <c r="FC104" s="375"/>
      <c r="FD104" s="375"/>
      <c r="FE104" s="375"/>
      <c r="FF104" s="375"/>
      <c r="FG104" s="375"/>
      <c r="FH104" s="375"/>
      <c r="FI104" s="375"/>
      <c r="FJ104" s="375"/>
      <c r="FK104" s="375"/>
      <c r="FL104" s="375"/>
      <c r="FM104" s="375"/>
      <c r="FN104" s="375"/>
      <c r="FO104" s="375"/>
      <c r="FP104" s="375"/>
      <c r="FQ104" s="375"/>
      <c r="FR104" s="375"/>
      <c r="FS104" s="375"/>
      <c r="FT104" s="375"/>
      <c r="FU104" s="375"/>
      <c r="FV104" s="375"/>
      <c r="FW104" s="375"/>
      <c r="FX104" s="375"/>
      <c r="FY104" s="375"/>
      <c r="FZ104" s="375"/>
      <c r="GA104" s="375"/>
      <c r="GB104" s="375"/>
      <c r="GC104" s="375"/>
      <c r="GD104" s="375"/>
      <c r="GE104" s="375"/>
      <c r="GF104" s="375"/>
      <c r="GG104" s="375"/>
      <c r="GH104" s="375"/>
      <c r="GI104" s="375"/>
      <c r="GJ104" s="375"/>
      <c r="GK104" s="375"/>
      <c r="GL104" s="375"/>
      <c r="GM104" s="375"/>
      <c r="GN104" s="375"/>
      <c r="GO104" s="375"/>
      <c r="GP104" s="375"/>
      <c r="GQ104" s="375"/>
      <c r="GR104" s="375"/>
    </row>
    <row r="105" spans="1:200" s="61" customFormat="1" ht="15.75" customHeight="1" x14ac:dyDescent="0.3">
      <c r="A105" s="280"/>
      <c r="B105" s="281"/>
      <c r="C105" s="282">
        <v>1</v>
      </c>
      <c r="D105" s="282"/>
      <c r="E105" s="4">
        <v>87</v>
      </c>
      <c r="F105" s="281"/>
      <c r="G105" s="282">
        <v>1</v>
      </c>
      <c r="H105" s="282"/>
      <c r="I105" s="4"/>
      <c r="J105" s="283"/>
      <c r="K105" s="283"/>
      <c r="L105" s="286"/>
      <c r="M105" s="4">
        <v>84</v>
      </c>
      <c r="N105" s="62" t="s">
        <v>31</v>
      </c>
      <c r="O105" s="62">
        <v>0</v>
      </c>
      <c r="P105" s="62">
        <v>0</v>
      </c>
      <c r="Q105" s="60">
        <f t="shared" si="164"/>
        <v>0</v>
      </c>
      <c r="R105" s="60">
        <f t="shared" si="165"/>
        <v>0</v>
      </c>
      <c r="S105" s="60">
        <f t="shared" si="166"/>
        <v>0</v>
      </c>
      <c r="T105" s="60"/>
      <c r="U105" s="60"/>
      <c r="V105" s="64">
        <f t="shared" si="209"/>
        <v>0</v>
      </c>
      <c r="W105" s="64"/>
      <c r="X105" s="65">
        <v>0</v>
      </c>
      <c r="Y105" s="64"/>
      <c r="Z105" s="73"/>
      <c r="AA105" s="64">
        <f t="shared" si="210"/>
        <v>1071.8</v>
      </c>
      <c r="AB105" s="64"/>
      <c r="AC105" s="65">
        <v>1071.8</v>
      </c>
      <c r="AD105" s="64"/>
      <c r="AE105" s="73"/>
      <c r="AF105" s="64">
        <f t="shared" si="211"/>
        <v>1071.8</v>
      </c>
      <c r="AG105" s="64"/>
      <c r="AH105" s="65">
        <v>1071.8</v>
      </c>
      <c r="AI105" s="64"/>
      <c r="AJ105" s="73"/>
      <c r="AK105" s="64">
        <f t="shared" si="212"/>
        <v>466</v>
      </c>
      <c r="AL105" s="64"/>
      <c r="AM105" s="65">
        <v>466</v>
      </c>
      <c r="AN105" s="64"/>
      <c r="AO105" s="73"/>
      <c r="AP105" s="64"/>
      <c r="AQ105" s="64">
        <f t="shared" si="213"/>
        <v>0</v>
      </c>
      <c r="AR105" s="64"/>
      <c r="AS105" s="64"/>
      <c r="AT105" s="64"/>
      <c r="AU105" s="64"/>
      <c r="AV105" s="64">
        <f t="shared" si="152"/>
        <v>0</v>
      </c>
      <c r="AW105" s="64">
        <f t="shared" si="153"/>
        <v>0</v>
      </c>
      <c r="AX105" s="64">
        <f t="shared" si="154"/>
        <v>0</v>
      </c>
      <c r="AY105" s="64">
        <f t="shared" si="155"/>
        <v>0</v>
      </c>
      <c r="AZ105" s="64" t="e">
        <f>#REF!-AU105</f>
        <v>#REF!</v>
      </c>
      <c r="BA105" s="64">
        <f t="shared" si="214"/>
        <v>0</v>
      </c>
      <c r="BB105" s="64"/>
      <c r="BC105" s="64"/>
      <c r="BD105" s="64"/>
      <c r="BE105" s="64"/>
      <c r="BF105" s="64">
        <f t="shared" si="215"/>
        <v>0</v>
      </c>
      <c r="BG105" s="64"/>
      <c r="BH105" s="64"/>
      <c r="BI105" s="64"/>
      <c r="BJ105" s="64"/>
      <c r="BK105" s="64">
        <f t="shared" si="216"/>
        <v>0</v>
      </c>
      <c r="BL105" s="64"/>
      <c r="BM105" s="64"/>
      <c r="BN105" s="64"/>
      <c r="BO105" s="64"/>
      <c r="BP105" s="64">
        <f t="shared" si="230"/>
        <v>0</v>
      </c>
      <c r="BQ105" s="64"/>
      <c r="BR105" s="64"/>
      <c r="BS105" s="64"/>
      <c r="BT105" s="64"/>
      <c r="BU105" s="64">
        <f t="shared" si="217"/>
        <v>0</v>
      </c>
      <c r="BV105" s="64"/>
      <c r="BW105" s="64"/>
      <c r="BX105" s="64"/>
      <c r="BY105" s="64"/>
      <c r="BZ105" s="60">
        <f t="shared" si="218"/>
        <v>0</v>
      </c>
      <c r="CA105" s="64">
        <f t="shared" si="156"/>
        <v>0</v>
      </c>
      <c r="CB105" s="64">
        <f t="shared" si="157"/>
        <v>0</v>
      </c>
      <c r="CC105" s="64">
        <f t="shared" si="158"/>
        <v>0</v>
      </c>
      <c r="CD105" s="64">
        <f t="shared" si="159"/>
        <v>0</v>
      </c>
      <c r="CE105" s="64">
        <f t="shared" si="219"/>
        <v>0</v>
      </c>
      <c r="CF105" s="64">
        <f t="shared" si="160"/>
        <v>0</v>
      </c>
      <c r="CG105" s="64">
        <f t="shared" si="161"/>
        <v>0</v>
      </c>
      <c r="CH105" s="64">
        <f t="shared" si="162"/>
        <v>0</v>
      </c>
      <c r="CI105" s="64">
        <f t="shared" si="163"/>
        <v>0</v>
      </c>
      <c r="CJ105" s="64">
        <f t="shared" si="220"/>
        <v>0</v>
      </c>
      <c r="CK105" s="66"/>
      <c r="CL105" s="67"/>
      <c r="CM105" s="67"/>
      <c r="CN105" s="64">
        <f t="shared" si="221"/>
        <v>0</v>
      </c>
      <c r="CO105" s="64"/>
      <c r="CP105" s="64"/>
      <c r="CQ105" s="64"/>
      <c r="CR105" s="64"/>
      <c r="CS105" s="64">
        <f t="shared" si="222"/>
        <v>0</v>
      </c>
      <c r="CT105" s="64"/>
      <c r="CU105" s="64"/>
      <c r="CV105" s="64"/>
      <c r="CW105" s="64"/>
      <c r="CX105" s="64">
        <f t="shared" si="223"/>
        <v>0</v>
      </c>
      <c r="CY105" s="64">
        <f t="shared" si="224"/>
        <v>0</v>
      </c>
      <c r="CZ105" s="64">
        <f t="shared" si="224"/>
        <v>0</v>
      </c>
      <c r="DA105" s="64">
        <f t="shared" si="224"/>
        <v>0</v>
      </c>
      <c r="DB105" s="64">
        <f t="shared" si="224"/>
        <v>0</v>
      </c>
      <c r="DC105" s="64"/>
      <c r="DD105" s="64"/>
      <c r="DE105" s="64"/>
      <c r="DF105" s="64">
        <f t="shared" si="225"/>
        <v>0</v>
      </c>
      <c r="DH105" s="64">
        <f t="shared" si="226"/>
        <v>0</v>
      </c>
      <c r="DI105" s="64">
        <f t="shared" si="227"/>
        <v>0</v>
      </c>
      <c r="DK105" s="64"/>
      <c r="DL105" s="64"/>
      <c r="DN105" s="64"/>
      <c r="DQ105" s="64">
        <f t="shared" si="228"/>
        <v>0</v>
      </c>
      <c r="DR105" s="64"/>
      <c r="DS105" s="64"/>
      <c r="DT105" s="64"/>
      <c r="DU105" s="64"/>
      <c r="DV105" s="64">
        <f t="shared" si="229"/>
        <v>0</v>
      </c>
      <c r="DW105" s="64"/>
      <c r="DX105" s="64"/>
      <c r="DY105" s="64"/>
      <c r="DZ105" s="64"/>
      <c r="EA105" s="375"/>
      <c r="EB105" s="375"/>
      <c r="EC105" s="375"/>
      <c r="ED105" s="375"/>
      <c r="EE105" s="375"/>
      <c r="EF105" s="375"/>
      <c r="EG105" s="375"/>
      <c r="EH105" s="375"/>
      <c r="EI105" s="375"/>
      <c r="EJ105" s="375"/>
      <c r="EK105" s="375"/>
      <c r="EL105" s="375"/>
      <c r="EM105" s="375"/>
      <c r="EN105" s="375"/>
      <c r="EO105" s="375"/>
      <c r="EP105" s="375"/>
      <c r="EQ105" s="375"/>
      <c r="ER105" s="375"/>
      <c r="ES105" s="375"/>
      <c r="ET105" s="375"/>
      <c r="EU105" s="375"/>
      <c r="EV105" s="375"/>
      <c r="EW105" s="375"/>
      <c r="EX105" s="375"/>
      <c r="EY105" s="375"/>
      <c r="EZ105" s="375"/>
      <c r="FA105" s="375"/>
      <c r="FB105" s="375"/>
      <c r="FC105" s="375"/>
      <c r="FD105" s="375"/>
      <c r="FE105" s="375"/>
      <c r="FF105" s="375"/>
      <c r="FG105" s="375"/>
      <c r="FH105" s="375"/>
      <c r="FI105" s="375"/>
      <c r="FJ105" s="375"/>
      <c r="FK105" s="375"/>
      <c r="FL105" s="375"/>
      <c r="FM105" s="375"/>
      <c r="FN105" s="375"/>
      <c r="FO105" s="375"/>
      <c r="FP105" s="375"/>
      <c r="FQ105" s="375"/>
      <c r="FR105" s="375"/>
      <c r="FS105" s="375"/>
      <c r="FT105" s="375"/>
      <c r="FU105" s="375"/>
      <c r="FV105" s="375"/>
      <c r="FW105" s="375"/>
      <c r="FX105" s="375"/>
      <c r="FY105" s="375"/>
      <c r="FZ105" s="375"/>
      <c r="GA105" s="375"/>
      <c r="GB105" s="375"/>
      <c r="GC105" s="375"/>
      <c r="GD105" s="375"/>
      <c r="GE105" s="375"/>
      <c r="GF105" s="375"/>
      <c r="GG105" s="375"/>
      <c r="GH105" s="375"/>
      <c r="GI105" s="375"/>
      <c r="GJ105" s="375"/>
      <c r="GK105" s="375"/>
      <c r="GL105" s="375"/>
      <c r="GM105" s="375"/>
      <c r="GN105" s="375"/>
      <c r="GO105" s="375"/>
      <c r="GP105" s="375"/>
      <c r="GQ105" s="375"/>
      <c r="GR105" s="375"/>
    </row>
    <row r="106" spans="1:200" s="61" customFormat="1" ht="15.75" customHeight="1" x14ac:dyDescent="0.3">
      <c r="A106" s="280"/>
      <c r="B106" s="281"/>
      <c r="C106" s="282"/>
      <c r="D106" s="282">
        <v>1</v>
      </c>
      <c r="E106" s="4">
        <v>88</v>
      </c>
      <c r="F106" s="281"/>
      <c r="G106" s="282"/>
      <c r="H106" s="282">
        <v>1</v>
      </c>
      <c r="I106" s="4"/>
      <c r="J106" s="283"/>
      <c r="K106" s="283"/>
      <c r="L106" s="286"/>
      <c r="M106" s="4">
        <v>85</v>
      </c>
      <c r="N106" s="62" t="s">
        <v>105</v>
      </c>
      <c r="O106" s="62" t="s">
        <v>450</v>
      </c>
      <c r="P106" s="62" t="s">
        <v>448</v>
      </c>
      <c r="Q106" s="60">
        <f t="shared" si="164"/>
        <v>0</v>
      </c>
      <c r="R106" s="60">
        <f t="shared" si="165"/>
        <v>0</v>
      </c>
      <c r="S106" s="60">
        <f t="shared" si="166"/>
        <v>0</v>
      </c>
      <c r="T106" s="60">
        <v>1</v>
      </c>
      <c r="U106" s="60"/>
      <c r="V106" s="64">
        <f t="shared" si="209"/>
        <v>685.4</v>
      </c>
      <c r="W106" s="64"/>
      <c r="X106" s="65">
        <v>685.4</v>
      </c>
      <c r="Y106" s="64"/>
      <c r="Z106" s="73"/>
      <c r="AA106" s="64">
        <f t="shared" si="210"/>
        <v>685.4</v>
      </c>
      <c r="AB106" s="64"/>
      <c r="AC106" s="65">
        <v>685.4</v>
      </c>
      <c r="AD106" s="64"/>
      <c r="AE106" s="73"/>
      <c r="AF106" s="64">
        <f t="shared" si="211"/>
        <v>685.4</v>
      </c>
      <c r="AG106" s="64"/>
      <c r="AH106" s="65">
        <v>685.4</v>
      </c>
      <c r="AI106" s="64"/>
      <c r="AJ106" s="73"/>
      <c r="AK106" s="64">
        <f t="shared" si="212"/>
        <v>298</v>
      </c>
      <c r="AL106" s="64"/>
      <c r="AM106" s="65">
        <v>298</v>
      </c>
      <c r="AN106" s="64"/>
      <c r="AO106" s="73"/>
      <c r="AP106" s="64" t="s">
        <v>352</v>
      </c>
      <c r="AQ106" s="64">
        <f t="shared" si="213"/>
        <v>685.4</v>
      </c>
      <c r="AR106" s="64"/>
      <c r="AS106" s="65">
        <v>685.4</v>
      </c>
      <c r="AT106" s="64"/>
      <c r="AU106" s="64"/>
      <c r="AV106" s="64">
        <f t="shared" si="152"/>
        <v>0</v>
      </c>
      <c r="AW106" s="64">
        <f t="shared" si="153"/>
        <v>0</v>
      </c>
      <c r="AX106" s="64">
        <f t="shared" si="154"/>
        <v>0</v>
      </c>
      <c r="AY106" s="64">
        <f t="shared" si="155"/>
        <v>0</v>
      </c>
      <c r="AZ106" s="64" t="e">
        <f>#REF!-AU106</f>
        <v>#REF!</v>
      </c>
      <c r="BA106" s="64">
        <f t="shared" si="214"/>
        <v>685.4</v>
      </c>
      <c r="BB106" s="64"/>
      <c r="BC106" s="65">
        <v>685.4</v>
      </c>
      <c r="BD106" s="64"/>
      <c r="BE106" s="64"/>
      <c r="BF106" s="64">
        <f t="shared" si="215"/>
        <v>0</v>
      </c>
      <c r="BG106" s="64"/>
      <c r="BH106" s="65"/>
      <c r="BI106" s="64"/>
      <c r="BJ106" s="64"/>
      <c r="BK106" s="64">
        <f t="shared" si="216"/>
        <v>685.4</v>
      </c>
      <c r="BL106" s="64"/>
      <c r="BM106" s="65">
        <v>685.4</v>
      </c>
      <c r="BN106" s="64"/>
      <c r="BO106" s="64"/>
      <c r="BP106" s="64">
        <f t="shared" si="230"/>
        <v>685.4</v>
      </c>
      <c r="BQ106" s="64"/>
      <c r="BR106" s="74">
        <v>685.4</v>
      </c>
      <c r="BS106" s="64"/>
      <c r="BT106" s="64"/>
      <c r="BU106" s="64">
        <f t="shared" si="217"/>
        <v>525.94299999999998</v>
      </c>
      <c r="BV106" s="64"/>
      <c r="BW106" s="64">
        <v>525.94299999999998</v>
      </c>
      <c r="BX106" s="64"/>
      <c r="BY106" s="64"/>
      <c r="BZ106" s="60">
        <f t="shared" si="218"/>
        <v>1211.3429999999998</v>
      </c>
      <c r="CA106" s="64">
        <f t="shared" si="156"/>
        <v>1211.3429999999998</v>
      </c>
      <c r="CB106" s="64">
        <f t="shared" si="157"/>
        <v>0</v>
      </c>
      <c r="CC106" s="64">
        <f t="shared" si="158"/>
        <v>1211.3429999999998</v>
      </c>
      <c r="CD106" s="64">
        <f t="shared" si="159"/>
        <v>0</v>
      </c>
      <c r="CE106" s="64">
        <f t="shared" si="219"/>
        <v>0</v>
      </c>
      <c r="CF106" s="64">
        <f t="shared" si="160"/>
        <v>0</v>
      </c>
      <c r="CG106" s="64">
        <f t="shared" si="161"/>
        <v>0</v>
      </c>
      <c r="CH106" s="64">
        <f t="shared" si="162"/>
        <v>0</v>
      </c>
      <c r="CI106" s="64">
        <f t="shared" si="163"/>
        <v>0</v>
      </c>
      <c r="CJ106" s="64">
        <f t="shared" si="220"/>
        <v>0</v>
      </c>
      <c r="CK106" s="66"/>
      <c r="CL106" s="67"/>
      <c r="CM106" s="67"/>
      <c r="CN106" s="64">
        <f t="shared" si="221"/>
        <v>0</v>
      </c>
      <c r="CO106" s="64"/>
      <c r="CP106" s="65"/>
      <c r="CQ106" s="64"/>
      <c r="CR106" s="64"/>
      <c r="CS106" s="64">
        <f t="shared" si="222"/>
        <v>0</v>
      </c>
      <c r="CT106" s="64"/>
      <c r="CU106" s="65"/>
      <c r="CV106" s="64"/>
      <c r="CW106" s="64"/>
      <c r="CX106" s="64">
        <f t="shared" si="223"/>
        <v>0</v>
      </c>
      <c r="CY106" s="64">
        <f t="shared" si="224"/>
        <v>0</v>
      </c>
      <c r="CZ106" s="64">
        <f t="shared" si="224"/>
        <v>0</v>
      </c>
      <c r="DA106" s="64">
        <f t="shared" si="224"/>
        <v>0</v>
      </c>
      <c r="DB106" s="64">
        <f t="shared" si="224"/>
        <v>0</v>
      </c>
      <c r="DC106" s="64"/>
      <c r="DD106" s="64"/>
      <c r="DE106" s="64"/>
      <c r="DF106" s="64">
        <f t="shared" si="225"/>
        <v>0</v>
      </c>
      <c r="DH106" s="64">
        <f t="shared" si="226"/>
        <v>685.4</v>
      </c>
      <c r="DI106" s="64">
        <f t="shared" si="227"/>
        <v>685.4</v>
      </c>
      <c r="DK106" s="64"/>
      <c r="DL106" s="64"/>
      <c r="DN106" s="64"/>
      <c r="DQ106" s="64">
        <f t="shared" si="228"/>
        <v>685.4</v>
      </c>
      <c r="DR106" s="64"/>
      <c r="DS106" s="74">
        <v>685.4</v>
      </c>
      <c r="DT106" s="64"/>
      <c r="DU106" s="64"/>
      <c r="DV106" s="64">
        <f t="shared" si="229"/>
        <v>525.94299999999998</v>
      </c>
      <c r="DW106" s="64"/>
      <c r="DX106" s="64">
        <v>525.94299999999998</v>
      </c>
      <c r="DY106" s="64"/>
      <c r="DZ106" s="64"/>
      <c r="EA106" s="375"/>
      <c r="EB106" s="375"/>
      <c r="EC106" s="375"/>
      <c r="ED106" s="375"/>
      <c r="EE106" s="375"/>
      <c r="EF106" s="375"/>
      <c r="EG106" s="375"/>
      <c r="EH106" s="375"/>
      <c r="EI106" s="375"/>
      <c r="EJ106" s="375"/>
      <c r="EK106" s="375"/>
      <c r="EL106" s="375"/>
      <c r="EM106" s="375"/>
      <c r="EN106" s="375"/>
      <c r="EO106" s="375"/>
      <c r="EP106" s="375"/>
      <c r="EQ106" s="375"/>
      <c r="ER106" s="375"/>
      <c r="ES106" s="375"/>
      <c r="ET106" s="375"/>
      <c r="EU106" s="375"/>
      <c r="EV106" s="375"/>
      <c r="EW106" s="375"/>
      <c r="EX106" s="375"/>
      <c r="EY106" s="375"/>
      <c r="EZ106" s="375"/>
      <c r="FA106" s="375"/>
      <c r="FB106" s="375"/>
      <c r="FC106" s="375"/>
      <c r="FD106" s="375"/>
      <c r="FE106" s="375"/>
      <c r="FF106" s="375"/>
      <c r="FG106" s="375"/>
      <c r="FH106" s="375"/>
      <c r="FI106" s="375"/>
      <c r="FJ106" s="375"/>
      <c r="FK106" s="375"/>
      <c r="FL106" s="375"/>
      <c r="FM106" s="375"/>
      <c r="FN106" s="375"/>
      <c r="FO106" s="375"/>
      <c r="FP106" s="375"/>
      <c r="FQ106" s="375"/>
      <c r="FR106" s="375"/>
      <c r="FS106" s="375"/>
      <c r="FT106" s="375"/>
      <c r="FU106" s="375"/>
      <c r="FV106" s="375"/>
      <c r="FW106" s="375"/>
      <c r="FX106" s="375"/>
      <c r="FY106" s="375"/>
      <c r="FZ106" s="375"/>
      <c r="GA106" s="375"/>
      <c r="GB106" s="375"/>
      <c r="GC106" s="375"/>
      <c r="GD106" s="375"/>
      <c r="GE106" s="375"/>
      <c r="GF106" s="375"/>
      <c r="GG106" s="375"/>
      <c r="GH106" s="375"/>
      <c r="GI106" s="375"/>
      <c r="GJ106" s="375"/>
      <c r="GK106" s="375"/>
      <c r="GL106" s="375"/>
      <c r="GM106" s="375"/>
      <c r="GN106" s="375"/>
      <c r="GO106" s="375"/>
      <c r="GP106" s="375"/>
      <c r="GQ106" s="375"/>
      <c r="GR106" s="375"/>
    </row>
    <row r="107" spans="1:200" s="61" customFormat="1" ht="15.75" customHeight="1" x14ac:dyDescent="0.3">
      <c r="A107" s="280"/>
      <c r="B107" s="281"/>
      <c r="C107" s="282"/>
      <c r="D107" s="282">
        <v>1</v>
      </c>
      <c r="E107" s="4">
        <v>89</v>
      </c>
      <c r="F107" s="281"/>
      <c r="G107" s="282"/>
      <c r="H107" s="282">
        <v>1</v>
      </c>
      <c r="I107" s="4"/>
      <c r="J107" s="283"/>
      <c r="K107" s="283"/>
      <c r="L107" s="286"/>
      <c r="M107" s="4">
        <v>86</v>
      </c>
      <c r="N107" s="62" t="s">
        <v>211</v>
      </c>
      <c r="O107" s="62" t="s">
        <v>448</v>
      </c>
      <c r="P107" s="62" t="s">
        <v>450</v>
      </c>
      <c r="Q107" s="60">
        <f t="shared" si="164"/>
        <v>0</v>
      </c>
      <c r="R107" s="60">
        <f t="shared" si="165"/>
        <v>211.88742000000002</v>
      </c>
      <c r="S107" s="60">
        <f t="shared" si="166"/>
        <v>0</v>
      </c>
      <c r="T107" s="60">
        <v>1</v>
      </c>
      <c r="U107" s="60">
        <v>1</v>
      </c>
      <c r="V107" s="64">
        <f t="shared" si="209"/>
        <v>770.5</v>
      </c>
      <c r="W107" s="64"/>
      <c r="X107" s="65">
        <v>770.5</v>
      </c>
      <c r="Y107" s="64"/>
      <c r="Z107" s="73"/>
      <c r="AA107" s="64">
        <f t="shared" si="210"/>
        <v>770.5</v>
      </c>
      <c r="AB107" s="64"/>
      <c r="AC107" s="65">
        <v>770.5</v>
      </c>
      <c r="AD107" s="64"/>
      <c r="AE107" s="73"/>
      <c r="AF107" s="64">
        <f t="shared" si="211"/>
        <v>770.5</v>
      </c>
      <c r="AG107" s="64"/>
      <c r="AH107" s="65">
        <v>770.5</v>
      </c>
      <c r="AI107" s="64"/>
      <c r="AJ107" s="73"/>
      <c r="AK107" s="64">
        <f t="shared" si="212"/>
        <v>335</v>
      </c>
      <c r="AL107" s="64"/>
      <c r="AM107" s="65">
        <v>335</v>
      </c>
      <c r="AN107" s="64"/>
      <c r="AO107" s="73"/>
      <c r="AP107" s="64" t="s">
        <v>423</v>
      </c>
      <c r="AQ107" s="64">
        <f t="shared" si="213"/>
        <v>770.5</v>
      </c>
      <c r="AR107" s="64"/>
      <c r="AS107" s="65">
        <f>335+435.5</f>
        <v>770.5</v>
      </c>
      <c r="AT107" s="64"/>
      <c r="AU107" s="73"/>
      <c r="AV107" s="64">
        <f t="shared" si="152"/>
        <v>0</v>
      </c>
      <c r="AW107" s="64">
        <f t="shared" si="153"/>
        <v>0</v>
      </c>
      <c r="AX107" s="64">
        <f t="shared" si="154"/>
        <v>0</v>
      </c>
      <c r="AY107" s="64">
        <f t="shared" si="155"/>
        <v>0</v>
      </c>
      <c r="AZ107" s="64" t="e">
        <f>#REF!-AU107</f>
        <v>#REF!</v>
      </c>
      <c r="BA107" s="64">
        <f t="shared" si="214"/>
        <v>770.5</v>
      </c>
      <c r="BB107" s="64"/>
      <c r="BC107" s="65">
        <f>335+435.5</f>
        <v>770.5</v>
      </c>
      <c r="BD107" s="64"/>
      <c r="BE107" s="73"/>
      <c r="BF107" s="64">
        <f t="shared" si="215"/>
        <v>0</v>
      </c>
      <c r="BG107" s="64"/>
      <c r="BH107" s="65"/>
      <c r="BI107" s="64"/>
      <c r="BJ107" s="73"/>
      <c r="BK107" s="64">
        <f t="shared" si="216"/>
        <v>770.5</v>
      </c>
      <c r="BL107" s="64"/>
      <c r="BM107" s="65">
        <f>335+435.5</f>
        <v>770.5</v>
      </c>
      <c r="BN107" s="64"/>
      <c r="BO107" s="74"/>
      <c r="BP107" s="64">
        <f t="shared" si="230"/>
        <v>558.61257999999998</v>
      </c>
      <c r="BQ107" s="64"/>
      <c r="BR107" s="74">
        <v>558.61257999999998</v>
      </c>
      <c r="BS107" s="64"/>
      <c r="BT107" s="74"/>
      <c r="BU107" s="64">
        <f t="shared" si="217"/>
        <v>343.20940000000002</v>
      </c>
      <c r="BV107" s="64"/>
      <c r="BW107" s="64">
        <v>343.20940000000002</v>
      </c>
      <c r="BX107" s="64"/>
      <c r="BY107" s="64"/>
      <c r="BZ107" s="60">
        <f t="shared" si="218"/>
        <v>901.82197999999994</v>
      </c>
      <c r="CA107" s="64">
        <f t="shared" si="156"/>
        <v>901.82197999999994</v>
      </c>
      <c r="CB107" s="64">
        <f t="shared" si="157"/>
        <v>0</v>
      </c>
      <c r="CC107" s="64">
        <f t="shared" si="158"/>
        <v>901.82197999999994</v>
      </c>
      <c r="CD107" s="64">
        <f t="shared" si="159"/>
        <v>0</v>
      </c>
      <c r="CE107" s="64">
        <f t="shared" si="219"/>
        <v>0</v>
      </c>
      <c r="CF107" s="64">
        <f t="shared" si="160"/>
        <v>211.88742000000002</v>
      </c>
      <c r="CG107" s="64">
        <f t="shared" si="161"/>
        <v>0</v>
      </c>
      <c r="CH107" s="64">
        <f t="shared" si="162"/>
        <v>211.88742000000002</v>
      </c>
      <c r="CI107" s="64">
        <f t="shared" si="163"/>
        <v>0</v>
      </c>
      <c r="CJ107" s="64">
        <f t="shared" si="220"/>
        <v>0</v>
      </c>
      <c r="CK107" s="66"/>
      <c r="CL107" s="67"/>
      <c r="CM107" s="67"/>
      <c r="CN107" s="64">
        <f t="shared" si="221"/>
        <v>0</v>
      </c>
      <c r="CO107" s="64"/>
      <c r="CP107" s="65"/>
      <c r="CQ107" s="64"/>
      <c r="CR107" s="73"/>
      <c r="CS107" s="64">
        <f t="shared" si="222"/>
        <v>0</v>
      </c>
      <c r="CT107" s="64"/>
      <c r="CU107" s="65"/>
      <c r="CV107" s="64"/>
      <c r="CW107" s="73"/>
      <c r="CX107" s="64">
        <f t="shared" si="223"/>
        <v>0</v>
      </c>
      <c r="CY107" s="64">
        <f t="shared" si="224"/>
        <v>0</v>
      </c>
      <c r="CZ107" s="64">
        <f t="shared" si="224"/>
        <v>0</v>
      </c>
      <c r="DA107" s="64">
        <f t="shared" si="224"/>
        <v>0</v>
      </c>
      <c r="DB107" s="64">
        <f t="shared" si="224"/>
        <v>0</v>
      </c>
      <c r="DC107" s="64"/>
      <c r="DD107" s="64"/>
      <c r="DE107" s="64"/>
      <c r="DF107" s="64">
        <f t="shared" si="225"/>
        <v>211.88742000000002</v>
      </c>
      <c r="DH107" s="64">
        <f t="shared" si="226"/>
        <v>770.5</v>
      </c>
      <c r="DI107" s="64">
        <f t="shared" si="227"/>
        <v>558.61257999999998</v>
      </c>
      <c r="DK107" s="64"/>
      <c r="DL107" s="64"/>
      <c r="DN107" s="64"/>
      <c r="DQ107" s="64">
        <f t="shared" si="228"/>
        <v>558.61257999999998</v>
      </c>
      <c r="DR107" s="64"/>
      <c r="DS107" s="74">
        <v>558.61257999999998</v>
      </c>
      <c r="DT107" s="64"/>
      <c r="DU107" s="74"/>
      <c r="DV107" s="64">
        <f t="shared" si="229"/>
        <v>343.20940000000002</v>
      </c>
      <c r="DW107" s="64"/>
      <c r="DX107" s="64">
        <v>343.20940000000002</v>
      </c>
      <c r="DY107" s="64"/>
      <c r="DZ107" s="64"/>
      <c r="EA107" s="375"/>
      <c r="EB107" s="375"/>
      <c r="EC107" s="375"/>
      <c r="ED107" s="375"/>
      <c r="EE107" s="375"/>
      <c r="EF107" s="375"/>
      <c r="EG107" s="375"/>
      <c r="EH107" s="375"/>
      <c r="EI107" s="375"/>
      <c r="EJ107" s="375"/>
      <c r="EK107" s="375"/>
      <c r="EL107" s="375"/>
      <c r="EM107" s="375"/>
      <c r="EN107" s="375"/>
      <c r="EO107" s="375"/>
      <c r="EP107" s="375"/>
      <c r="EQ107" s="375"/>
      <c r="ER107" s="375"/>
      <c r="ES107" s="375"/>
      <c r="ET107" s="375"/>
      <c r="EU107" s="375"/>
      <c r="EV107" s="375"/>
      <c r="EW107" s="375"/>
      <c r="EX107" s="375"/>
      <c r="EY107" s="375"/>
      <c r="EZ107" s="375"/>
      <c r="FA107" s="375"/>
      <c r="FB107" s="375"/>
      <c r="FC107" s="375"/>
      <c r="FD107" s="375"/>
      <c r="FE107" s="375"/>
      <c r="FF107" s="375"/>
      <c r="FG107" s="375"/>
      <c r="FH107" s="375"/>
      <c r="FI107" s="375"/>
      <c r="FJ107" s="375"/>
      <c r="FK107" s="375"/>
      <c r="FL107" s="375"/>
      <c r="FM107" s="375"/>
      <c r="FN107" s="375"/>
      <c r="FO107" s="375"/>
      <c r="FP107" s="375"/>
      <c r="FQ107" s="375"/>
      <c r="FR107" s="375"/>
      <c r="FS107" s="375"/>
      <c r="FT107" s="375"/>
      <c r="FU107" s="375"/>
      <c r="FV107" s="375"/>
      <c r="FW107" s="375"/>
      <c r="FX107" s="375"/>
      <c r="FY107" s="375"/>
      <c r="FZ107" s="375"/>
      <c r="GA107" s="375"/>
      <c r="GB107" s="375"/>
      <c r="GC107" s="375"/>
      <c r="GD107" s="375"/>
      <c r="GE107" s="375"/>
      <c r="GF107" s="375"/>
      <c r="GG107" s="375"/>
      <c r="GH107" s="375"/>
      <c r="GI107" s="375"/>
      <c r="GJ107" s="375"/>
      <c r="GK107" s="375"/>
      <c r="GL107" s="375"/>
      <c r="GM107" s="375"/>
      <c r="GN107" s="375"/>
      <c r="GO107" s="375"/>
      <c r="GP107" s="375"/>
      <c r="GQ107" s="375"/>
      <c r="GR107" s="375"/>
    </row>
    <row r="108" spans="1:200" s="61" customFormat="1" ht="15.6" customHeight="1" x14ac:dyDescent="0.3">
      <c r="A108" s="280"/>
      <c r="B108" s="281"/>
      <c r="C108" s="282"/>
      <c r="D108" s="282">
        <v>1</v>
      </c>
      <c r="E108" s="4">
        <v>90</v>
      </c>
      <c r="F108" s="281"/>
      <c r="G108" s="282"/>
      <c r="H108" s="282">
        <v>1</v>
      </c>
      <c r="I108" s="4"/>
      <c r="J108" s="283"/>
      <c r="K108" s="283"/>
      <c r="L108" s="286"/>
      <c r="M108" s="4">
        <v>87</v>
      </c>
      <c r="N108" s="62" t="s">
        <v>177</v>
      </c>
      <c r="O108" s="62" t="s">
        <v>448</v>
      </c>
      <c r="P108" s="62" t="s">
        <v>450</v>
      </c>
      <c r="Q108" s="60">
        <f t="shared" si="164"/>
        <v>0</v>
      </c>
      <c r="R108" s="60">
        <f t="shared" si="165"/>
        <v>51.102000000000089</v>
      </c>
      <c r="S108" s="60">
        <f t="shared" si="166"/>
        <v>0</v>
      </c>
      <c r="T108" s="60">
        <v>1</v>
      </c>
      <c r="U108" s="60">
        <v>2</v>
      </c>
      <c r="V108" s="64">
        <f t="shared" si="209"/>
        <v>1083.3</v>
      </c>
      <c r="W108" s="64"/>
      <c r="X108" s="65">
        <v>1083.3</v>
      </c>
      <c r="Y108" s="64"/>
      <c r="Z108" s="73"/>
      <c r="AA108" s="64">
        <f t="shared" si="210"/>
        <v>1083.3</v>
      </c>
      <c r="AB108" s="64"/>
      <c r="AC108" s="65">
        <v>1083.3</v>
      </c>
      <c r="AD108" s="64"/>
      <c r="AE108" s="73"/>
      <c r="AF108" s="64">
        <f t="shared" si="211"/>
        <v>1083.3</v>
      </c>
      <c r="AG108" s="64"/>
      <c r="AH108" s="65">
        <v>1083.3</v>
      </c>
      <c r="AI108" s="64"/>
      <c r="AJ108" s="73"/>
      <c r="AK108" s="64">
        <f t="shared" si="212"/>
        <v>471</v>
      </c>
      <c r="AL108" s="64"/>
      <c r="AM108" s="65">
        <v>471</v>
      </c>
      <c r="AN108" s="64"/>
      <c r="AO108" s="73"/>
      <c r="AP108" s="64" t="s">
        <v>472</v>
      </c>
      <c r="AQ108" s="64">
        <f t="shared" si="213"/>
        <v>1083.3</v>
      </c>
      <c r="AR108" s="64"/>
      <c r="AS108" s="65">
        <f>471+612.3</f>
        <v>1083.3</v>
      </c>
      <c r="AT108" s="64"/>
      <c r="AU108" s="73"/>
      <c r="AV108" s="64">
        <f t="shared" si="152"/>
        <v>0</v>
      </c>
      <c r="AW108" s="64">
        <f t="shared" si="153"/>
        <v>0</v>
      </c>
      <c r="AX108" s="64">
        <f t="shared" si="154"/>
        <v>0</v>
      </c>
      <c r="AY108" s="64">
        <f t="shared" si="155"/>
        <v>0</v>
      </c>
      <c r="AZ108" s="64" t="e">
        <f>#REF!-AU108</f>
        <v>#REF!</v>
      </c>
      <c r="BA108" s="64">
        <f t="shared" si="214"/>
        <v>1083.3</v>
      </c>
      <c r="BB108" s="64"/>
      <c r="BC108" s="65">
        <f>471+612.3</f>
        <v>1083.3</v>
      </c>
      <c r="BD108" s="64"/>
      <c r="BE108" s="73"/>
      <c r="BF108" s="64">
        <f t="shared" si="215"/>
        <v>0</v>
      </c>
      <c r="BG108" s="64"/>
      <c r="BH108" s="65"/>
      <c r="BI108" s="64"/>
      <c r="BJ108" s="73"/>
      <c r="BK108" s="64">
        <f t="shared" si="216"/>
        <v>1083.3</v>
      </c>
      <c r="BL108" s="64"/>
      <c r="BM108" s="65">
        <f>471+612.3</f>
        <v>1083.3</v>
      </c>
      <c r="BN108" s="64"/>
      <c r="BO108" s="74"/>
      <c r="BP108" s="64">
        <f t="shared" si="230"/>
        <v>1032.1979999999999</v>
      </c>
      <c r="BQ108" s="64"/>
      <c r="BR108" s="74">
        <f>471+561.198</f>
        <v>1032.1979999999999</v>
      </c>
      <c r="BS108" s="64"/>
      <c r="BT108" s="74"/>
      <c r="BU108" s="64">
        <f t="shared" si="217"/>
        <v>359.58474999999999</v>
      </c>
      <c r="BV108" s="64"/>
      <c r="BW108" s="64">
        <f>172.518+0.00023+187.06652</f>
        <v>359.58474999999999</v>
      </c>
      <c r="BX108" s="64"/>
      <c r="BY108" s="64"/>
      <c r="BZ108" s="60">
        <f t="shared" si="218"/>
        <v>1391.7827499999999</v>
      </c>
      <c r="CA108" s="64">
        <f t="shared" si="156"/>
        <v>1391.7827499999999</v>
      </c>
      <c r="CB108" s="64">
        <f t="shared" si="157"/>
        <v>0</v>
      </c>
      <c r="CC108" s="64">
        <f t="shared" si="158"/>
        <v>1391.7827499999999</v>
      </c>
      <c r="CD108" s="64">
        <f t="shared" si="159"/>
        <v>0</v>
      </c>
      <c r="CE108" s="64">
        <f t="shared" si="219"/>
        <v>0</v>
      </c>
      <c r="CF108" s="64">
        <f t="shared" si="160"/>
        <v>51.102000000000089</v>
      </c>
      <c r="CG108" s="64">
        <f t="shared" si="161"/>
        <v>0</v>
      </c>
      <c r="CH108" s="64">
        <f t="shared" si="162"/>
        <v>51.102000000000089</v>
      </c>
      <c r="CI108" s="64">
        <f t="shared" si="163"/>
        <v>0</v>
      </c>
      <c r="CJ108" s="64">
        <f t="shared" si="220"/>
        <v>0</v>
      </c>
      <c r="CK108" s="66"/>
      <c r="CL108" s="67"/>
      <c r="CM108" s="67"/>
      <c r="CN108" s="64">
        <f t="shared" si="221"/>
        <v>0</v>
      </c>
      <c r="CO108" s="64"/>
      <c r="CP108" s="65"/>
      <c r="CQ108" s="64"/>
      <c r="CR108" s="73"/>
      <c r="CS108" s="64">
        <f t="shared" si="222"/>
        <v>0</v>
      </c>
      <c r="CT108" s="64"/>
      <c r="CU108" s="65"/>
      <c r="CV108" s="64"/>
      <c r="CW108" s="73"/>
      <c r="CX108" s="64">
        <f t="shared" si="223"/>
        <v>0</v>
      </c>
      <c r="CY108" s="64">
        <f t="shared" si="224"/>
        <v>0</v>
      </c>
      <c r="CZ108" s="64">
        <f t="shared" si="224"/>
        <v>0</v>
      </c>
      <c r="DA108" s="64">
        <f t="shared" si="224"/>
        <v>0</v>
      </c>
      <c r="DB108" s="64">
        <f t="shared" si="224"/>
        <v>0</v>
      </c>
      <c r="DC108" s="64"/>
      <c r="DD108" s="64"/>
      <c r="DE108" s="64"/>
      <c r="DF108" s="64">
        <f t="shared" si="225"/>
        <v>51.102000000000089</v>
      </c>
      <c r="DH108" s="64">
        <f t="shared" si="226"/>
        <v>1083.3</v>
      </c>
      <c r="DI108" s="64">
        <f t="shared" si="227"/>
        <v>1032.1979999999999</v>
      </c>
      <c r="DK108" s="64"/>
      <c r="DL108" s="64"/>
      <c r="DN108" s="64"/>
      <c r="DQ108" s="64">
        <f t="shared" si="228"/>
        <v>1032.1979999999999</v>
      </c>
      <c r="DR108" s="64"/>
      <c r="DS108" s="74">
        <f>471+561.198</f>
        <v>1032.1979999999999</v>
      </c>
      <c r="DT108" s="64"/>
      <c r="DU108" s="74"/>
      <c r="DV108" s="64">
        <f t="shared" si="229"/>
        <v>359.58474999999999</v>
      </c>
      <c r="DW108" s="64"/>
      <c r="DX108" s="64">
        <v>359.58474999999999</v>
      </c>
      <c r="DY108" s="64"/>
      <c r="DZ108" s="64"/>
      <c r="EA108" s="375"/>
      <c r="EB108" s="375"/>
      <c r="EC108" s="375"/>
      <c r="ED108" s="375"/>
      <c r="EE108" s="375"/>
      <c r="EF108" s="375"/>
      <c r="EG108" s="375"/>
      <c r="EH108" s="375"/>
      <c r="EI108" s="375"/>
      <c r="EJ108" s="375"/>
      <c r="EK108" s="375"/>
      <c r="EL108" s="375"/>
      <c r="EM108" s="375"/>
      <c r="EN108" s="375"/>
      <c r="EO108" s="375"/>
      <c r="EP108" s="375"/>
      <c r="EQ108" s="375"/>
      <c r="ER108" s="375"/>
      <c r="ES108" s="375"/>
      <c r="ET108" s="375"/>
      <c r="EU108" s="375"/>
      <c r="EV108" s="375"/>
      <c r="EW108" s="375"/>
      <c r="EX108" s="375"/>
      <c r="EY108" s="375"/>
      <c r="EZ108" s="375"/>
      <c r="FA108" s="375"/>
      <c r="FB108" s="375"/>
      <c r="FC108" s="375"/>
      <c r="FD108" s="375"/>
      <c r="FE108" s="375"/>
      <c r="FF108" s="375"/>
      <c r="FG108" s="375"/>
      <c r="FH108" s="375"/>
      <c r="FI108" s="375"/>
      <c r="FJ108" s="375"/>
      <c r="FK108" s="375"/>
      <c r="FL108" s="375"/>
      <c r="FM108" s="375"/>
      <c r="FN108" s="375"/>
      <c r="FO108" s="375"/>
      <c r="FP108" s="375"/>
      <c r="FQ108" s="375"/>
      <c r="FR108" s="375"/>
      <c r="FS108" s="375"/>
      <c r="FT108" s="375"/>
      <c r="FU108" s="375"/>
      <c r="FV108" s="375"/>
      <c r="FW108" s="375"/>
      <c r="FX108" s="375"/>
      <c r="FY108" s="375"/>
      <c r="FZ108" s="375"/>
      <c r="GA108" s="375"/>
      <c r="GB108" s="375"/>
      <c r="GC108" s="375"/>
      <c r="GD108" s="375"/>
      <c r="GE108" s="375"/>
      <c r="GF108" s="375"/>
      <c r="GG108" s="375"/>
      <c r="GH108" s="375"/>
      <c r="GI108" s="375"/>
      <c r="GJ108" s="375"/>
      <c r="GK108" s="375"/>
      <c r="GL108" s="375"/>
      <c r="GM108" s="375"/>
      <c r="GN108" s="375"/>
      <c r="GO108" s="375"/>
      <c r="GP108" s="375"/>
      <c r="GQ108" s="375"/>
      <c r="GR108" s="375"/>
    </row>
    <row r="109" spans="1:200" s="61" customFormat="1" ht="15.75" customHeight="1" x14ac:dyDescent="0.3">
      <c r="A109" s="280"/>
      <c r="B109" s="281"/>
      <c r="C109" s="282"/>
      <c r="D109" s="282">
        <v>1</v>
      </c>
      <c r="E109" s="4">
        <v>91</v>
      </c>
      <c r="F109" s="281"/>
      <c r="G109" s="282"/>
      <c r="H109" s="282">
        <v>1</v>
      </c>
      <c r="I109" s="4"/>
      <c r="J109" s="283"/>
      <c r="K109" s="283"/>
      <c r="L109" s="286"/>
      <c r="M109" s="4">
        <v>88</v>
      </c>
      <c r="N109" s="62" t="s">
        <v>106</v>
      </c>
      <c r="O109" s="62" t="s">
        <v>448</v>
      </c>
      <c r="P109" s="62" t="s">
        <v>448</v>
      </c>
      <c r="Q109" s="60">
        <f t="shared" si="164"/>
        <v>0</v>
      </c>
      <c r="R109" s="60">
        <f t="shared" si="165"/>
        <v>0</v>
      </c>
      <c r="S109" s="60">
        <f t="shared" si="166"/>
        <v>0</v>
      </c>
      <c r="T109" s="60">
        <v>1</v>
      </c>
      <c r="U109" s="60">
        <v>2</v>
      </c>
      <c r="V109" s="64">
        <f t="shared" si="209"/>
        <v>3082.1</v>
      </c>
      <c r="W109" s="64">
        <v>1950.5</v>
      </c>
      <c r="X109" s="65">
        <v>1131.5999999999999</v>
      </c>
      <c r="Y109" s="64"/>
      <c r="Z109" s="73"/>
      <c r="AA109" s="64">
        <f t="shared" si="210"/>
        <v>3082.1</v>
      </c>
      <c r="AB109" s="64">
        <v>1950.5</v>
      </c>
      <c r="AC109" s="65">
        <v>1131.5999999999999</v>
      </c>
      <c r="AD109" s="64"/>
      <c r="AE109" s="73"/>
      <c r="AF109" s="64">
        <f t="shared" si="211"/>
        <v>3082.1</v>
      </c>
      <c r="AG109" s="64">
        <v>1950.5</v>
      </c>
      <c r="AH109" s="65">
        <v>1131.5999999999999</v>
      </c>
      <c r="AI109" s="64"/>
      <c r="AJ109" s="73"/>
      <c r="AK109" s="64">
        <f t="shared" si="212"/>
        <v>2442.5</v>
      </c>
      <c r="AL109" s="64">
        <v>1950.5</v>
      </c>
      <c r="AM109" s="65">
        <v>492</v>
      </c>
      <c r="AN109" s="64"/>
      <c r="AO109" s="73"/>
      <c r="AP109" s="64" t="s">
        <v>509</v>
      </c>
      <c r="AQ109" s="64">
        <f t="shared" si="213"/>
        <v>3082.1</v>
      </c>
      <c r="AR109" s="64">
        <v>1950.5</v>
      </c>
      <c r="AS109" s="65">
        <v>1131.5999999999999</v>
      </c>
      <c r="AT109" s="64"/>
      <c r="AU109" s="73"/>
      <c r="AV109" s="64">
        <f t="shared" si="152"/>
        <v>0</v>
      </c>
      <c r="AW109" s="64">
        <f t="shared" si="153"/>
        <v>0</v>
      </c>
      <c r="AX109" s="64">
        <f t="shared" si="154"/>
        <v>0</v>
      </c>
      <c r="AY109" s="64">
        <f t="shared" si="155"/>
        <v>0</v>
      </c>
      <c r="AZ109" s="64" t="e">
        <f>#REF!-AU109</f>
        <v>#REF!</v>
      </c>
      <c r="BA109" s="64">
        <f t="shared" si="214"/>
        <v>1131.5999999999999</v>
      </c>
      <c r="BB109" s="64"/>
      <c r="BC109" s="65">
        <v>1131.5999999999999</v>
      </c>
      <c r="BD109" s="64"/>
      <c r="BE109" s="73"/>
      <c r="BF109" s="64">
        <f t="shared" si="215"/>
        <v>0</v>
      </c>
      <c r="BG109" s="64"/>
      <c r="BH109" s="73"/>
      <c r="BI109" s="64"/>
      <c r="BJ109" s="73"/>
      <c r="BK109" s="64">
        <f t="shared" si="216"/>
        <v>1131.5999999999999</v>
      </c>
      <c r="BL109" s="64"/>
      <c r="BM109" s="65">
        <v>1131.5999999999999</v>
      </c>
      <c r="BN109" s="64"/>
      <c r="BO109" s="74"/>
      <c r="BP109" s="64">
        <f t="shared" si="230"/>
        <v>1131.5999999999999</v>
      </c>
      <c r="BQ109" s="64"/>
      <c r="BR109" s="74">
        <v>1131.5999999999999</v>
      </c>
      <c r="BS109" s="64"/>
      <c r="BT109" s="74"/>
      <c r="BU109" s="64">
        <f t="shared" si="217"/>
        <v>2173.2039399999999</v>
      </c>
      <c r="BV109" s="64"/>
      <c r="BW109" s="64">
        <v>2173.2039399999999</v>
      </c>
      <c r="BX109" s="64"/>
      <c r="BY109" s="64"/>
      <c r="BZ109" s="60">
        <f t="shared" si="218"/>
        <v>3304.8039399999998</v>
      </c>
      <c r="CA109" s="64">
        <f t="shared" si="156"/>
        <v>3304.8039399999998</v>
      </c>
      <c r="CB109" s="64">
        <f t="shared" si="157"/>
        <v>0</v>
      </c>
      <c r="CC109" s="64">
        <f t="shared" si="158"/>
        <v>3304.8039399999998</v>
      </c>
      <c r="CD109" s="64">
        <f t="shared" si="159"/>
        <v>0</v>
      </c>
      <c r="CE109" s="64">
        <f t="shared" si="219"/>
        <v>0</v>
      </c>
      <c r="CF109" s="64">
        <f t="shared" si="160"/>
        <v>0</v>
      </c>
      <c r="CG109" s="64">
        <f t="shared" si="161"/>
        <v>0</v>
      </c>
      <c r="CH109" s="64">
        <f t="shared" si="162"/>
        <v>0</v>
      </c>
      <c r="CI109" s="64">
        <f t="shared" si="163"/>
        <v>0</v>
      </c>
      <c r="CJ109" s="64">
        <f t="shared" si="220"/>
        <v>0</v>
      </c>
      <c r="CK109" s="66"/>
      <c r="CL109" s="67"/>
      <c r="CM109" s="67"/>
      <c r="CN109" s="64">
        <f t="shared" si="221"/>
        <v>0</v>
      </c>
      <c r="CO109" s="64"/>
      <c r="CP109" s="73"/>
      <c r="CQ109" s="64"/>
      <c r="CR109" s="73"/>
      <c r="CS109" s="64">
        <f t="shared" si="222"/>
        <v>0</v>
      </c>
      <c r="CT109" s="64"/>
      <c r="CU109" s="73"/>
      <c r="CV109" s="64"/>
      <c r="CW109" s="73"/>
      <c r="CX109" s="64">
        <f t="shared" si="223"/>
        <v>0</v>
      </c>
      <c r="CY109" s="64">
        <f t="shared" si="224"/>
        <v>0</v>
      </c>
      <c r="CZ109" s="64">
        <f t="shared" si="224"/>
        <v>0</v>
      </c>
      <c r="DA109" s="64">
        <f t="shared" si="224"/>
        <v>0</v>
      </c>
      <c r="DB109" s="64">
        <f t="shared" si="224"/>
        <v>0</v>
      </c>
      <c r="DC109" s="64"/>
      <c r="DD109" s="64"/>
      <c r="DE109" s="64"/>
      <c r="DF109" s="64">
        <f t="shared" si="225"/>
        <v>0</v>
      </c>
      <c r="DH109" s="64">
        <f t="shared" si="226"/>
        <v>1131.5999999999999</v>
      </c>
      <c r="DI109" s="64">
        <f t="shared" si="227"/>
        <v>1131.5999999999999</v>
      </c>
      <c r="DK109" s="64"/>
      <c r="DL109" s="64"/>
      <c r="DN109" s="64"/>
      <c r="DQ109" s="64">
        <f t="shared" si="228"/>
        <v>1131.5999999999999</v>
      </c>
      <c r="DR109" s="64"/>
      <c r="DS109" s="74">
        <v>1131.5999999999999</v>
      </c>
      <c r="DT109" s="64"/>
      <c r="DU109" s="74"/>
      <c r="DV109" s="64">
        <f t="shared" si="229"/>
        <v>2173.2039399999999</v>
      </c>
      <c r="DW109" s="64"/>
      <c r="DX109" s="64">
        <v>2173.2039399999999</v>
      </c>
      <c r="DY109" s="64"/>
      <c r="DZ109" s="64"/>
      <c r="EA109" s="375"/>
      <c r="EB109" s="375"/>
      <c r="EC109" s="375"/>
      <c r="ED109" s="375"/>
      <c r="EE109" s="375"/>
      <c r="EF109" s="375"/>
      <c r="EG109" s="375"/>
      <c r="EH109" s="375"/>
      <c r="EI109" s="375"/>
      <c r="EJ109" s="375"/>
      <c r="EK109" s="375"/>
      <c r="EL109" s="375"/>
      <c r="EM109" s="375"/>
      <c r="EN109" s="375"/>
      <c r="EO109" s="375"/>
      <c r="EP109" s="375"/>
      <c r="EQ109" s="375"/>
      <c r="ER109" s="375"/>
      <c r="ES109" s="375"/>
      <c r="ET109" s="375"/>
      <c r="EU109" s="375"/>
      <c r="EV109" s="375"/>
      <c r="EW109" s="375"/>
      <c r="EX109" s="375"/>
      <c r="EY109" s="375"/>
      <c r="EZ109" s="375"/>
      <c r="FA109" s="375"/>
      <c r="FB109" s="375"/>
      <c r="FC109" s="375"/>
      <c r="FD109" s="375"/>
      <c r="FE109" s="375"/>
      <c r="FF109" s="375"/>
      <c r="FG109" s="375"/>
      <c r="FH109" s="375"/>
      <c r="FI109" s="375"/>
      <c r="FJ109" s="375"/>
      <c r="FK109" s="375"/>
      <c r="FL109" s="375"/>
      <c r="FM109" s="375"/>
      <c r="FN109" s="375"/>
      <c r="FO109" s="375"/>
      <c r="FP109" s="375"/>
      <c r="FQ109" s="375"/>
      <c r="FR109" s="375"/>
      <c r="FS109" s="375"/>
      <c r="FT109" s="375"/>
      <c r="FU109" s="375"/>
      <c r="FV109" s="375"/>
      <c r="FW109" s="375"/>
      <c r="FX109" s="375"/>
      <c r="FY109" s="375"/>
      <c r="FZ109" s="375"/>
      <c r="GA109" s="375"/>
      <c r="GB109" s="375"/>
      <c r="GC109" s="375"/>
      <c r="GD109" s="375"/>
      <c r="GE109" s="375"/>
      <c r="GF109" s="375"/>
      <c r="GG109" s="375"/>
      <c r="GH109" s="375"/>
      <c r="GI109" s="375"/>
      <c r="GJ109" s="375"/>
      <c r="GK109" s="375"/>
      <c r="GL109" s="375"/>
      <c r="GM109" s="375"/>
      <c r="GN109" s="375"/>
      <c r="GO109" s="375"/>
      <c r="GP109" s="375"/>
      <c r="GQ109" s="375"/>
      <c r="GR109" s="375"/>
    </row>
    <row r="110" spans="1:200" s="61" customFormat="1" ht="15.75" customHeight="1" x14ac:dyDescent="0.3">
      <c r="A110" s="280"/>
      <c r="B110" s="281"/>
      <c r="C110" s="282">
        <v>1</v>
      </c>
      <c r="D110" s="282"/>
      <c r="E110" s="4">
        <v>92</v>
      </c>
      <c r="F110" s="281"/>
      <c r="G110" s="282">
        <v>1</v>
      </c>
      <c r="H110" s="282">
        <v>1</v>
      </c>
      <c r="I110" s="4"/>
      <c r="J110" s="283"/>
      <c r="K110" s="283"/>
      <c r="L110" s="286"/>
      <c r="M110" s="4">
        <v>89</v>
      </c>
      <c r="N110" s="62" t="s">
        <v>47</v>
      </c>
      <c r="O110" s="62" t="s">
        <v>450</v>
      </c>
      <c r="P110" s="62" t="s">
        <v>448</v>
      </c>
      <c r="Q110" s="60">
        <f t="shared" si="164"/>
        <v>0</v>
      </c>
      <c r="R110" s="60">
        <f t="shared" si="165"/>
        <v>0</v>
      </c>
      <c r="S110" s="60">
        <f t="shared" si="166"/>
        <v>0</v>
      </c>
      <c r="T110" s="60">
        <v>1</v>
      </c>
      <c r="U110" s="60">
        <v>1</v>
      </c>
      <c r="V110" s="64">
        <f t="shared" si="209"/>
        <v>2132.1</v>
      </c>
      <c r="W110" s="64"/>
      <c r="X110" s="65">
        <v>2132.1</v>
      </c>
      <c r="Y110" s="99"/>
      <c r="Z110" s="73"/>
      <c r="AA110" s="64">
        <f t="shared" si="210"/>
        <v>2132.1</v>
      </c>
      <c r="AB110" s="64"/>
      <c r="AC110" s="65">
        <v>2132.1</v>
      </c>
      <c r="AD110" s="99"/>
      <c r="AE110" s="73"/>
      <c r="AF110" s="64">
        <f t="shared" si="211"/>
        <v>2132.1</v>
      </c>
      <c r="AG110" s="64"/>
      <c r="AH110" s="65">
        <v>2132.1</v>
      </c>
      <c r="AI110" s="99"/>
      <c r="AJ110" s="73"/>
      <c r="AK110" s="64">
        <f t="shared" si="212"/>
        <v>927</v>
      </c>
      <c r="AL110" s="64"/>
      <c r="AM110" s="65">
        <v>927</v>
      </c>
      <c r="AN110" s="99"/>
      <c r="AO110" s="73"/>
      <c r="AP110" s="64" t="s">
        <v>429</v>
      </c>
      <c r="AQ110" s="64">
        <f t="shared" si="213"/>
        <v>2132.1</v>
      </c>
      <c r="AR110" s="64"/>
      <c r="AS110" s="65">
        <v>2132.1</v>
      </c>
      <c r="AT110" s="99"/>
      <c r="AU110" s="73"/>
      <c r="AV110" s="64">
        <f t="shared" si="152"/>
        <v>0</v>
      </c>
      <c r="AW110" s="64">
        <f t="shared" si="153"/>
        <v>0</v>
      </c>
      <c r="AX110" s="64">
        <f t="shared" si="154"/>
        <v>0</v>
      </c>
      <c r="AY110" s="64">
        <f t="shared" si="155"/>
        <v>0</v>
      </c>
      <c r="AZ110" s="64" t="e">
        <f>#REF!-AU110</f>
        <v>#REF!</v>
      </c>
      <c r="BA110" s="64">
        <f t="shared" si="214"/>
        <v>2132.1</v>
      </c>
      <c r="BB110" s="64"/>
      <c r="BC110" s="65">
        <v>2132.1</v>
      </c>
      <c r="BD110" s="99"/>
      <c r="BE110" s="73"/>
      <c r="BF110" s="64">
        <f t="shared" si="215"/>
        <v>0</v>
      </c>
      <c r="BG110" s="64"/>
      <c r="BH110" s="65"/>
      <c r="BI110" s="99"/>
      <c r="BJ110" s="73"/>
      <c r="BK110" s="64">
        <f t="shared" si="216"/>
        <v>2132.1</v>
      </c>
      <c r="BL110" s="64"/>
      <c r="BM110" s="65">
        <v>2132.1</v>
      </c>
      <c r="BN110" s="104"/>
      <c r="BO110" s="74"/>
      <c r="BP110" s="64">
        <f t="shared" si="230"/>
        <v>2132.1</v>
      </c>
      <c r="BQ110" s="64"/>
      <c r="BR110" s="74">
        <f>1829.821+302.279</f>
        <v>2132.1</v>
      </c>
      <c r="BS110" s="104"/>
      <c r="BT110" s="74"/>
      <c r="BU110" s="64">
        <f t="shared" si="217"/>
        <v>813.29500000000007</v>
      </c>
      <c r="BV110" s="64"/>
      <c r="BW110" s="64">
        <f>611.1+202.195</f>
        <v>813.29500000000007</v>
      </c>
      <c r="BX110" s="64"/>
      <c r="BY110" s="64"/>
      <c r="BZ110" s="60">
        <f t="shared" si="218"/>
        <v>2945.395</v>
      </c>
      <c r="CA110" s="64">
        <f t="shared" si="156"/>
        <v>2945.395</v>
      </c>
      <c r="CB110" s="64">
        <f t="shared" si="157"/>
        <v>0</v>
      </c>
      <c r="CC110" s="64">
        <f t="shared" si="158"/>
        <v>2945.395</v>
      </c>
      <c r="CD110" s="64">
        <f t="shared" si="159"/>
        <v>0</v>
      </c>
      <c r="CE110" s="64">
        <f t="shared" si="219"/>
        <v>0</v>
      </c>
      <c r="CF110" s="64">
        <f t="shared" si="160"/>
        <v>0</v>
      </c>
      <c r="CG110" s="64">
        <f t="shared" si="161"/>
        <v>0</v>
      </c>
      <c r="CH110" s="64">
        <f t="shared" si="162"/>
        <v>0</v>
      </c>
      <c r="CI110" s="64">
        <f t="shared" si="163"/>
        <v>0</v>
      </c>
      <c r="CJ110" s="64">
        <f t="shared" si="220"/>
        <v>0</v>
      </c>
      <c r="CK110" s="66"/>
      <c r="CL110" s="67"/>
      <c r="CM110" s="67"/>
      <c r="CN110" s="64">
        <f t="shared" si="221"/>
        <v>0</v>
      </c>
      <c r="CO110" s="64"/>
      <c r="CP110" s="65"/>
      <c r="CQ110" s="99"/>
      <c r="CR110" s="73"/>
      <c r="CS110" s="64">
        <f t="shared" si="222"/>
        <v>0</v>
      </c>
      <c r="CT110" s="64"/>
      <c r="CU110" s="65"/>
      <c r="CV110" s="99"/>
      <c r="CW110" s="73"/>
      <c r="CX110" s="64">
        <f t="shared" si="223"/>
        <v>0</v>
      </c>
      <c r="CY110" s="64">
        <f t="shared" si="224"/>
        <v>0</v>
      </c>
      <c r="CZ110" s="64">
        <f t="shared" si="224"/>
        <v>0</v>
      </c>
      <c r="DA110" s="64">
        <f t="shared" si="224"/>
        <v>0</v>
      </c>
      <c r="DB110" s="64">
        <f t="shared" si="224"/>
        <v>0</v>
      </c>
      <c r="DC110" s="64"/>
      <c r="DD110" s="64"/>
      <c r="DE110" s="64"/>
      <c r="DF110" s="64">
        <f t="shared" si="225"/>
        <v>0</v>
      </c>
      <c r="DH110" s="64">
        <f t="shared" si="226"/>
        <v>2132.1</v>
      </c>
      <c r="DI110" s="64">
        <f t="shared" si="227"/>
        <v>2132.1</v>
      </c>
      <c r="DK110" s="64"/>
      <c r="DL110" s="64"/>
      <c r="DN110" s="64"/>
      <c r="DQ110" s="64">
        <f t="shared" si="228"/>
        <v>2132.1</v>
      </c>
      <c r="DR110" s="64"/>
      <c r="DS110" s="74">
        <f>1829.821+302.279</f>
        <v>2132.1</v>
      </c>
      <c r="DT110" s="104"/>
      <c r="DU110" s="74"/>
      <c r="DV110" s="64">
        <f t="shared" si="229"/>
        <v>611.1</v>
      </c>
      <c r="DW110" s="64"/>
      <c r="DX110" s="64">
        <v>611.1</v>
      </c>
      <c r="DY110" s="64"/>
      <c r="DZ110" s="64"/>
      <c r="EA110" s="375"/>
      <c r="EB110" s="375"/>
      <c r="EC110" s="375"/>
      <c r="ED110" s="375"/>
      <c r="EE110" s="375"/>
      <c r="EF110" s="375"/>
      <c r="EG110" s="375"/>
      <c r="EH110" s="375"/>
      <c r="EI110" s="375"/>
      <c r="EJ110" s="375"/>
      <c r="EK110" s="375"/>
      <c r="EL110" s="375"/>
      <c r="EM110" s="375"/>
      <c r="EN110" s="375"/>
      <c r="EO110" s="375"/>
      <c r="EP110" s="375"/>
      <c r="EQ110" s="375"/>
      <c r="ER110" s="375"/>
      <c r="ES110" s="375"/>
      <c r="ET110" s="375"/>
      <c r="EU110" s="375"/>
      <c r="EV110" s="375"/>
      <c r="EW110" s="375"/>
      <c r="EX110" s="375"/>
      <c r="EY110" s="375"/>
      <c r="EZ110" s="375"/>
      <c r="FA110" s="375"/>
      <c r="FB110" s="375"/>
      <c r="FC110" s="375"/>
      <c r="FD110" s="375"/>
      <c r="FE110" s="375"/>
      <c r="FF110" s="375"/>
      <c r="FG110" s="375"/>
      <c r="FH110" s="375"/>
      <c r="FI110" s="375"/>
      <c r="FJ110" s="375"/>
      <c r="FK110" s="375"/>
      <c r="FL110" s="375"/>
      <c r="FM110" s="375"/>
      <c r="FN110" s="375"/>
      <c r="FO110" s="375"/>
      <c r="FP110" s="375"/>
      <c r="FQ110" s="375"/>
      <c r="FR110" s="375"/>
      <c r="FS110" s="375"/>
      <c r="FT110" s="375"/>
      <c r="FU110" s="375"/>
      <c r="FV110" s="375"/>
      <c r="FW110" s="375"/>
      <c r="FX110" s="375"/>
      <c r="FY110" s="375"/>
      <c r="FZ110" s="375"/>
      <c r="GA110" s="375"/>
      <c r="GB110" s="375"/>
      <c r="GC110" s="375"/>
      <c r="GD110" s="375"/>
      <c r="GE110" s="375"/>
      <c r="GF110" s="375"/>
      <c r="GG110" s="375"/>
      <c r="GH110" s="375"/>
      <c r="GI110" s="375"/>
      <c r="GJ110" s="375"/>
      <c r="GK110" s="375"/>
      <c r="GL110" s="375"/>
      <c r="GM110" s="375"/>
      <c r="GN110" s="375"/>
      <c r="GO110" s="375"/>
      <c r="GP110" s="375"/>
      <c r="GQ110" s="375"/>
      <c r="GR110" s="375"/>
    </row>
    <row r="111" spans="1:200" s="61" customFormat="1" ht="15.75" customHeight="1" x14ac:dyDescent="0.3">
      <c r="A111" s="280"/>
      <c r="B111" s="281"/>
      <c r="C111" s="282"/>
      <c r="D111" s="282">
        <v>1</v>
      </c>
      <c r="E111" s="4">
        <v>93</v>
      </c>
      <c r="F111" s="281"/>
      <c r="G111" s="282"/>
      <c r="H111" s="282">
        <v>1</v>
      </c>
      <c r="I111" s="4"/>
      <c r="J111" s="283"/>
      <c r="K111" s="283"/>
      <c r="L111" s="286"/>
      <c r="M111" s="4">
        <v>90</v>
      </c>
      <c r="N111" s="62" t="s">
        <v>107</v>
      </c>
      <c r="O111" s="62">
        <v>0</v>
      </c>
      <c r="P111" s="62">
        <v>0</v>
      </c>
      <c r="Q111" s="60">
        <f t="shared" si="164"/>
        <v>0</v>
      </c>
      <c r="R111" s="60">
        <f t="shared" si="165"/>
        <v>0</v>
      </c>
      <c r="S111" s="60">
        <f t="shared" si="166"/>
        <v>0</v>
      </c>
      <c r="T111" s="60"/>
      <c r="U111" s="60"/>
      <c r="V111" s="64">
        <f t="shared" si="209"/>
        <v>0</v>
      </c>
      <c r="W111" s="64"/>
      <c r="X111" s="65">
        <v>0</v>
      </c>
      <c r="Y111" s="64"/>
      <c r="Z111" s="73"/>
      <c r="AA111" s="64">
        <f t="shared" si="210"/>
        <v>1359.3</v>
      </c>
      <c r="AB111" s="64"/>
      <c r="AC111" s="65">
        <v>1359.3</v>
      </c>
      <c r="AD111" s="64"/>
      <c r="AE111" s="73"/>
      <c r="AF111" s="64">
        <f t="shared" si="211"/>
        <v>1359.3</v>
      </c>
      <c r="AG111" s="64"/>
      <c r="AH111" s="65">
        <v>1359.3</v>
      </c>
      <c r="AI111" s="64"/>
      <c r="AJ111" s="73"/>
      <c r="AK111" s="64">
        <f t="shared" si="212"/>
        <v>591</v>
      </c>
      <c r="AL111" s="64"/>
      <c r="AM111" s="65">
        <v>591</v>
      </c>
      <c r="AN111" s="64"/>
      <c r="AO111" s="73"/>
      <c r="AP111" s="64"/>
      <c r="AQ111" s="64">
        <f t="shared" si="213"/>
        <v>0</v>
      </c>
      <c r="AR111" s="64"/>
      <c r="AS111" s="65"/>
      <c r="AT111" s="64"/>
      <c r="AU111" s="64"/>
      <c r="AV111" s="64">
        <f t="shared" si="152"/>
        <v>0</v>
      </c>
      <c r="AW111" s="64">
        <f t="shared" si="153"/>
        <v>0</v>
      </c>
      <c r="AX111" s="64">
        <f t="shared" si="154"/>
        <v>0</v>
      </c>
      <c r="AY111" s="64">
        <f t="shared" si="155"/>
        <v>0</v>
      </c>
      <c r="AZ111" s="64" t="e">
        <f>#REF!-AU111</f>
        <v>#REF!</v>
      </c>
      <c r="BA111" s="64">
        <f t="shared" si="214"/>
        <v>0</v>
      </c>
      <c r="BB111" s="64"/>
      <c r="BC111" s="65"/>
      <c r="BD111" s="64"/>
      <c r="BE111" s="64"/>
      <c r="BF111" s="64">
        <f t="shared" si="215"/>
        <v>0</v>
      </c>
      <c r="BG111" s="64"/>
      <c r="BH111" s="65"/>
      <c r="BI111" s="64"/>
      <c r="BJ111" s="64"/>
      <c r="BK111" s="64">
        <f t="shared" si="216"/>
        <v>0</v>
      </c>
      <c r="BL111" s="64"/>
      <c r="BM111" s="74"/>
      <c r="BN111" s="64"/>
      <c r="BO111" s="64"/>
      <c r="BP111" s="64">
        <f t="shared" si="230"/>
        <v>0</v>
      </c>
      <c r="BQ111" s="64"/>
      <c r="BR111" s="74"/>
      <c r="BS111" s="64"/>
      <c r="BT111" s="64"/>
      <c r="BU111" s="64">
        <f t="shared" si="217"/>
        <v>0</v>
      </c>
      <c r="BV111" s="64"/>
      <c r="BW111" s="64"/>
      <c r="BX111" s="64"/>
      <c r="BY111" s="64"/>
      <c r="BZ111" s="60">
        <f t="shared" si="218"/>
        <v>0</v>
      </c>
      <c r="CA111" s="64">
        <f t="shared" si="156"/>
        <v>0</v>
      </c>
      <c r="CB111" s="64">
        <f t="shared" si="157"/>
        <v>0</v>
      </c>
      <c r="CC111" s="64">
        <f t="shared" si="158"/>
        <v>0</v>
      </c>
      <c r="CD111" s="64">
        <f t="shared" si="159"/>
        <v>0</v>
      </c>
      <c r="CE111" s="64">
        <f t="shared" si="219"/>
        <v>0</v>
      </c>
      <c r="CF111" s="64">
        <f t="shared" si="160"/>
        <v>0</v>
      </c>
      <c r="CG111" s="64">
        <f t="shared" si="161"/>
        <v>0</v>
      </c>
      <c r="CH111" s="64">
        <f t="shared" si="162"/>
        <v>0</v>
      </c>
      <c r="CI111" s="64">
        <f t="shared" si="163"/>
        <v>0</v>
      </c>
      <c r="CJ111" s="64">
        <f t="shared" si="220"/>
        <v>0</v>
      </c>
      <c r="CK111" s="66"/>
      <c r="CL111" s="67"/>
      <c r="CM111" s="67"/>
      <c r="CN111" s="64">
        <f t="shared" si="221"/>
        <v>0</v>
      </c>
      <c r="CO111" s="64"/>
      <c r="CP111" s="65"/>
      <c r="CQ111" s="64"/>
      <c r="CR111" s="64"/>
      <c r="CS111" s="64">
        <f t="shared" si="222"/>
        <v>0</v>
      </c>
      <c r="CT111" s="64"/>
      <c r="CU111" s="65"/>
      <c r="CV111" s="64"/>
      <c r="CW111" s="64"/>
      <c r="CX111" s="64">
        <f t="shared" si="223"/>
        <v>0</v>
      </c>
      <c r="CY111" s="64">
        <f t="shared" si="224"/>
        <v>0</v>
      </c>
      <c r="CZ111" s="64">
        <f t="shared" si="224"/>
        <v>0</v>
      </c>
      <c r="DA111" s="64">
        <f t="shared" si="224"/>
        <v>0</v>
      </c>
      <c r="DB111" s="64">
        <f t="shared" si="224"/>
        <v>0</v>
      </c>
      <c r="DC111" s="64"/>
      <c r="DD111" s="64"/>
      <c r="DE111" s="64"/>
      <c r="DF111" s="64">
        <f t="shared" si="225"/>
        <v>0</v>
      </c>
      <c r="DH111" s="64">
        <f t="shared" si="226"/>
        <v>0</v>
      </c>
      <c r="DI111" s="64">
        <f t="shared" si="227"/>
        <v>0</v>
      </c>
      <c r="DK111" s="64"/>
      <c r="DL111" s="64"/>
      <c r="DN111" s="64"/>
      <c r="DQ111" s="64">
        <f t="shared" si="228"/>
        <v>0</v>
      </c>
      <c r="DR111" s="64"/>
      <c r="DS111" s="74"/>
      <c r="DT111" s="64"/>
      <c r="DU111" s="64"/>
      <c r="DV111" s="64">
        <f t="shared" si="229"/>
        <v>552.76502000000005</v>
      </c>
      <c r="DW111" s="64"/>
      <c r="DX111" s="64">
        <v>552.76502000000005</v>
      </c>
      <c r="DY111" s="64"/>
      <c r="DZ111" s="64"/>
      <c r="EA111" s="375"/>
      <c r="EB111" s="375"/>
      <c r="EC111" s="375"/>
      <c r="ED111" s="375"/>
      <c r="EE111" s="375"/>
      <c r="EF111" s="375"/>
      <c r="EG111" s="375"/>
      <c r="EH111" s="375"/>
      <c r="EI111" s="375"/>
      <c r="EJ111" s="375"/>
      <c r="EK111" s="375"/>
      <c r="EL111" s="375"/>
      <c r="EM111" s="375"/>
      <c r="EN111" s="375"/>
      <c r="EO111" s="375"/>
      <c r="EP111" s="375"/>
      <c r="EQ111" s="375"/>
      <c r="ER111" s="375"/>
      <c r="ES111" s="375"/>
      <c r="ET111" s="375"/>
      <c r="EU111" s="375"/>
      <c r="EV111" s="375"/>
      <c r="EW111" s="375"/>
      <c r="EX111" s="375"/>
      <c r="EY111" s="375"/>
      <c r="EZ111" s="375"/>
      <c r="FA111" s="375"/>
      <c r="FB111" s="375"/>
      <c r="FC111" s="375"/>
      <c r="FD111" s="375"/>
      <c r="FE111" s="375"/>
      <c r="FF111" s="375"/>
      <c r="FG111" s="375"/>
      <c r="FH111" s="375"/>
      <c r="FI111" s="375"/>
      <c r="FJ111" s="375"/>
      <c r="FK111" s="375"/>
      <c r="FL111" s="375"/>
      <c r="FM111" s="375"/>
      <c r="FN111" s="375"/>
      <c r="FO111" s="375"/>
      <c r="FP111" s="375"/>
      <c r="FQ111" s="375"/>
      <c r="FR111" s="375"/>
      <c r="FS111" s="375"/>
      <c r="FT111" s="375"/>
      <c r="FU111" s="375"/>
      <c r="FV111" s="375"/>
      <c r="FW111" s="375"/>
      <c r="FX111" s="375"/>
      <c r="FY111" s="375"/>
      <c r="FZ111" s="375"/>
      <c r="GA111" s="375"/>
      <c r="GB111" s="375"/>
      <c r="GC111" s="375"/>
      <c r="GD111" s="375"/>
      <c r="GE111" s="375"/>
      <c r="GF111" s="375"/>
      <c r="GG111" s="375"/>
      <c r="GH111" s="375"/>
      <c r="GI111" s="375"/>
      <c r="GJ111" s="375"/>
      <c r="GK111" s="375"/>
      <c r="GL111" s="375"/>
      <c r="GM111" s="375"/>
      <c r="GN111" s="375"/>
      <c r="GO111" s="375"/>
      <c r="GP111" s="375"/>
      <c r="GQ111" s="375"/>
      <c r="GR111" s="375"/>
    </row>
    <row r="112" spans="1:200" s="61" customFormat="1" ht="15.75" customHeight="1" x14ac:dyDescent="0.3">
      <c r="A112" s="280"/>
      <c r="B112" s="281"/>
      <c r="C112" s="282"/>
      <c r="D112" s="282">
        <v>1</v>
      </c>
      <c r="E112" s="4">
        <v>94</v>
      </c>
      <c r="F112" s="281"/>
      <c r="G112" s="282"/>
      <c r="H112" s="282">
        <v>1</v>
      </c>
      <c r="I112" s="4"/>
      <c r="J112" s="283"/>
      <c r="K112" s="283"/>
      <c r="L112" s="286"/>
      <c r="M112" s="4">
        <v>91</v>
      </c>
      <c r="N112" s="62" t="s">
        <v>108</v>
      </c>
      <c r="O112" s="62" t="s">
        <v>448</v>
      </c>
      <c r="P112" s="62" t="s">
        <v>448</v>
      </c>
      <c r="Q112" s="60">
        <f t="shared" si="164"/>
        <v>0</v>
      </c>
      <c r="R112" s="60">
        <f t="shared" si="165"/>
        <v>0</v>
      </c>
      <c r="S112" s="60">
        <f t="shared" si="166"/>
        <v>578</v>
      </c>
      <c r="T112" s="60">
        <v>1</v>
      </c>
      <c r="U112" s="60">
        <v>3</v>
      </c>
      <c r="V112" s="64">
        <f t="shared" si="209"/>
        <v>3841.8</v>
      </c>
      <c r="W112" s="64"/>
      <c r="X112" s="65">
        <v>841.8</v>
      </c>
      <c r="Y112" s="64">
        <v>3000</v>
      </c>
      <c r="Z112" s="73"/>
      <c r="AA112" s="64">
        <f t="shared" si="210"/>
        <v>3841.8</v>
      </c>
      <c r="AB112" s="64"/>
      <c r="AC112" s="65">
        <v>841.8</v>
      </c>
      <c r="AD112" s="64">
        <v>3000</v>
      </c>
      <c r="AE112" s="73"/>
      <c r="AF112" s="64">
        <f t="shared" si="211"/>
        <v>841.8</v>
      </c>
      <c r="AG112" s="64"/>
      <c r="AH112" s="65">
        <v>841.8</v>
      </c>
      <c r="AI112" s="64"/>
      <c r="AJ112" s="73"/>
      <c r="AK112" s="64">
        <f t="shared" si="212"/>
        <v>366</v>
      </c>
      <c r="AL112" s="64"/>
      <c r="AM112" s="65">
        <v>366</v>
      </c>
      <c r="AN112" s="64"/>
      <c r="AO112" s="73"/>
      <c r="AP112" s="64" t="s">
        <v>518</v>
      </c>
      <c r="AQ112" s="64">
        <f t="shared" si="213"/>
        <v>3841.8</v>
      </c>
      <c r="AR112" s="64"/>
      <c r="AS112" s="65">
        <f>366+475.8</f>
        <v>841.8</v>
      </c>
      <c r="AT112" s="64">
        <v>3000</v>
      </c>
      <c r="AU112" s="73"/>
      <c r="AV112" s="64">
        <f t="shared" si="152"/>
        <v>0</v>
      </c>
      <c r="AW112" s="64">
        <f t="shared" si="153"/>
        <v>0</v>
      </c>
      <c r="AX112" s="64">
        <f t="shared" si="154"/>
        <v>0</v>
      </c>
      <c r="AY112" s="64">
        <f t="shared" si="155"/>
        <v>0</v>
      </c>
      <c r="AZ112" s="64" t="e">
        <f>#REF!-AU112</f>
        <v>#REF!</v>
      </c>
      <c r="BA112" s="64">
        <f t="shared" si="214"/>
        <v>3841.8</v>
      </c>
      <c r="BB112" s="64"/>
      <c r="BC112" s="65">
        <f>366+475.8</f>
        <v>841.8</v>
      </c>
      <c r="BD112" s="64">
        <v>3000</v>
      </c>
      <c r="BE112" s="73"/>
      <c r="BF112" s="64">
        <f t="shared" si="215"/>
        <v>0</v>
      </c>
      <c r="BG112" s="64"/>
      <c r="BH112" s="65"/>
      <c r="BI112" s="64"/>
      <c r="BJ112" s="73"/>
      <c r="BK112" s="64">
        <f t="shared" si="216"/>
        <v>3841.8</v>
      </c>
      <c r="BL112" s="64"/>
      <c r="BM112" s="65">
        <f>366+475.8</f>
        <v>841.8</v>
      </c>
      <c r="BN112" s="64">
        <v>3000</v>
      </c>
      <c r="BO112" s="74"/>
      <c r="BP112" s="64">
        <f t="shared" si="230"/>
        <v>3263.8</v>
      </c>
      <c r="BQ112" s="64"/>
      <c r="BR112" s="65">
        <f>366+475.8</f>
        <v>841.8</v>
      </c>
      <c r="BS112" s="64">
        <v>2422</v>
      </c>
      <c r="BT112" s="74"/>
      <c r="BU112" s="64">
        <f t="shared" si="217"/>
        <v>1360.1184800000001</v>
      </c>
      <c r="BV112" s="64"/>
      <c r="BW112" s="64">
        <f>212.57139+340.19363</f>
        <v>552.76502000000005</v>
      </c>
      <c r="BX112" s="64">
        <v>807.35346000000004</v>
      </c>
      <c r="BY112" s="64"/>
      <c r="BZ112" s="60">
        <f t="shared" si="218"/>
        <v>4623.9184800000003</v>
      </c>
      <c r="CA112" s="64">
        <f t="shared" si="156"/>
        <v>4623.9184800000003</v>
      </c>
      <c r="CB112" s="64">
        <f t="shared" si="157"/>
        <v>0</v>
      </c>
      <c r="CC112" s="64">
        <f t="shared" si="158"/>
        <v>1394.56502</v>
      </c>
      <c r="CD112" s="64">
        <f t="shared" si="159"/>
        <v>3229.3534600000003</v>
      </c>
      <c r="CE112" s="64">
        <f t="shared" si="219"/>
        <v>0</v>
      </c>
      <c r="CF112" s="64">
        <f t="shared" si="160"/>
        <v>578</v>
      </c>
      <c r="CG112" s="64">
        <f t="shared" si="161"/>
        <v>0</v>
      </c>
      <c r="CH112" s="64">
        <f t="shared" si="162"/>
        <v>0</v>
      </c>
      <c r="CI112" s="64">
        <f t="shared" si="163"/>
        <v>578</v>
      </c>
      <c r="CJ112" s="64">
        <f t="shared" si="220"/>
        <v>0</v>
      </c>
      <c r="CK112" s="66"/>
      <c r="CL112" s="67"/>
      <c r="CM112" s="67"/>
      <c r="CN112" s="64">
        <f t="shared" si="221"/>
        <v>0</v>
      </c>
      <c r="CO112" s="64"/>
      <c r="CP112" s="65"/>
      <c r="CQ112" s="64"/>
      <c r="CR112" s="73"/>
      <c r="CS112" s="64">
        <f t="shared" si="222"/>
        <v>0</v>
      </c>
      <c r="CT112" s="64"/>
      <c r="CU112" s="65"/>
      <c r="CV112" s="64"/>
      <c r="CW112" s="73"/>
      <c r="CX112" s="64">
        <f t="shared" si="223"/>
        <v>0</v>
      </c>
      <c r="CY112" s="64">
        <f t="shared" si="224"/>
        <v>0</v>
      </c>
      <c r="CZ112" s="64">
        <f t="shared" si="224"/>
        <v>0</v>
      </c>
      <c r="DA112" s="64">
        <f t="shared" si="224"/>
        <v>0</v>
      </c>
      <c r="DB112" s="64">
        <f t="shared" si="224"/>
        <v>0</v>
      </c>
      <c r="DC112" s="64"/>
      <c r="DD112" s="64"/>
      <c r="DE112" s="64"/>
      <c r="DF112" s="64">
        <f t="shared" si="225"/>
        <v>578</v>
      </c>
      <c r="DH112" s="64">
        <f t="shared" si="226"/>
        <v>3841.8</v>
      </c>
      <c r="DI112" s="64">
        <f t="shared" si="227"/>
        <v>3263.8</v>
      </c>
      <c r="DK112" s="64"/>
      <c r="DL112" s="64"/>
      <c r="DN112" s="64"/>
      <c r="DQ112" s="64">
        <f t="shared" si="228"/>
        <v>3263.8</v>
      </c>
      <c r="DR112" s="64"/>
      <c r="DS112" s="65">
        <f>366+475.8</f>
        <v>841.8</v>
      </c>
      <c r="DT112" s="64">
        <v>2422</v>
      </c>
      <c r="DU112" s="74"/>
      <c r="DV112" s="64">
        <f t="shared" si="229"/>
        <v>807.35346000000004</v>
      </c>
      <c r="DW112" s="64"/>
      <c r="DX112" s="64"/>
      <c r="DY112" s="64">
        <v>807.35346000000004</v>
      </c>
      <c r="DZ112" s="64"/>
      <c r="EA112" s="375"/>
      <c r="EB112" s="375"/>
      <c r="EC112" s="375"/>
      <c r="ED112" s="375"/>
      <c r="EE112" s="375"/>
      <c r="EF112" s="375"/>
      <c r="EG112" s="375"/>
      <c r="EH112" s="375"/>
      <c r="EI112" s="375"/>
      <c r="EJ112" s="375"/>
      <c r="EK112" s="375"/>
      <c r="EL112" s="375"/>
      <c r="EM112" s="375"/>
      <c r="EN112" s="375"/>
      <c r="EO112" s="375"/>
      <c r="EP112" s="375"/>
      <c r="EQ112" s="375"/>
      <c r="ER112" s="375"/>
      <c r="ES112" s="375"/>
      <c r="ET112" s="375"/>
      <c r="EU112" s="375"/>
      <c r="EV112" s="375"/>
      <c r="EW112" s="375"/>
      <c r="EX112" s="375"/>
      <c r="EY112" s="375"/>
      <c r="EZ112" s="375"/>
      <c r="FA112" s="375"/>
      <c r="FB112" s="375"/>
      <c r="FC112" s="375"/>
      <c r="FD112" s="375"/>
      <c r="FE112" s="375"/>
      <c r="FF112" s="375"/>
      <c r="FG112" s="375"/>
      <c r="FH112" s="375"/>
      <c r="FI112" s="375"/>
      <c r="FJ112" s="375"/>
      <c r="FK112" s="375"/>
      <c r="FL112" s="375"/>
      <c r="FM112" s="375"/>
      <c r="FN112" s="375"/>
      <c r="FO112" s="375"/>
      <c r="FP112" s="375"/>
      <c r="FQ112" s="375"/>
      <c r="FR112" s="375"/>
      <c r="FS112" s="375"/>
      <c r="FT112" s="375"/>
      <c r="FU112" s="375"/>
      <c r="FV112" s="375"/>
      <c r="FW112" s="375"/>
      <c r="FX112" s="375"/>
      <c r="FY112" s="375"/>
      <c r="FZ112" s="375"/>
      <c r="GA112" s="375"/>
      <c r="GB112" s="375"/>
      <c r="GC112" s="375"/>
      <c r="GD112" s="375"/>
      <c r="GE112" s="375"/>
      <c r="GF112" s="375"/>
      <c r="GG112" s="375"/>
      <c r="GH112" s="375"/>
      <c r="GI112" s="375"/>
      <c r="GJ112" s="375"/>
      <c r="GK112" s="375"/>
      <c r="GL112" s="375"/>
      <c r="GM112" s="375"/>
      <c r="GN112" s="375"/>
      <c r="GO112" s="375"/>
      <c r="GP112" s="375"/>
      <c r="GQ112" s="375"/>
      <c r="GR112" s="375"/>
    </row>
    <row r="113" spans="1:200" s="61" customFormat="1" ht="15.75" customHeight="1" x14ac:dyDescent="0.3">
      <c r="A113" s="280"/>
      <c r="B113" s="281"/>
      <c r="C113" s="282">
        <v>1</v>
      </c>
      <c r="D113" s="282"/>
      <c r="E113" s="4">
        <v>95</v>
      </c>
      <c r="F113" s="281"/>
      <c r="G113" s="282">
        <v>1</v>
      </c>
      <c r="H113" s="282">
        <v>1</v>
      </c>
      <c r="I113" s="4"/>
      <c r="J113" s="283"/>
      <c r="K113" s="283"/>
      <c r="L113" s="286"/>
      <c r="M113" s="4">
        <v>92</v>
      </c>
      <c r="N113" s="62" t="s">
        <v>210</v>
      </c>
      <c r="O113" s="62" t="s">
        <v>448</v>
      </c>
      <c r="P113" s="62" t="s">
        <v>448</v>
      </c>
      <c r="Q113" s="60">
        <f t="shared" si="164"/>
        <v>0</v>
      </c>
      <c r="R113" s="60">
        <f t="shared" si="165"/>
        <v>0</v>
      </c>
      <c r="S113" s="60">
        <f t="shared" si="166"/>
        <v>0</v>
      </c>
      <c r="T113" s="60">
        <v>1</v>
      </c>
      <c r="U113" s="60">
        <v>1</v>
      </c>
      <c r="V113" s="64">
        <f t="shared" si="209"/>
        <v>830.3</v>
      </c>
      <c r="W113" s="64"/>
      <c r="X113" s="65">
        <v>830.3</v>
      </c>
      <c r="Y113" s="64"/>
      <c r="Z113" s="73"/>
      <c r="AA113" s="64">
        <f t="shared" si="210"/>
        <v>830.3</v>
      </c>
      <c r="AB113" s="64"/>
      <c r="AC113" s="65">
        <v>830.3</v>
      </c>
      <c r="AD113" s="64"/>
      <c r="AE113" s="73"/>
      <c r="AF113" s="64">
        <f t="shared" si="211"/>
        <v>830.3</v>
      </c>
      <c r="AG113" s="64"/>
      <c r="AH113" s="65">
        <v>830.3</v>
      </c>
      <c r="AI113" s="64"/>
      <c r="AJ113" s="73"/>
      <c r="AK113" s="64">
        <f t="shared" si="212"/>
        <v>361</v>
      </c>
      <c r="AL113" s="64"/>
      <c r="AM113" s="65">
        <v>361</v>
      </c>
      <c r="AN113" s="64"/>
      <c r="AO113" s="73"/>
      <c r="AP113" s="64" t="s">
        <v>534</v>
      </c>
      <c r="AQ113" s="64">
        <f t="shared" si="213"/>
        <v>830.3</v>
      </c>
      <c r="AR113" s="64"/>
      <c r="AS113" s="65">
        <v>830.3</v>
      </c>
      <c r="AT113" s="64"/>
      <c r="AU113" s="64"/>
      <c r="AV113" s="64">
        <f t="shared" si="152"/>
        <v>0</v>
      </c>
      <c r="AW113" s="64">
        <f t="shared" si="153"/>
        <v>0</v>
      </c>
      <c r="AX113" s="64">
        <f t="shared" si="154"/>
        <v>0</v>
      </c>
      <c r="AY113" s="64">
        <f t="shared" si="155"/>
        <v>0</v>
      </c>
      <c r="AZ113" s="64" t="e">
        <f>#REF!-AU113</f>
        <v>#REF!</v>
      </c>
      <c r="BA113" s="64">
        <f t="shared" si="214"/>
        <v>830.3</v>
      </c>
      <c r="BB113" s="64"/>
      <c r="BC113" s="65">
        <v>830.3</v>
      </c>
      <c r="BD113" s="64"/>
      <c r="BE113" s="64"/>
      <c r="BF113" s="64">
        <f t="shared" si="215"/>
        <v>0</v>
      </c>
      <c r="BG113" s="64"/>
      <c r="BH113" s="65"/>
      <c r="BI113" s="64"/>
      <c r="BJ113" s="64"/>
      <c r="BK113" s="64">
        <f t="shared" si="216"/>
        <v>830.3</v>
      </c>
      <c r="BL113" s="64"/>
      <c r="BM113" s="65">
        <v>830.3</v>
      </c>
      <c r="BN113" s="64"/>
      <c r="BO113" s="64"/>
      <c r="BP113" s="64">
        <f t="shared" si="230"/>
        <v>830.3</v>
      </c>
      <c r="BQ113" s="64"/>
      <c r="BR113" s="65">
        <v>830.3</v>
      </c>
      <c r="BS113" s="64"/>
      <c r="BT113" s="64"/>
      <c r="BU113" s="64">
        <f t="shared" si="217"/>
        <v>3169.7</v>
      </c>
      <c r="BV113" s="64"/>
      <c r="BW113" s="64">
        <v>3169.7</v>
      </c>
      <c r="BX113" s="64"/>
      <c r="BY113" s="64"/>
      <c r="BZ113" s="60">
        <f t="shared" si="218"/>
        <v>4000</v>
      </c>
      <c r="CA113" s="64">
        <f t="shared" si="156"/>
        <v>4000</v>
      </c>
      <c r="CB113" s="64">
        <f t="shared" si="157"/>
        <v>0</v>
      </c>
      <c r="CC113" s="64">
        <f t="shared" si="158"/>
        <v>4000</v>
      </c>
      <c r="CD113" s="64">
        <f t="shared" si="159"/>
        <v>0</v>
      </c>
      <c r="CE113" s="64">
        <f t="shared" si="219"/>
        <v>0</v>
      </c>
      <c r="CF113" s="64">
        <f t="shared" si="160"/>
        <v>0</v>
      </c>
      <c r="CG113" s="64">
        <f t="shared" si="161"/>
        <v>0</v>
      </c>
      <c r="CH113" s="64">
        <f t="shared" si="162"/>
        <v>0</v>
      </c>
      <c r="CI113" s="64">
        <f t="shared" si="163"/>
        <v>0</v>
      </c>
      <c r="CJ113" s="64">
        <f t="shared" si="220"/>
        <v>0</v>
      </c>
      <c r="CK113" s="66"/>
      <c r="CL113" s="67"/>
      <c r="CM113" s="67"/>
      <c r="CN113" s="64">
        <f t="shared" si="221"/>
        <v>0</v>
      </c>
      <c r="CO113" s="64"/>
      <c r="CP113" s="65"/>
      <c r="CQ113" s="64"/>
      <c r="CR113" s="64"/>
      <c r="CS113" s="64">
        <f t="shared" si="222"/>
        <v>0</v>
      </c>
      <c r="CT113" s="64"/>
      <c r="CU113" s="65"/>
      <c r="CV113" s="64"/>
      <c r="CW113" s="64"/>
      <c r="CX113" s="64">
        <f t="shared" si="223"/>
        <v>0</v>
      </c>
      <c r="CY113" s="64">
        <f t="shared" si="224"/>
        <v>0</v>
      </c>
      <c r="CZ113" s="64">
        <f t="shared" si="224"/>
        <v>0</v>
      </c>
      <c r="DA113" s="64">
        <f t="shared" si="224"/>
        <v>0</v>
      </c>
      <c r="DB113" s="64">
        <f t="shared" si="224"/>
        <v>0</v>
      </c>
      <c r="DC113" s="64"/>
      <c r="DD113" s="64"/>
      <c r="DE113" s="64"/>
      <c r="DF113" s="64">
        <f t="shared" si="225"/>
        <v>0</v>
      </c>
      <c r="DH113" s="64">
        <f t="shared" si="226"/>
        <v>830.3</v>
      </c>
      <c r="DI113" s="64">
        <f t="shared" si="227"/>
        <v>830.3</v>
      </c>
      <c r="DK113" s="64"/>
      <c r="DL113" s="64"/>
      <c r="DN113" s="64"/>
      <c r="DQ113" s="64">
        <f t="shared" si="228"/>
        <v>830.3</v>
      </c>
      <c r="DR113" s="64"/>
      <c r="DS113" s="65">
        <v>830.3</v>
      </c>
      <c r="DT113" s="64"/>
      <c r="DU113" s="64"/>
      <c r="DV113" s="64">
        <f t="shared" si="229"/>
        <v>0</v>
      </c>
      <c r="DW113" s="64"/>
      <c r="DX113" s="64"/>
      <c r="DY113" s="64"/>
      <c r="DZ113" s="64"/>
      <c r="EA113" s="375"/>
      <c r="EB113" s="375"/>
      <c r="EC113" s="375"/>
      <c r="ED113" s="375"/>
      <c r="EE113" s="375"/>
      <c r="EF113" s="375"/>
      <c r="EG113" s="375"/>
      <c r="EH113" s="375"/>
      <c r="EI113" s="375"/>
      <c r="EJ113" s="375"/>
      <c r="EK113" s="375"/>
      <c r="EL113" s="375"/>
      <c r="EM113" s="375"/>
      <c r="EN113" s="375"/>
      <c r="EO113" s="375"/>
      <c r="EP113" s="375"/>
      <c r="EQ113" s="375"/>
      <c r="ER113" s="375"/>
      <c r="ES113" s="375"/>
      <c r="ET113" s="375"/>
      <c r="EU113" s="375"/>
      <c r="EV113" s="375"/>
      <c r="EW113" s="375"/>
      <c r="EX113" s="375"/>
      <c r="EY113" s="375"/>
      <c r="EZ113" s="375"/>
      <c r="FA113" s="375"/>
      <c r="FB113" s="375"/>
      <c r="FC113" s="375"/>
      <c r="FD113" s="375"/>
      <c r="FE113" s="375"/>
      <c r="FF113" s="375"/>
      <c r="FG113" s="375"/>
      <c r="FH113" s="375"/>
      <c r="FI113" s="375"/>
      <c r="FJ113" s="375"/>
      <c r="FK113" s="375"/>
      <c r="FL113" s="375"/>
      <c r="FM113" s="375"/>
      <c r="FN113" s="375"/>
      <c r="FO113" s="375"/>
      <c r="FP113" s="375"/>
      <c r="FQ113" s="375"/>
      <c r="FR113" s="375"/>
      <c r="FS113" s="375"/>
      <c r="FT113" s="375"/>
      <c r="FU113" s="375"/>
      <c r="FV113" s="375"/>
      <c r="FW113" s="375"/>
      <c r="FX113" s="375"/>
      <c r="FY113" s="375"/>
      <c r="FZ113" s="375"/>
      <c r="GA113" s="375"/>
      <c r="GB113" s="375"/>
      <c r="GC113" s="375"/>
      <c r="GD113" s="375"/>
      <c r="GE113" s="375"/>
      <c r="GF113" s="375"/>
      <c r="GG113" s="375"/>
      <c r="GH113" s="375"/>
      <c r="GI113" s="375"/>
      <c r="GJ113" s="375"/>
      <c r="GK113" s="375"/>
      <c r="GL113" s="375"/>
      <c r="GM113" s="375"/>
      <c r="GN113" s="375"/>
      <c r="GO113" s="375"/>
      <c r="GP113" s="375"/>
      <c r="GQ113" s="375"/>
      <c r="GR113" s="375"/>
    </row>
    <row r="114" spans="1:200" s="48" customFormat="1" ht="23.25" customHeight="1" x14ac:dyDescent="0.3">
      <c r="A114" s="276"/>
      <c r="B114" s="277"/>
      <c r="C114" s="278"/>
      <c r="D114" s="278"/>
      <c r="E114" s="279"/>
      <c r="F114" s="277"/>
      <c r="G114" s="278"/>
      <c r="H114" s="278"/>
      <c r="I114" s="476"/>
      <c r="J114" s="477"/>
      <c r="K114" s="477"/>
      <c r="L114" s="477"/>
      <c r="M114" s="279"/>
      <c r="N114" s="42" t="s">
        <v>18</v>
      </c>
      <c r="O114" s="42"/>
      <c r="P114" s="42"/>
      <c r="Q114" s="43">
        <f t="shared" si="164"/>
        <v>0</v>
      </c>
      <c r="R114" s="43">
        <f t="shared" si="165"/>
        <v>714.86911000000146</v>
      </c>
      <c r="S114" s="43">
        <f t="shared" si="166"/>
        <v>5000.0000000000018</v>
      </c>
      <c r="T114" s="43">
        <f>T115+T116+T117+T118+T119+T120+T121+T122+T123+T124+T125+T126+T127</f>
        <v>12</v>
      </c>
      <c r="U114" s="43">
        <f>U115+U116+U117+U118+U119+U120+U121+U122+U123+U124+U125+U126+U127</f>
        <v>21</v>
      </c>
      <c r="V114" s="43">
        <f t="shared" ref="V114:Z114" si="231">SUM(V115:V127)-V116</f>
        <v>28952.673000000003</v>
      </c>
      <c r="W114" s="43">
        <f t="shared" si="231"/>
        <v>0</v>
      </c>
      <c r="X114" s="43">
        <f t="shared" si="231"/>
        <v>11687.700000000003</v>
      </c>
      <c r="Y114" s="43">
        <f t="shared" si="231"/>
        <v>17264.973000000002</v>
      </c>
      <c r="Z114" s="43">
        <f t="shared" si="231"/>
        <v>0</v>
      </c>
      <c r="AA114" s="43">
        <f t="shared" ref="AA114:AE114" si="232">SUM(AA115:AA127)-AA116</f>
        <v>28319.676000000003</v>
      </c>
      <c r="AB114" s="43">
        <f t="shared" si="232"/>
        <v>0</v>
      </c>
      <c r="AC114" s="43">
        <f t="shared" si="232"/>
        <v>11688.600000000002</v>
      </c>
      <c r="AD114" s="43">
        <f t="shared" si="232"/>
        <v>16631.076000000001</v>
      </c>
      <c r="AE114" s="43">
        <f t="shared" si="232"/>
        <v>0</v>
      </c>
      <c r="AF114" s="43">
        <f t="shared" ref="AF114:AJ114" si="233">SUM(AF115:AF127)-AF116</f>
        <v>28319.676000000003</v>
      </c>
      <c r="AG114" s="43">
        <f t="shared" si="233"/>
        <v>0</v>
      </c>
      <c r="AH114" s="43">
        <f t="shared" si="233"/>
        <v>11688.600000000002</v>
      </c>
      <c r="AI114" s="43">
        <f t="shared" si="233"/>
        <v>16631.076000000001</v>
      </c>
      <c r="AJ114" s="43">
        <f t="shared" si="233"/>
        <v>0</v>
      </c>
      <c r="AK114" s="45">
        <f t="shared" ref="AK114:AO114" si="234">SUM(AK115:AK127)-AK116</f>
        <v>21713.076000000001</v>
      </c>
      <c r="AL114" s="43">
        <f t="shared" si="234"/>
        <v>0</v>
      </c>
      <c r="AM114" s="43">
        <f t="shared" si="234"/>
        <v>5082</v>
      </c>
      <c r="AN114" s="43">
        <f t="shared" si="234"/>
        <v>16631.076000000001</v>
      </c>
      <c r="AO114" s="43">
        <f t="shared" si="234"/>
        <v>0</v>
      </c>
      <c r="AP114" s="44"/>
      <c r="AQ114" s="43">
        <f>SUM(AQ115:AQ127)-AQ116</f>
        <v>28952.673000000003</v>
      </c>
      <c r="AR114" s="43">
        <f>SUM(AR115:AR127)-AR116</f>
        <v>0</v>
      </c>
      <c r="AS114" s="43">
        <f>SUM(AS115:AS127)-AS116</f>
        <v>11687.700000000003</v>
      </c>
      <c r="AT114" s="43">
        <f>SUM(AT115:AT127)-AT116</f>
        <v>17264.973000000002</v>
      </c>
      <c r="AU114" s="43">
        <f>SUM(AU115:AU127)-AU116</f>
        <v>0</v>
      </c>
      <c r="AV114" s="43">
        <f t="shared" si="152"/>
        <v>0</v>
      </c>
      <c r="AW114" s="43">
        <f t="shared" si="153"/>
        <v>0</v>
      </c>
      <c r="AX114" s="43">
        <f t="shared" si="154"/>
        <v>0</v>
      </c>
      <c r="AY114" s="43">
        <f t="shared" si="155"/>
        <v>0</v>
      </c>
      <c r="AZ114" s="43" t="e">
        <f t="shared" ref="AZ114:BE114" si="235">SUM(AZ115:AZ127)-AZ116</f>
        <v>#REF!</v>
      </c>
      <c r="BA114" s="43">
        <f t="shared" si="235"/>
        <v>28952.673000000003</v>
      </c>
      <c r="BB114" s="43">
        <f t="shared" si="235"/>
        <v>0</v>
      </c>
      <c r="BC114" s="43">
        <f t="shared" si="235"/>
        <v>11687.700000000003</v>
      </c>
      <c r="BD114" s="43">
        <f t="shared" si="235"/>
        <v>17264.973000000002</v>
      </c>
      <c r="BE114" s="43">
        <f t="shared" si="235"/>
        <v>0</v>
      </c>
      <c r="BF114" s="43">
        <f t="shared" ref="BF114:CJ114" si="236">SUM(BF115:BF127)-BF116</f>
        <v>0</v>
      </c>
      <c r="BG114" s="43">
        <f t="shared" si="236"/>
        <v>0</v>
      </c>
      <c r="BH114" s="43">
        <f t="shared" si="236"/>
        <v>0</v>
      </c>
      <c r="BI114" s="43">
        <f t="shared" si="236"/>
        <v>0</v>
      </c>
      <c r="BJ114" s="43">
        <f t="shared" si="236"/>
        <v>0</v>
      </c>
      <c r="BK114" s="43">
        <f t="shared" si="236"/>
        <v>28952.673000000003</v>
      </c>
      <c r="BL114" s="43">
        <f t="shared" si="236"/>
        <v>0</v>
      </c>
      <c r="BM114" s="43">
        <f t="shared" si="236"/>
        <v>11687.700000000003</v>
      </c>
      <c r="BN114" s="43">
        <f t="shared" si="236"/>
        <v>17264.973000000002</v>
      </c>
      <c r="BO114" s="43">
        <f t="shared" si="236"/>
        <v>0</v>
      </c>
      <c r="BP114" s="43">
        <f t="shared" si="236"/>
        <v>23237.803889999999</v>
      </c>
      <c r="BQ114" s="43">
        <f t="shared" si="236"/>
        <v>0</v>
      </c>
      <c r="BR114" s="43">
        <f t="shared" si="236"/>
        <v>10972.830890000001</v>
      </c>
      <c r="BS114" s="43">
        <f t="shared" si="236"/>
        <v>12264.973</v>
      </c>
      <c r="BT114" s="43">
        <f t="shared" si="236"/>
        <v>0</v>
      </c>
      <c r="BU114" s="45">
        <f t="shared" si="236"/>
        <v>10228.857170000001</v>
      </c>
      <c r="BV114" s="304">
        <f t="shared" si="236"/>
        <v>0</v>
      </c>
      <c r="BW114" s="304">
        <f t="shared" si="236"/>
        <v>6139.7885200000001</v>
      </c>
      <c r="BX114" s="304">
        <f t="shared" si="236"/>
        <v>4089.0686499999997</v>
      </c>
      <c r="BY114" s="43">
        <f t="shared" si="236"/>
        <v>0</v>
      </c>
      <c r="BZ114" s="43">
        <f t="shared" si="236"/>
        <v>33466.661059999999</v>
      </c>
      <c r="CA114" s="43">
        <f t="shared" si="156"/>
        <v>33466.661059999999</v>
      </c>
      <c r="CB114" s="43">
        <f t="shared" si="157"/>
        <v>0</v>
      </c>
      <c r="CC114" s="43">
        <f t="shared" si="158"/>
        <v>17112.619409999999</v>
      </c>
      <c r="CD114" s="43">
        <f t="shared" si="159"/>
        <v>16354.041649999999</v>
      </c>
      <c r="CE114" s="43">
        <f t="shared" si="236"/>
        <v>0</v>
      </c>
      <c r="CF114" s="43">
        <f t="shared" si="160"/>
        <v>5714.8691100000033</v>
      </c>
      <c r="CG114" s="43">
        <f t="shared" si="161"/>
        <v>0</v>
      </c>
      <c r="CH114" s="43">
        <f t="shared" si="162"/>
        <v>714.86911000000146</v>
      </c>
      <c r="CI114" s="43">
        <f t="shared" si="163"/>
        <v>5000.0000000000018</v>
      </c>
      <c r="CJ114" s="43">
        <f t="shared" si="236"/>
        <v>0</v>
      </c>
      <c r="CK114" s="46">
        <f>CL114+CN114-BF114</f>
        <v>28952.673000000003</v>
      </c>
      <c r="CL114" s="47">
        <f t="shared" ref="CL114:DF114" si="237">SUM(CL115:CL127)-CL116</f>
        <v>28952.673000000003</v>
      </c>
      <c r="CM114" s="47">
        <f t="shared" si="237"/>
        <v>28952.673000000003</v>
      </c>
      <c r="CN114" s="43">
        <f t="shared" si="237"/>
        <v>0</v>
      </c>
      <c r="CO114" s="43">
        <f t="shared" si="237"/>
        <v>0</v>
      </c>
      <c r="CP114" s="43">
        <f t="shared" si="237"/>
        <v>0</v>
      </c>
      <c r="CQ114" s="43">
        <f t="shared" si="237"/>
        <v>0</v>
      </c>
      <c r="CR114" s="43">
        <f t="shared" si="237"/>
        <v>0</v>
      </c>
      <c r="CS114" s="43">
        <f t="shared" si="237"/>
        <v>0</v>
      </c>
      <c r="CT114" s="43">
        <f t="shared" si="237"/>
        <v>0</v>
      </c>
      <c r="CU114" s="43">
        <f t="shared" si="237"/>
        <v>0</v>
      </c>
      <c r="CV114" s="43">
        <f t="shared" si="237"/>
        <v>0</v>
      </c>
      <c r="CW114" s="43">
        <f t="shared" si="237"/>
        <v>0</v>
      </c>
      <c r="CX114" s="43">
        <f t="shared" si="237"/>
        <v>0</v>
      </c>
      <c r="CY114" s="43">
        <f t="shared" si="237"/>
        <v>0</v>
      </c>
      <c r="CZ114" s="43">
        <f t="shared" si="237"/>
        <v>0</v>
      </c>
      <c r="DA114" s="43">
        <f t="shared" si="237"/>
        <v>0</v>
      </c>
      <c r="DB114" s="43">
        <f t="shared" si="237"/>
        <v>0</v>
      </c>
      <c r="DC114" s="43">
        <f t="shared" si="237"/>
        <v>0</v>
      </c>
      <c r="DD114" s="43">
        <f t="shared" si="237"/>
        <v>0</v>
      </c>
      <c r="DE114" s="43">
        <f t="shared" si="237"/>
        <v>0</v>
      </c>
      <c r="DF114" s="43">
        <f t="shared" si="237"/>
        <v>5714.8691099999996</v>
      </c>
      <c r="DH114" s="43">
        <f>SUM(DH115:DH127)-DH116</f>
        <v>28952.673000000003</v>
      </c>
      <c r="DI114" s="43">
        <f>SUM(DI115:DI127)-DI116</f>
        <v>23237.803889999999</v>
      </c>
      <c r="DK114" s="43">
        <f>SUM(DK115:DK127)-DK116</f>
        <v>23237.803889999999</v>
      </c>
      <c r="DL114" s="43">
        <f>SUM(DL115:DL127)-DL116</f>
        <v>5714.8691099999996</v>
      </c>
      <c r="DN114" s="43">
        <f>SUM(DN115:DN127)-DN116</f>
        <v>5714.8691100000051</v>
      </c>
      <c r="DO114" s="49">
        <f>DF114-DN114</f>
        <v>0</v>
      </c>
      <c r="DP114" s="49"/>
      <c r="DQ114" s="43">
        <f>SUM(DQ115:DQ127)-DQ116</f>
        <v>18242.595890000001</v>
      </c>
      <c r="DR114" s="43">
        <f t="shared" ref="DR114:DU114" si="238">SUM(DR115:DR127)-DR116</f>
        <v>0</v>
      </c>
      <c r="DS114" s="43">
        <f t="shared" si="238"/>
        <v>10972.830890000001</v>
      </c>
      <c r="DT114" s="43">
        <f t="shared" si="238"/>
        <v>7269.7650000000003</v>
      </c>
      <c r="DU114" s="43">
        <f t="shared" si="238"/>
        <v>0</v>
      </c>
      <c r="DV114" s="43">
        <f>SUM(DV115:DV127)-DV116</f>
        <v>5068.5901199999998</v>
      </c>
      <c r="DW114" s="43">
        <f t="shared" ref="DW114:DZ114" si="239">SUM(DW115:DW127)-DW116</f>
        <v>0</v>
      </c>
      <c r="DX114" s="43">
        <f t="shared" si="239"/>
        <v>2645.30294</v>
      </c>
      <c r="DY114" s="43">
        <f t="shared" si="239"/>
        <v>2423.2871799999998</v>
      </c>
      <c r="DZ114" s="43">
        <f t="shared" si="239"/>
        <v>0</v>
      </c>
      <c r="EA114" s="372"/>
      <c r="EB114" s="372"/>
      <c r="EC114" s="372"/>
      <c r="ED114" s="372"/>
      <c r="EE114" s="372"/>
      <c r="EF114" s="372"/>
      <c r="EG114" s="372"/>
      <c r="EH114" s="372"/>
      <c r="EI114" s="372"/>
      <c r="EJ114" s="372"/>
      <c r="EK114" s="372"/>
      <c r="EL114" s="372"/>
      <c r="EM114" s="372"/>
      <c r="EN114" s="372"/>
      <c r="EO114" s="372"/>
      <c r="EP114" s="372"/>
      <c r="EQ114" s="372"/>
      <c r="ER114" s="372"/>
      <c r="ES114" s="372"/>
      <c r="ET114" s="372"/>
      <c r="EU114" s="372"/>
      <c r="EV114" s="372"/>
      <c r="EW114" s="372"/>
      <c r="EX114" s="372"/>
      <c r="EY114" s="372"/>
      <c r="EZ114" s="372"/>
      <c r="FA114" s="372"/>
      <c r="FB114" s="372"/>
      <c r="FC114" s="372"/>
      <c r="FD114" s="372"/>
      <c r="FE114" s="372"/>
      <c r="FF114" s="372"/>
      <c r="FG114" s="372"/>
      <c r="FH114" s="372"/>
      <c r="FI114" s="372"/>
      <c r="FJ114" s="372"/>
      <c r="FK114" s="372"/>
      <c r="FL114" s="372"/>
      <c r="FM114" s="372"/>
      <c r="FN114" s="372"/>
      <c r="FO114" s="372"/>
      <c r="FP114" s="372"/>
      <c r="FQ114" s="372"/>
      <c r="FR114" s="372"/>
      <c r="FS114" s="372"/>
      <c r="FT114" s="372"/>
      <c r="FU114" s="372"/>
      <c r="FV114" s="372"/>
      <c r="FW114" s="372"/>
      <c r="FX114" s="372"/>
      <c r="FY114" s="372"/>
      <c r="FZ114" s="372"/>
      <c r="GA114" s="372"/>
      <c r="GB114" s="372"/>
      <c r="GC114" s="372"/>
      <c r="GD114" s="372"/>
      <c r="GE114" s="372"/>
      <c r="GF114" s="372"/>
      <c r="GG114" s="372"/>
      <c r="GH114" s="372"/>
      <c r="GI114" s="372"/>
      <c r="GJ114" s="372"/>
      <c r="GK114" s="372"/>
      <c r="GL114" s="372"/>
      <c r="GM114" s="372"/>
      <c r="GN114" s="372"/>
      <c r="GO114" s="372"/>
      <c r="GP114" s="372"/>
      <c r="GQ114" s="372"/>
      <c r="GR114" s="372"/>
    </row>
    <row r="115" spans="1:200" s="61" customFormat="1" ht="15.75" customHeight="1" x14ac:dyDescent="0.3">
      <c r="A115" s="280"/>
      <c r="B115" s="281">
        <v>1</v>
      </c>
      <c r="C115" s="282"/>
      <c r="D115" s="282"/>
      <c r="E115" s="4">
        <v>96</v>
      </c>
      <c r="F115" s="281">
        <v>1</v>
      </c>
      <c r="G115" s="282"/>
      <c r="H115" s="282">
        <v>1</v>
      </c>
      <c r="I115" s="478"/>
      <c r="J115" s="479"/>
      <c r="K115" s="291"/>
      <c r="L115" s="286"/>
      <c r="M115" s="4">
        <v>93</v>
      </c>
      <c r="N115" s="68" t="s">
        <v>222</v>
      </c>
      <c r="O115" s="69" t="s">
        <v>448</v>
      </c>
      <c r="P115" s="69" t="s">
        <v>450</v>
      </c>
      <c r="Q115" s="70">
        <f t="shared" si="164"/>
        <v>0</v>
      </c>
      <c r="R115" s="70">
        <f t="shared" si="165"/>
        <v>0</v>
      </c>
      <c r="S115" s="70">
        <f t="shared" si="166"/>
        <v>0</v>
      </c>
      <c r="T115" s="64">
        <v>1</v>
      </c>
      <c r="U115" s="64">
        <v>1</v>
      </c>
      <c r="V115" s="64">
        <f t="shared" ref="V115:V127" si="240">W115+X115+Y115+Z115</f>
        <v>1327.1</v>
      </c>
      <c r="W115" s="64"/>
      <c r="X115" s="65">
        <v>1327.1</v>
      </c>
      <c r="Y115" s="64"/>
      <c r="Z115" s="60"/>
      <c r="AA115" s="64">
        <f t="shared" ref="AA115:AA127" si="241">AB115+AC115+AD115+AE115</f>
        <v>1327.1</v>
      </c>
      <c r="AB115" s="64"/>
      <c r="AC115" s="65">
        <v>1327.1</v>
      </c>
      <c r="AD115" s="64"/>
      <c r="AE115" s="60"/>
      <c r="AF115" s="64">
        <f t="shared" ref="AF115:AF127" si="242">AG115+AH115+AI115+AJ115</f>
        <v>1327.1</v>
      </c>
      <c r="AG115" s="64"/>
      <c r="AH115" s="65">
        <v>1327.1</v>
      </c>
      <c r="AI115" s="64"/>
      <c r="AJ115" s="60"/>
      <c r="AK115" s="64">
        <f t="shared" ref="AK115:AK127" si="243">AL115+AM115+AN115+AO115</f>
        <v>577</v>
      </c>
      <c r="AL115" s="64"/>
      <c r="AM115" s="65">
        <v>577</v>
      </c>
      <c r="AN115" s="64"/>
      <c r="AO115" s="64"/>
      <c r="AP115" s="64" t="s">
        <v>386</v>
      </c>
      <c r="AQ115" s="64">
        <f t="shared" ref="AQ115:AQ127" si="244">AR115+AS115+AT115+AU115</f>
        <v>1327.1</v>
      </c>
      <c r="AR115" s="64"/>
      <c r="AS115" s="65">
        <f>577+750.1</f>
        <v>1327.1</v>
      </c>
      <c r="AT115" s="64"/>
      <c r="AU115" s="64"/>
      <c r="AV115" s="64">
        <f t="shared" si="152"/>
        <v>0</v>
      </c>
      <c r="AW115" s="64">
        <f t="shared" si="153"/>
        <v>0</v>
      </c>
      <c r="AX115" s="64">
        <f t="shared" si="154"/>
        <v>0</v>
      </c>
      <c r="AY115" s="64">
        <f t="shared" si="155"/>
        <v>0</v>
      </c>
      <c r="AZ115" s="64" t="e">
        <f>#REF!-AU115</f>
        <v>#REF!</v>
      </c>
      <c r="BA115" s="64">
        <f t="shared" ref="BA115:BA127" si="245">BB115+BC115+BD115+BE115</f>
        <v>1327.1</v>
      </c>
      <c r="BB115" s="64"/>
      <c r="BC115" s="65">
        <f>577+750.1</f>
        <v>1327.1</v>
      </c>
      <c r="BD115" s="64"/>
      <c r="BE115" s="64"/>
      <c r="BF115" s="64">
        <f t="shared" ref="BF115:BF127" si="246">BG115+BH115+BI115+BJ115</f>
        <v>0</v>
      </c>
      <c r="BG115" s="64"/>
      <c r="BH115" s="65"/>
      <c r="BI115" s="64"/>
      <c r="BJ115" s="64"/>
      <c r="BK115" s="64">
        <f t="shared" ref="BK115:BK127" si="247">BL115+BM115+BN115+BO115</f>
        <v>1327.1</v>
      </c>
      <c r="BL115" s="64"/>
      <c r="BM115" s="65">
        <f>577+750.1</f>
        <v>1327.1</v>
      </c>
      <c r="BN115" s="64"/>
      <c r="BO115" s="64"/>
      <c r="BP115" s="64">
        <f t="shared" ref="BP115:BP127" si="248">BQ115+BR115+BS115+BT115</f>
        <v>1327.1</v>
      </c>
      <c r="BQ115" s="64"/>
      <c r="BR115" s="74">
        <f>718+609.1</f>
        <v>1327.1</v>
      </c>
      <c r="BS115" s="64"/>
      <c r="BT115" s="64"/>
      <c r="BU115" s="64">
        <f t="shared" ref="BU115:BU127" si="249">BV115+BW115+BX115+BY115</f>
        <v>486.45650999999998</v>
      </c>
      <c r="BV115" s="64"/>
      <c r="BW115" s="64">
        <f>265.36952+221.08699</f>
        <v>486.45650999999998</v>
      </c>
      <c r="BX115" s="64"/>
      <c r="BY115" s="64"/>
      <c r="BZ115" s="60">
        <f t="shared" ref="BZ115:BZ127" si="250">CA115</f>
        <v>1813.5565099999999</v>
      </c>
      <c r="CA115" s="64">
        <f t="shared" si="156"/>
        <v>1813.5565099999999</v>
      </c>
      <c r="CB115" s="64">
        <f t="shared" si="157"/>
        <v>0</v>
      </c>
      <c r="CC115" s="64">
        <f t="shared" si="158"/>
        <v>1813.5565099999999</v>
      </c>
      <c r="CD115" s="64">
        <f t="shared" si="159"/>
        <v>0</v>
      </c>
      <c r="CE115" s="64">
        <f t="shared" ref="CE115:CE127" si="251">BT115+BY115</f>
        <v>0</v>
      </c>
      <c r="CF115" s="64">
        <f t="shared" si="160"/>
        <v>0</v>
      </c>
      <c r="CG115" s="64">
        <f t="shared" si="161"/>
        <v>0</v>
      </c>
      <c r="CH115" s="64">
        <f t="shared" si="162"/>
        <v>0</v>
      </c>
      <c r="CI115" s="64">
        <f t="shared" si="163"/>
        <v>0</v>
      </c>
      <c r="CJ115" s="64">
        <f t="shared" ref="CJ115:CJ127" si="252">BO115-BT115</f>
        <v>0</v>
      </c>
      <c r="CK115" s="66"/>
      <c r="CL115" s="67">
        <f>BA115</f>
        <v>1327.1</v>
      </c>
      <c r="CM115" s="67">
        <f>CL115</f>
        <v>1327.1</v>
      </c>
      <c r="CN115" s="64">
        <f t="shared" ref="CN115:CN127" si="253">CO115+CP115+CQ115+CR115</f>
        <v>0</v>
      </c>
      <c r="CO115" s="64"/>
      <c r="CP115" s="65"/>
      <c r="CQ115" s="64"/>
      <c r="CR115" s="64"/>
      <c r="CS115" s="64">
        <f t="shared" ref="CS115:CS127" si="254">CT115+CU115+CV115+CW115</f>
        <v>0</v>
      </c>
      <c r="CT115" s="64"/>
      <c r="CU115" s="65"/>
      <c r="CV115" s="64"/>
      <c r="CW115" s="64"/>
      <c r="CX115" s="64">
        <f t="shared" ref="CX115:CX127" si="255">CY115+CZ115+DA115+DB115</f>
        <v>0</v>
      </c>
      <c r="CY115" s="64">
        <f t="shared" ref="CY115:DB127" si="256">CO115-CT115</f>
        <v>0</v>
      </c>
      <c r="CZ115" s="64">
        <f t="shared" si="256"/>
        <v>0</v>
      </c>
      <c r="DA115" s="64">
        <f t="shared" si="256"/>
        <v>0</v>
      </c>
      <c r="DB115" s="64">
        <f t="shared" si="256"/>
        <v>0</v>
      </c>
      <c r="DC115" s="64"/>
      <c r="DD115" s="64"/>
      <c r="DE115" s="64"/>
      <c r="DF115" s="64">
        <f t="shared" ref="DF115:DF127" si="257">CF115+CX115+DE115</f>
        <v>0</v>
      </c>
      <c r="DH115" s="64">
        <f t="shared" ref="DH115:DH127" si="258">BK115+CN115+DC115</f>
        <v>1327.1</v>
      </c>
      <c r="DI115" s="64">
        <f t="shared" ref="DI115:DI127" si="259">BP115+CS115+DD115</f>
        <v>1327.1</v>
      </c>
      <c r="DK115" s="64">
        <f>DI115</f>
        <v>1327.1</v>
      </c>
      <c r="DL115" s="64">
        <f>DF115</f>
        <v>0</v>
      </c>
      <c r="DN115" s="64">
        <f>CM115-DK115</f>
        <v>0</v>
      </c>
      <c r="DQ115" s="64">
        <f t="shared" ref="DQ115:DQ127" si="260">DR115+DS115+DT115+DU115</f>
        <v>1327.1</v>
      </c>
      <c r="DR115" s="64"/>
      <c r="DS115" s="74">
        <f>718+609.1</f>
        <v>1327.1</v>
      </c>
      <c r="DT115" s="64"/>
      <c r="DU115" s="64"/>
      <c r="DV115" s="64">
        <f t="shared" ref="DV115:DV127" si="261">DW115+DX115+DY115+DZ115</f>
        <v>265.36952000000002</v>
      </c>
      <c r="DW115" s="64"/>
      <c r="DX115" s="64">
        <v>265.36952000000002</v>
      </c>
      <c r="DY115" s="64"/>
      <c r="DZ115" s="64"/>
      <c r="EA115" s="375"/>
      <c r="EB115" s="375"/>
      <c r="EC115" s="375"/>
      <c r="ED115" s="375"/>
      <c r="EE115" s="375"/>
      <c r="EF115" s="375"/>
      <c r="EG115" s="375"/>
      <c r="EH115" s="375"/>
      <c r="EI115" s="375"/>
      <c r="EJ115" s="375"/>
      <c r="EK115" s="375"/>
      <c r="EL115" s="375"/>
      <c r="EM115" s="375"/>
      <c r="EN115" s="375"/>
      <c r="EO115" s="375"/>
      <c r="EP115" s="375"/>
      <c r="EQ115" s="375"/>
      <c r="ER115" s="375"/>
      <c r="ES115" s="375"/>
      <c r="ET115" s="375"/>
      <c r="EU115" s="375"/>
      <c r="EV115" s="375"/>
      <c r="EW115" s="375"/>
      <c r="EX115" s="375"/>
      <c r="EY115" s="375"/>
      <c r="EZ115" s="375"/>
      <c r="FA115" s="375"/>
      <c r="FB115" s="375"/>
      <c r="FC115" s="375"/>
      <c r="FD115" s="375"/>
      <c r="FE115" s="375"/>
      <c r="FF115" s="375"/>
      <c r="FG115" s="375"/>
      <c r="FH115" s="375"/>
      <c r="FI115" s="375"/>
      <c r="FJ115" s="375"/>
      <c r="FK115" s="375"/>
      <c r="FL115" s="375"/>
      <c r="FM115" s="375"/>
      <c r="FN115" s="375"/>
      <c r="FO115" s="375"/>
      <c r="FP115" s="375"/>
      <c r="FQ115" s="375"/>
      <c r="FR115" s="375"/>
      <c r="FS115" s="375"/>
      <c r="FT115" s="375"/>
      <c r="FU115" s="375"/>
      <c r="FV115" s="375"/>
      <c r="FW115" s="375"/>
      <c r="FX115" s="375"/>
      <c r="FY115" s="375"/>
      <c r="FZ115" s="375"/>
      <c r="GA115" s="375"/>
      <c r="GB115" s="375"/>
      <c r="GC115" s="375"/>
      <c r="GD115" s="375"/>
      <c r="GE115" s="375"/>
      <c r="GF115" s="375"/>
      <c r="GG115" s="375"/>
      <c r="GH115" s="375"/>
      <c r="GI115" s="375"/>
      <c r="GJ115" s="375"/>
      <c r="GK115" s="375"/>
      <c r="GL115" s="375"/>
      <c r="GM115" s="375"/>
      <c r="GN115" s="375"/>
      <c r="GO115" s="375"/>
      <c r="GP115" s="375"/>
      <c r="GQ115" s="375"/>
      <c r="GR115" s="375"/>
    </row>
    <row r="116" spans="1:200" s="61" customFormat="1" ht="0.75" customHeight="1" x14ac:dyDescent="0.3">
      <c r="A116" s="280"/>
      <c r="B116" s="281"/>
      <c r="C116" s="282"/>
      <c r="D116" s="282"/>
      <c r="E116" s="4"/>
      <c r="F116" s="281"/>
      <c r="G116" s="282"/>
      <c r="H116" s="282"/>
      <c r="I116" s="478"/>
      <c r="J116" s="479"/>
      <c r="K116" s="291"/>
      <c r="L116" s="286"/>
      <c r="M116" s="4"/>
      <c r="N116" s="371" t="s">
        <v>249</v>
      </c>
      <c r="O116" s="69"/>
      <c r="P116" s="69"/>
      <c r="Q116" s="70">
        <f t="shared" si="164"/>
        <v>0</v>
      </c>
      <c r="R116" s="70">
        <f t="shared" si="165"/>
        <v>0</v>
      </c>
      <c r="S116" s="70">
        <f t="shared" si="166"/>
        <v>0</v>
      </c>
      <c r="T116" s="69"/>
      <c r="U116" s="69"/>
      <c r="V116" s="64">
        <f t="shared" si="240"/>
        <v>0</v>
      </c>
      <c r="W116" s="64"/>
      <c r="X116" s="71"/>
      <c r="Y116" s="64"/>
      <c r="Z116" s="60"/>
      <c r="AA116" s="64">
        <f t="shared" si="241"/>
        <v>0</v>
      </c>
      <c r="AB116" s="64"/>
      <c r="AC116" s="71"/>
      <c r="AD116" s="64"/>
      <c r="AE116" s="60"/>
      <c r="AF116" s="64">
        <f t="shared" si="242"/>
        <v>0</v>
      </c>
      <c r="AG116" s="64"/>
      <c r="AH116" s="71"/>
      <c r="AI116" s="64"/>
      <c r="AJ116" s="60"/>
      <c r="AK116" s="64">
        <f t="shared" si="243"/>
        <v>0</v>
      </c>
      <c r="AL116" s="64"/>
      <c r="AM116" s="71"/>
      <c r="AN116" s="64"/>
      <c r="AO116" s="64"/>
      <c r="AP116" s="64"/>
      <c r="AQ116" s="64">
        <f t="shared" si="244"/>
        <v>0</v>
      </c>
      <c r="AR116" s="64"/>
      <c r="AS116" s="71"/>
      <c r="AT116" s="64"/>
      <c r="AU116" s="64"/>
      <c r="AV116" s="64">
        <f t="shared" si="152"/>
        <v>0</v>
      </c>
      <c r="AW116" s="64">
        <f t="shared" si="153"/>
        <v>0</v>
      </c>
      <c r="AX116" s="64">
        <f t="shared" si="154"/>
        <v>0</v>
      </c>
      <c r="AY116" s="64">
        <f t="shared" si="155"/>
        <v>0</v>
      </c>
      <c r="AZ116" s="64" t="e">
        <f>#REF!-AU116</f>
        <v>#REF!</v>
      </c>
      <c r="BA116" s="64">
        <f t="shared" si="245"/>
        <v>0</v>
      </c>
      <c r="BB116" s="64"/>
      <c r="BC116" s="71"/>
      <c r="BD116" s="64"/>
      <c r="BE116" s="64"/>
      <c r="BF116" s="64">
        <f t="shared" si="246"/>
        <v>0</v>
      </c>
      <c r="BG116" s="64"/>
      <c r="BH116" s="71"/>
      <c r="BI116" s="64"/>
      <c r="BJ116" s="64"/>
      <c r="BK116" s="64">
        <f t="shared" si="247"/>
        <v>0</v>
      </c>
      <c r="BL116" s="64"/>
      <c r="BM116" s="103"/>
      <c r="BN116" s="64"/>
      <c r="BO116" s="64"/>
      <c r="BP116" s="64">
        <f t="shared" si="248"/>
        <v>0</v>
      </c>
      <c r="BQ116" s="64"/>
      <c r="BR116" s="103"/>
      <c r="BS116" s="64"/>
      <c r="BT116" s="64"/>
      <c r="BU116" s="64">
        <f t="shared" si="249"/>
        <v>0</v>
      </c>
      <c r="BV116" s="64"/>
      <c r="BW116" s="64"/>
      <c r="BX116" s="64"/>
      <c r="BY116" s="64"/>
      <c r="BZ116" s="60">
        <f t="shared" si="250"/>
        <v>0</v>
      </c>
      <c r="CA116" s="64">
        <f t="shared" si="156"/>
        <v>0</v>
      </c>
      <c r="CB116" s="64">
        <f t="shared" si="157"/>
        <v>0</v>
      </c>
      <c r="CC116" s="64">
        <f t="shared" si="158"/>
        <v>0</v>
      </c>
      <c r="CD116" s="64">
        <f t="shared" si="159"/>
        <v>0</v>
      </c>
      <c r="CE116" s="64">
        <f t="shared" si="251"/>
        <v>0</v>
      </c>
      <c r="CF116" s="64">
        <f t="shared" si="160"/>
        <v>0</v>
      </c>
      <c r="CG116" s="64">
        <f t="shared" si="161"/>
        <v>0</v>
      </c>
      <c r="CH116" s="64">
        <f t="shared" si="162"/>
        <v>0</v>
      </c>
      <c r="CI116" s="64">
        <f t="shared" si="163"/>
        <v>0</v>
      </c>
      <c r="CJ116" s="64">
        <f t="shared" si="252"/>
        <v>0</v>
      </c>
      <c r="CK116" s="66"/>
      <c r="CL116" s="67"/>
      <c r="CM116" s="67"/>
      <c r="CN116" s="64">
        <f t="shared" si="253"/>
        <v>0</v>
      </c>
      <c r="CO116" s="64"/>
      <c r="CP116" s="71"/>
      <c r="CQ116" s="64"/>
      <c r="CR116" s="64"/>
      <c r="CS116" s="64">
        <f t="shared" si="254"/>
        <v>0</v>
      </c>
      <c r="CT116" s="64"/>
      <c r="CU116" s="71"/>
      <c r="CV116" s="64"/>
      <c r="CW116" s="64"/>
      <c r="CX116" s="64">
        <f t="shared" si="255"/>
        <v>0</v>
      </c>
      <c r="CY116" s="64">
        <f t="shared" si="256"/>
        <v>0</v>
      </c>
      <c r="CZ116" s="64">
        <f t="shared" si="256"/>
        <v>0</v>
      </c>
      <c r="DA116" s="64">
        <f t="shared" si="256"/>
        <v>0</v>
      </c>
      <c r="DB116" s="64">
        <f t="shared" si="256"/>
        <v>0</v>
      </c>
      <c r="DC116" s="64"/>
      <c r="DD116" s="64"/>
      <c r="DE116" s="64"/>
      <c r="DF116" s="64">
        <f t="shared" si="257"/>
        <v>0</v>
      </c>
      <c r="DH116" s="64">
        <f t="shared" si="258"/>
        <v>0</v>
      </c>
      <c r="DI116" s="64">
        <f t="shared" si="259"/>
        <v>0</v>
      </c>
      <c r="DK116" s="64">
        <f>DI116</f>
        <v>0</v>
      </c>
      <c r="DL116" s="64">
        <f>DF116</f>
        <v>0</v>
      </c>
      <c r="DN116" s="64"/>
      <c r="DQ116" s="64">
        <f t="shared" si="260"/>
        <v>0</v>
      </c>
      <c r="DR116" s="64"/>
      <c r="DS116" s="103"/>
      <c r="DT116" s="64"/>
      <c r="DU116" s="64"/>
      <c r="DV116" s="64">
        <f t="shared" si="261"/>
        <v>0</v>
      </c>
      <c r="DW116" s="64"/>
      <c r="DX116" s="64"/>
      <c r="DY116" s="64"/>
      <c r="DZ116" s="64"/>
      <c r="EA116" s="375"/>
      <c r="EB116" s="375"/>
      <c r="EC116" s="375"/>
      <c r="ED116" s="375"/>
      <c r="EE116" s="375"/>
      <c r="EF116" s="375"/>
      <c r="EG116" s="375"/>
      <c r="EH116" s="375"/>
      <c r="EI116" s="375"/>
      <c r="EJ116" s="375"/>
      <c r="EK116" s="375"/>
      <c r="EL116" s="375"/>
      <c r="EM116" s="375"/>
      <c r="EN116" s="375"/>
      <c r="EO116" s="375"/>
      <c r="EP116" s="375"/>
      <c r="EQ116" s="375"/>
      <c r="ER116" s="375"/>
      <c r="ES116" s="375"/>
      <c r="ET116" s="375"/>
      <c r="EU116" s="375"/>
      <c r="EV116" s="375"/>
      <c r="EW116" s="375"/>
      <c r="EX116" s="375"/>
      <c r="EY116" s="375"/>
      <c r="EZ116" s="375"/>
      <c r="FA116" s="375"/>
      <c r="FB116" s="375"/>
      <c r="FC116" s="375"/>
      <c r="FD116" s="375"/>
      <c r="FE116" s="375"/>
      <c r="FF116" s="375"/>
      <c r="FG116" s="375"/>
      <c r="FH116" s="375"/>
      <c r="FI116" s="375"/>
      <c r="FJ116" s="375"/>
      <c r="FK116" s="375"/>
      <c r="FL116" s="375"/>
      <c r="FM116" s="375"/>
      <c r="FN116" s="375"/>
      <c r="FO116" s="375"/>
      <c r="FP116" s="375"/>
      <c r="FQ116" s="375"/>
      <c r="FR116" s="375"/>
      <c r="FS116" s="375"/>
      <c r="FT116" s="375"/>
      <c r="FU116" s="375"/>
      <c r="FV116" s="375"/>
      <c r="FW116" s="375"/>
      <c r="FX116" s="375"/>
      <c r="FY116" s="375"/>
      <c r="FZ116" s="375"/>
      <c r="GA116" s="375"/>
      <c r="GB116" s="375"/>
      <c r="GC116" s="375"/>
      <c r="GD116" s="375"/>
      <c r="GE116" s="375"/>
      <c r="GF116" s="375"/>
      <c r="GG116" s="375"/>
      <c r="GH116" s="375"/>
      <c r="GI116" s="375"/>
      <c r="GJ116" s="375"/>
      <c r="GK116" s="375"/>
      <c r="GL116" s="375"/>
      <c r="GM116" s="375"/>
      <c r="GN116" s="375"/>
      <c r="GO116" s="375"/>
      <c r="GP116" s="375"/>
      <c r="GQ116" s="375"/>
      <c r="GR116" s="375"/>
    </row>
    <row r="117" spans="1:200" s="61" customFormat="1" ht="15.75" customHeight="1" x14ac:dyDescent="0.3">
      <c r="A117" s="280"/>
      <c r="B117" s="281"/>
      <c r="C117" s="282"/>
      <c r="D117" s="282">
        <v>1</v>
      </c>
      <c r="E117" s="4">
        <v>97</v>
      </c>
      <c r="F117" s="281"/>
      <c r="G117" s="282"/>
      <c r="H117" s="282">
        <v>1</v>
      </c>
      <c r="I117" s="474"/>
      <c r="J117" s="475"/>
      <c r="K117" s="475"/>
      <c r="L117" s="288"/>
      <c r="M117" s="4">
        <v>94</v>
      </c>
      <c r="N117" s="62" t="s">
        <v>221</v>
      </c>
      <c r="O117" s="62" t="s">
        <v>448</v>
      </c>
      <c r="P117" s="62" t="s">
        <v>448</v>
      </c>
      <c r="Q117" s="60">
        <f t="shared" si="164"/>
        <v>0</v>
      </c>
      <c r="R117" s="60">
        <f t="shared" si="165"/>
        <v>0</v>
      </c>
      <c r="S117" s="60">
        <f t="shared" si="166"/>
        <v>0</v>
      </c>
      <c r="T117" s="60">
        <v>1</v>
      </c>
      <c r="U117" s="60">
        <v>1</v>
      </c>
      <c r="V117" s="64">
        <f t="shared" si="240"/>
        <v>694.6</v>
      </c>
      <c r="W117" s="64"/>
      <c r="X117" s="65">
        <v>694.6</v>
      </c>
      <c r="Y117" s="64"/>
      <c r="Z117" s="73"/>
      <c r="AA117" s="64">
        <f t="shared" si="241"/>
        <v>694.6</v>
      </c>
      <c r="AB117" s="64"/>
      <c r="AC117" s="65">
        <v>694.6</v>
      </c>
      <c r="AD117" s="64"/>
      <c r="AE117" s="73"/>
      <c r="AF117" s="64">
        <f t="shared" si="242"/>
        <v>694.6</v>
      </c>
      <c r="AG117" s="64"/>
      <c r="AH117" s="65">
        <v>694.6</v>
      </c>
      <c r="AI117" s="64"/>
      <c r="AJ117" s="73"/>
      <c r="AK117" s="64">
        <f t="shared" si="243"/>
        <v>302</v>
      </c>
      <c r="AL117" s="64"/>
      <c r="AM117" s="65">
        <v>302</v>
      </c>
      <c r="AN117" s="64"/>
      <c r="AO117" s="73"/>
      <c r="AP117" s="64" t="s">
        <v>497</v>
      </c>
      <c r="AQ117" s="64">
        <f t="shared" si="244"/>
        <v>694.6</v>
      </c>
      <c r="AR117" s="64"/>
      <c r="AS117" s="65">
        <v>694.6</v>
      </c>
      <c r="AT117" s="64"/>
      <c r="AU117" s="73"/>
      <c r="AV117" s="64">
        <f t="shared" si="152"/>
        <v>0</v>
      </c>
      <c r="AW117" s="64">
        <f t="shared" si="153"/>
        <v>0</v>
      </c>
      <c r="AX117" s="64">
        <f t="shared" si="154"/>
        <v>0</v>
      </c>
      <c r="AY117" s="64">
        <f t="shared" si="155"/>
        <v>0</v>
      </c>
      <c r="AZ117" s="64" t="e">
        <f>#REF!-AU117</f>
        <v>#REF!</v>
      </c>
      <c r="BA117" s="64">
        <f t="shared" si="245"/>
        <v>694.6</v>
      </c>
      <c r="BB117" s="64"/>
      <c r="BC117" s="65">
        <v>694.6</v>
      </c>
      <c r="BD117" s="64"/>
      <c r="BE117" s="73"/>
      <c r="BF117" s="64">
        <f t="shared" si="246"/>
        <v>0</v>
      </c>
      <c r="BG117" s="64"/>
      <c r="BH117" s="65"/>
      <c r="BI117" s="64"/>
      <c r="BJ117" s="73"/>
      <c r="BK117" s="64">
        <f t="shared" si="247"/>
        <v>694.6</v>
      </c>
      <c r="BL117" s="64"/>
      <c r="BM117" s="65">
        <v>694.6</v>
      </c>
      <c r="BN117" s="64"/>
      <c r="BO117" s="74"/>
      <c r="BP117" s="64">
        <f t="shared" si="248"/>
        <v>694.6</v>
      </c>
      <c r="BQ117" s="64"/>
      <c r="BR117" s="74">
        <v>694.6</v>
      </c>
      <c r="BS117" s="64"/>
      <c r="BT117" s="74"/>
      <c r="BU117" s="64">
        <f t="shared" si="249"/>
        <v>641.9</v>
      </c>
      <c r="BV117" s="64"/>
      <c r="BW117" s="64">
        <v>641.9</v>
      </c>
      <c r="BX117" s="64"/>
      <c r="BY117" s="64"/>
      <c r="BZ117" s="60">
        <f t="shared" si="250"/>
        <v>1336.5</v>
      </c>
      <c r="CA117" s="64">
        <f t="shared" si="156"/>
        <v>1336.5</v>
      </c>
      <c r="CB117" s="64">
        <f t="shared" si="157"/>
        <v>0</v>
      </c>
      <c r="CC117" s="64">
        <f t="shared" si="158"/>
        <v>1336.5</v>
      </c>
      <c r="CD117" s="64">
        <f t="shared" si="159"/>
        <v>0</v>
      </c>
      <c r="CE117" s="64">
        <f t="shared" si="251"/>
        <v>0</v>
      </c>
      <c r="CF117" s="64">
        <f t="shared" si="160"/>
        <v>0</v>
      </c>
      <c r="CG117" s="64">
        <f t="shared" si="161"/>
        <v>0</v>
      </c>
      <c r="CH117" s="64">
        <f t="shared" si="162"/>
        <v>0</v>
      </c>
      <c r="CI117" s="64">
        <f t="shared" si="163"/>
        <v>0</v>
      </c>
      <c r="CJ117" s="64">
        <f t="shared" si="252"/>
        <v>0</v>
      </c>
      <c r="CK117" s="66"/>
      <c r="CL117" s="67"/>
      <c r="CM117" s="67"/>
      <c r="CN117" s="64">
        <f t="shared" si="253"/>
        <v>0</v>
      </c>
      <c r="CO117" s="64"/>
      <c r="CP117" s="65"/>
      <c r="CQ117" s="64"/>
      <c r="CR117" s="73"/>
      <c r="CS117" s="64">
        <f t="shared" si="254"/>
        <v>0</v>
      </c>
      <c r="CT117" s="64"/>
      <c r="CU117" s="65"/>
      <c r="CV117" s="64"/>
      <c r="CW117" s="73"/>
      <c r="CX117" s="64">
        <f t="shared" si="255"/>
        <v>0</v>
      </c>
      <c r="CY117" s="64">
        <f t="shared" si="256"/>
        <v>0</v>
      </c>
      <c r="CZ117" s="64">
        <f t="shared" si="256"/>
        <v>0</v>
      </c>
      <c r="DA117" s="64">
        <f t="shared" si="256"/>
        <v>0</v>
      </c>
      <c r="DB117" s="64">
        <f t="shared" si="256"/>
        <v>0</v>
      </c>
      <c r="DC117" s="64"/>
      <c r="DD117" s="64"/>
      <c r="DE117" s="64"/>
      <c r="DF117" s="64">
        <f t="shared" si="257"/>
        <v>0</v>
      </c>
      <c r="DH117" s="64">
        <f t="shared" si="258"/>
        <v>694.6</v>
      </c>
      <c r="DI117" s="64">
        <f t="shared" si="259"/>
        <v>694.6</v>
      </c>
      <c r="DK117" s="64"/>
      <c r="DL117" s="64"/>
      <c r="DN117" s="64"/>
      <c r="DQ117" s="64">
        <f t="shared" si="260"/>
        <v>694.6</v>
      </c>
      <c r="DR117" s="64"/>
      <c r="DS117" s="74">
        <v>694.6</v>
      </c>
      <c r="DT117" s="64"/>
      <c r="DU117" s="74"/>
      <c r="DV117" s="64">
        <f t="shared" si="261"/>
        <v>641.9</v>
      </c>
      <c r="DW117" s="64"/>
      <c r="DX117" s="64">
        <v>641.9</v>
      </c>
      <c r="DY117" s="64"/>
      <c r="DZ117" s="64"/>
      <c r="EA117" s="375"/>
      <c r="EB117" s="375"/>
      <c r="EC117" s="375"/>
      <c r="ED117" s="375"/>
      <c r="EE117" s="375"/>
      <c r="EF117" s="375"/>
      <c r="EG117" s="375"/>
      <c r="EH117" s="375"/>
      <c r="EI117" s="375"/>
      <c r="EJ117" s="375"/>
      <c r="EK117" s="375"/>
      <c r="EL117" s="375"/>
      <c r="EM117" s="375"/>
      <c r="EN117" s="375"/>
      <c r="EO117" s="375"/>
      <c r="EP117" s="375"/>
      <c r="EQ117" s="375"/>
      <c r="ER117" s="375"/>
      <c r="ES117" s="375"/>
      <c r="ET117" s="375"/>
      <c r="EU117" s="375"/>
      <c r="EV117" s="375"/>
      <c r="EW117" s="375"/>
      <c r="EX117" s="375"/>
      <c r="EY117" s="375"/>
      <c r="EZ117" s="375"/>
      <c r="FA117" s="375"/>
      <c r="FB117" s="375"/>
      <c r="FC117" s="375"/>
      <c r="FD117" s="375"/>
      <c r="FE117" s="375"/>
      <c r="FF117" s="375"/>
      <c r="FG117" s="375"/>
      <c r="FH117" s="375"/>
      <c r="FI117" s="375"/>
      <c r="FJ117" s="375"/>
      <c r="FK117" s="375"/>
      <c r="FL117" s="375"/>
      <c r="FM117" s="375"/>
      <c r="FN117" s="375"/>
      <c r="FO117" s="375"/>
      <c r="FP117" s="375"/>
      <c r="FQ117" s="375"/>
      <c r="FR117" s="375"/>
      <c r="FS117" s="375"/>
      <c r="FT117" s="375"/>
      <c r="FU117" s="375"/>
      <c r="FV117" s="375"/>
      <c r="FW117" s="375"/>
      <c r="FX117" s="375"/>
      <c r="FY117" s="375"/>
      <c r="FZ117" s="375"/>
      <c r="GA117" s="375"/>
      <c r="GB117" s="375"/>
      <c r="GC117" s="375"/>
      <c r="GD117" s="375"/>
      <c r="GE117" s="375"/>
      <c r="GF117" s="375"/>
      <c r="GG117" s="375"/>
      <c r="GH117" s="375"/>
      <c r="GI117" s="375"/>
      <c r="GJ117" s="375"/>
      <c r="GK117" s="375"/>
      <c r="GL117" s="375"/>
      <c r="GM117" s="375"/>
      <c r="GN117" s="375"/>
      <c r="GO117" s="375"/>
      <c r="GP117" s="375"/>
      <c r="GQ117" s="375"/>
      <c r="GR117" s="375"/>
    </row>
    <row r="118" spans="1:200" s="61" customFormat="1" ht="15.75" customHeight="1" x14ac:dyDescent="0.3">
      <c r="A118" s="280"/>
      <c r="B118" s="281"/>
      <c r="C118" s="282"/>
      <c r="D118" s="282">
        <v>1</v>
      </c>
      <c r="E118" s="4">
        <v>98</v>
      </c>
      <c r="F118" s="281"/>
      <c r="G118" s="282"/>
      <c r="H118" s="282"/>
      <c r="I118" s="478"/>
      <c r="J118" s="479"/>
      <c r="K118" s="291"/>
      <c r="L118" s="286"/>
      <c r="M118" s="4">
        <v>95</v>
      </c>
      <c r="N118" s="62" t="s">
        <v>220</v>
      </c>
      <c r="O118" s="62" t="s">
        <v>448</v>
      </c>
      <c r="P118" s="62" t="s">
        <v>448</v>
      </c>
      <c r="Q118" s="60">
        <f t="shared" si="164"/>
        <v>0</v>
      </c>
      <c r="R118" s="60">
        <f t="shared" si="165"/>
        <v>0</v>
      </c>
      <c r="S118" s="60">
        <f t="shared" si="166"/>
        <v>0</v>
      </c>
      <c r="T118" s="60">
        <v>1</v>
      </c>
      <c r="U118" s="60"/>
      <c r="V118" s="64">
        <f t="shared" si="240"/>
        <v>783.4</v>
      </c>
      <c r="W118" s="64"/>
      <c r="X118" s="65">
        <v>783.4</v>
      </c>
      <c r="Y118" s="64"/>
      <c r="Z118" s="73"/>
      <c r="AA118" s="64">
        <f t="shared" si="241"/>
        <v>784.3</v>
      </c>
      <c r="AB118" s="64"/>
      <c r="AC118" s="65">
        <v>784.3</v>
      </c>
      <c r="AD118" s="64"/>
      <c r="AE118" s="73"/>
      <c r="AF118" s="64">
        <f t="shared" si="242"/>
        <v>784.3</v>
      </c>
      <c r="AG118" s="64"/>
      <c r="AH118" s="65">
        <v>784.3</v>
      </c>
      <c r="AI118" s="64"/>
      <c r="AJ118" s="73"/>
      <c r="AK118" s="64">
        <f t="shared" si="243"/>
        <v>341</v>
      </c>
      <c r="AL118" s="64"/>
      <c r="AM118" s="65">
        <v>341</v>
      </c>
      <c r="AN118" s="64"/>
      <c r="AO118" s="73"/>
      <c r="AP118" s="64" t="s">
        <v>368</v>
      </c>
      <c r="AQ118" s="64">
        <f t="shared" si="244"/>
        <v>783.4</v>
      </c>
      <c r="AR118" s="64"/>
      <c r="AS118" s="64">
        <v>783.4</v>
      </c>
      <c r="AT118" s="64"/>
      <c r="AU118" s="64"/>
      <c r="AV118" s="64">
        <f t="shared" si="152"/>
        <v>0</v>
      </c>
      <c r="AW118" s="64">
        <f t="shared" si="153"/>
        <v>0</v>
      </c>
      <c r="AX118" s="64">
        <f t="shared" si="154"/>
        <v>0</v>
      </c>
      <c r="AY118" s="64">
        <f t="shared" si="155"/>
        <v>0</v>
      </c>
      <c r="AZ118" s="64" t="e">
        <f>#REF!-AU118</f>
        <v>#REF!</v>
      </c>
      <c r="BA118" s="64">
        <f t="shared" si="245"/>
        <v>783.4</v>
      </c>
      <c r="BB118" s="64"/>
      <c r="BC118" s="64">
        <v>783.4</v>
      </c>
      <c r="BD118" s="64"/>
      <c r="BE118" s="64"/>
      <c r="BF118" s="64">
        <f t="shared" si="246"/>
        <v>0</v>
      </c>
      <c r="BG118" s="64"/>
      <c r="BH118" s="64"/>
      <c r="BI118" s="64"/>
      <c r="BJ118" s="64"/>
      <c r="BK118" s="64">
        <f t="shared" si="247"/>
        <v>783.4</v>
      </c>
      <c r="BL118" s="64"/>
      <c r="BM118" s="64">
        <v>783.4</v>
      </c>
      <c r="BN118" s="64"/>
      <c r="BO118" s="64"/>
      <c r="BP118" s="64">
        <f t="shared" si="248"/>
        <v>783.4</v>
      </c>
      <c r="BQ118" s="64"/>
      <c r="BR118" s="64">
        <v>783.4</v>
      </c>
      <c r="BS118" s="64"/>
      <c r="BT118" s="64"/>
      <c r="BU118" s="64">
        <f t="shared" si="249"/>
        <v>260.31151999999997</v>
      </c>
      <c r="BV118" s="64"/>
      <c r="BW118" s="64">
        <v>260.31151999999997</v>
      </c>
      <c r="BX118" s="64"/>
      <c r="BY118" s="64"/>
      <c r="BZ118" s="60">
        <f t="shared" si="250"/>
        <v>1043.7115199999998</v>
      </c>
      <c r="CA118" s="64">
        <f t="shared" si="156"/>
        <v>1043.7115199999998</v>
      </c>
      <c r="CB118" s="64">
        <f t="shared" si="157"/>
        <v>0</v>
      </c>
      <c r="CC118" s="64">
        <f t="shared" si="158"/>
        <v>1043.7115199999998</v>
      </c>
      <c r="CD118" s="64">
        <f t="shared" si="159"/>
        <v>0</v>
      </c>
      <c r="CE118" s="64">
        <f t="shared" si="251"/>
        <v>0</v>
      </c>
      <c r="CF118" s="64">
        <f t="shared" si="160"/>
        <v>0</v>
      </c>
      <c r="CG118" s="64">
        <f t="shared" si="161"/>
        <v>0</v>
      </c>
      <c r="CH118" s="64">
        <f t="shared" si="162"/>
        <v>0</v>
      </c>
      <c r="CI118" s="64">
        <f t="shared" si="163"/>
        <v>0</v>
      </c>
      <c r="CJ118" s="64">
        <f t="shared" si="252"/>
        <v>0</v>
      </c>
      <c r="CK118" s="66"/>
      <c r="CL118" s="67"/>
      <c r="CM118" s="67"/>
      <c r="CN118" s="64">
        <f t="shared" si="253"/>
        <v>0</v>
      </c>
      <c r="CO118" s="64"/>
      <c r="CP118" s="64"/>
      <c r="CQ118" s="64"/>
      <c r="CR118" s="64"/>
      <c r="CS118" s="64">
        <f t="shared" si="254"/>
        <v>0</v>
      </c>
      <c r="CT118" s="64"/>
      <c r="CU118" s="64"/>
      <c r="CV118" s="64"/>
      <c r="CW118" s="64"/>
      <c r="CX118" s="64">
        <f t="shared" si="255"/>
        <v>0</v>
      </c>
      <c r="CY118" s="64">
        <f t="shared" si="256"/>
        <v>0</v>
      </c>
      <c r="CZ118" s="64">
        <f t="shared" si="256"/>
        <v>0</v>
      </c>
      <c r="DA118" s="64">
        <f t="shared" si="256"/>
        <v>0</v>
      </c>
      <c r="DB118" s="64">
        <f t="shared" si="256"/>
        <v>0</v>
      </c>
      <c r="DC118" s="64"/>
      <c r="DD118" s="64"/>
      <c r="DE118" s="64"/>
      <c r="DF118" s="64">
        <f t="shared" si="257"/>
        <v>0</v>
      </c>
      <c r="DH118" s="64">
        <f t="shared" si="258"/>
        <v>783.4</v>
      </c>
      <c r="DI118" s="64">
        <f t="shared" si="259"/>
        <v>783.4</v>
      </c>
      <c r="DK118" s="64"/>
      <c r="DL118" s="64"/>
      <c r="DN118" s="64"/>
      <c r="DQ118" s="64">
        <f t="shared" si="260"/>
        <v>783.4</v>
      </c>
      <c r="DR118" s="64"/>
      <c r="DS118" s="64">
        <v>783.4</v>
      </c>
      <c r="DT118" s="64"/>
      <c r="DU118" s="64"/>
      <c r="DV118" s="64">
        <f t="shared" si="261"/>
        <v>260.31151999999997</v>
      </c>
      <c r="DW118" s="64"/>
      <c r="DX118" s="64">
        <v>260.31151999999997</v>
      </c>
      <c r="DY118" s="64"/>
      <c r="DZ118" s="64"/>
      <c r="EA118" s="375"/>
      <c r="EB118" s="375"/>
      <c r="EC118" s="375"/>
      <c r="ED118" s="375"/>
      <c r="EE118" s="375"/>
      <c r="EF118" s="375"/>
      <c r="EG118" s="375"/>
      <c r="EH118" s="375"/>
      <c r="EI118" s="375"/>
      <c r="EJ118" s="375"/>
      <c r="EK118" s="375"/>
      <c r="EL118" s="375"/>
      <c r="EM118" s="375"/>
      <c r="EN118" s="375"/>
      <c r="EO118" s="375"/>
      <c r="EP118" s="375"/>
      <c r="EQ118" s="375"/>
      <c r="ER118" s="375"/>
      <c r="ES118" s="375"/>
      <c r="ET118" s="375"/>
      <c r="EU118" s="375"/>
      <c r="EV118" s="375"/>
      <c r="EW118" s="375"/>
      <c r="EX118" s="375"/>
      <c r="EY118" s="375"/>
      <c r="EZ118" s="375"/>
      <c r="FA118" s="375"/>
      <c r="FB118" s="375"/>
      <c r="FC118" s="375"/>
      <c r="FD118" s="375"/>
      <c r="FE118" s="375"/>
      <c r="FF118" s="375"/>
      <c r="FG118" s="375"/>
      <c r="FH118" s="375"/>
      <c r="FI118" s="375"/>
      <c r="FJ118" s="375"/>
      <c r="FK118" s="375"/>
      <c r="FL118" s="375"/>
      <c r="FM118" s="375"/>
      <c r="FN118" s="375"/>
      <c r="FO118" s="375"/>
      <c r="FP118" s="375"/>
      <c r="FQ118" s="375"/>
      <c r="FR118" s="375"/>
      <c r="FS118" s="375"/>
      <c r="FT118" s="375"/>
      <c r="FU118" s="375"/>
      <c r="FV118" s="375"/>
      <c r="FW118" s="375"/>
      <c r="FX118" s="375"/>
      <c r="FY118" s="375"/>
      <c r="FZ118" s="375"/>
      <c r="GA118" s="375"/>
      <c r="GB118" s="375"/>
      <c r="GC118" s="375"/>
      <c r="GD118" s="375"/>
      <c r="GE118" s="375"/>
      <c r="GF118" s="375"/>
      <c r="GG118" s="375"/>
      <c r="GH118" s="375"/>
      <c r="GI118" s="375"/>
      <c r="GJ118" s="375"/>
      <c r="GK118" s="375"/>
      <c r="GL118" s="375"/>
      <c r="GM118" s="375"/>
      <c r="GN118" s="375"/>
      <c r="GO118" s="375"/>
      <c r="GP118" s="375"/>
      <c r="GQ118" s="375"/>
      <c r="GR118" s="375"/>
    </row>
    <row r="119" spans="1:200" s="61" customFormat="1" ht="15.75" customHeight="1" x14ac:dyDescent="0.3">
      <c r="A119" s="280"/>
      <c r="B119" s="281"/>
      <c r="C119" s="282">
        <v>1</v>
      </c>
      <c r="D119" s="282"/>
      <c r="E119" s="4">
        <v>99</v>
      </c>
      <c r="F119" s="281"/>
      <c r="G119" s="282">
        <v>1</v>
      </c>
      <c r="H119" s="282">
        <v>1</v>
      </c>
      <c r="I119" s="478"/>
      <c r="J119" s="479"/>
      <c r="K119" s="291"/>
      <c r="L119" s="286"/>
      <c r="M119" s="4">
        <v>96</v>
      </c>
      <c r="N119" s="62" t="s">
        <v>219</v>
      </c>
      <c r="O119" s="62" t="s">
        <v>448</v>
      </c>
      <c r="P119" s="62" t="s">
        <v>448</v>
      </c>
      <c r="Q119" s="60">
        <f t="shared" si="164"/>
        <v>0</v>
      </c>
      <c r="R119" s="60">
        <f t="shared" si="165"/>
        <v>535.9</v>
      </c>
      <c r="S119" s="60">
        <f t="shared" si="166"/>
        <v>5000</v>
      </c>
      <c r="T119" s="60">
        <v>1</v>
      </c>
      <c r="U119" s="60">
        <v>3</v>
      </c>
      <c r="V119" s="64">
        <f t="shared" si="240"/>
        <v>5535.9</v>
      </c>
      <c r="W119" s="64"/>
      <c r="X119" s="65">
        <v>535.9</v>
      </c>
      <c r="Y119" s="64">
        <v>5000</v>
      </c>
      <c r="Z119" s="73"/>
      <c r="AA119" s="64">
        <f t="shared" si="241"/>
        <v>5535.9</v>
      </c>
      <c r="AB119" s="64"/>
      <c r="AC119" s="65">
        <v>535.9</v>
      </c>
      <c r="AD119" s="64">
        <v>5000</v>
      </c>
      <c r="AE119" s="73"/>
      <c r="AF119" s="64">
        <f t="shared" si="242"/>
        <v>5535.9</v>
      </c>
      <c r="AG119" s="64"/>
      <c r="AH119" s="65">
        <v>535.9</v>
      </c>
      <c r="AI119" s="64">
        <v>5000</v>
      </c>
      <c r="AJ119" s="73"/>
      <c r="AK119" s="64">
        <f t="shared" si="243"/>
        <v>5233</v>
      </c>
      <c r="AL119" s="64"/>
      <c r="AM119" s="65">
        <v>233</v>
      </c>
      <c r="AN119" s="64">
        <v>5000</v>
      </c>
      <c r="AO119" s="73"/>
      <c r="AP119" s="64" t="s">
        <v>533</v>
      </c>
      <c r="AQ119" s="64">
        <f t="shared" si="244"/>
        <v>5535.9</v>
      </c>
      <c r="AR119" s="64"/>
      <c r="AS119" s="65">
        <f>233+302.9</f>
        <v>535.9</v>
      </c>
      <c r="AT119" s="64">
        <v>5000</v>
      </c>
      <c r="AU119" s="73"/>
      <c r="AV119" s="64">
        <f t="shared" si="152"/>
        <v>0</v>
      </c>
      <c r="AW119" s="64">
        <f t="shared" si="153"/>
        <v>0</v>
      </c>
      <c r="AX119" s="64">
        <f t="shared" si="154"/>
        <v>0</v>
      </c>
      <c r="AY119" s="64">
        <f t="shared" si="155"/>
        <v>0</v>
      </c>
      <c r="AZ119" s="64" t="e">
        <f>#REF!-AU119</f>
        <v>#REF!</v>
      </c>
      <c r="BA119" s="64">
        <f t="shared" si="245"/>
        <v>5535.9</v>
      </c>
      <c r="BB119" s="64"/>
      <c r="BC119" s="65">
        <f>233+302.9</f>
        <v>535.9</v>
      </c>
      <c r="BD119" s="64">
        <v>5000</v>
      </c>
      <c r="BE119" s="73"/>
      <c r="BF119" s="64">
        <f t="shared" si="246"/>
        <v>0</v>
      </c>
      <c r="BG119" s="64"/>
      <c r="BH119" s="65"/>
      <c r="BI119" s="64"/>
      <c r="BJ119" s="73"/>
      <c r="BK119" s="64">
        <f t="shared" si="247"/>
        <v>5535.9</v>
      </c>
      <c r="BL119" s="64"/>
      <c r="BM119" s="65">
        <f>233+302.9</f>
        <v>535.9</v>
      </c>
      <c r="BN119" s="64">
        <v>5000</v>
      </c>
      <c r="BO119" s="74"/>
      <c r="BP119" s="64">
        <f t="shared" si="248"/>
        <v>0</v>
      </c>
      <c r="BQ119" s="64"/>
      <c r="BR119" s="74"/>
      <c r="BS119" s="64"/>
      <c r="BT119" s="74"/>
      <c r="BU119" s="64">
        <f t="shared" si="249"/>
        <v>0</v>
      </c>
      <c r="BV119" s="64"/>
      <c r="BW119" s="64"/>
      <c r="BX119" s="64"/>
      <c r="BY119" s="64"/>
      <c r="BZ119" s="60">
        <f t="shared" si="250"/>
        <v>0</v>
      </c>
      <c r="CA119" s="64">
        <f t="shared" si="156"/>
        <v>0</v>
      </c>
      <c r="CB119" s="64">
        <f t="shared" si="157"/>
        <v>0</v>
      </c>
      <c r="CC119" s="64">
        <f t="shared" si="158"/>
        <v>0</v>
      </c>
      <c r="CD119" s="64">
        <f t="shared" si="159"/>
        <v>0</v>
      </c>
      <c r="CE119" s="64">
        <f t="shared" si="251"/>
        <v>0</v>
      </c>
      <c r="CF119" s="64">
        <f t="shared" si="160"/>
        <v>5535.9</v>
      </c>
      <c r="CG119" s="64">
        <f t="shared" si="161"/>
        <v>0</v>
      </c>
      <c r="CH119" s="64">
        <f t="shared" si="162"/>
        <v>535.9</v>
      </c>
      <c r="CI119" s="64">
        <f t="shared" si="163"/>
        <v>5000</v>
      </c>
      <c r="CJ119" s="64">
        <f t="shared" si="252"/>
        <v>0</v>
      </c>
      <c r="CK119" s="66"/>
      <c r="CL119" s="76">
        <f>BA119+BA120</f>
        <v>14316.764999999999</v>
      </c>
      <c r="CM119" s="76">
        <f>CL119+CN119+CN120</f>
        <v>14316.764999999999</v>
      </c>
      <c r="CN119" s="64">
        <f t="shared" si="253"/>
        <v>0</v>
      </c>
      <c r="CO119" s="64"/>
      <c r="CP119" s="65"/>
      <c r="CQ119" s="64"/>
      <c r="CR119" s="73"/>
      <c r="CS119" s="64">
        <f t="shared" si="254"/>
        <v>0</v>
      </c>
      <c r="CT119" s="64"/>
      <c r="CU119" s="65"/>
      <c r="CV119" s="64"/>
      <c r="CW119" s="73"/>
      <c r="CX119" s="64">
        <f t="shared" si="255"/>
        <v>0</v>
      </c>
      <c r="CY119" s="64">
        <f t="shared" si="256"/>
        <v>0</v>
      </c>
      <c r="CZ119" s="64">
        <f t="shared" si="256"/>
        <v>0</v>
      </c>
      <c r="DA119" s="64">
        <f t="shared" si="256"/>
        <v>0</v>
      </c>
      <c r="DB119" s="64">
        <f t="shared" si="256"/>
        <v>0</v>
      </c>
      <c r="DC119" s="64"/>
      <c r="DD119" s="64"/>
      <c r="DE119" s="64"/>
      <c r="DF119" s="64">
        <f t="shared" si="257"/>
        <v>5535.9</v>
      </c>
      <c r="DH119" s="64">
        <f t="shared" si="258"/>
        <v>5535.9</v>
      </c>
      <c r="DI119" s="64">
        <f t="shared" si="259"/>
        <v>0</v>
      </c>
      <c r="DK119" s="77">
        <f>DI119+DI120</f>
        <v>8780.8649999999998</v>
      </c>
      <c r="DL119" s="77">
        <f>DF119+DF120</f>
        <v>5535.9</v>
      </c>
      <c r="DN119" s="64">
        <f>CM119-DK119</f>
        <v>5535.9</v>
      </c>
      <c r="DQ119" s="64">
        <f t="shared" si="260"/>
        <v>0</v>
      </c>
      <c r="DR119" s="64"/>
      <c r="DS119" s="74"/>
      <c r="DT119" s="64"/>
      <c r="DU119" s="74"/>
      <c r="DV119" s="64">
        <f t="shared" si="261"/>
        <v>0</v>
      </c>
      <c r="DW119" s="64"/>
      <c r="DX119" s="64"/>
      <c r="DY119" s="64"/>
      <c r="DZ119" s="64"/>
      <c r="EA119" s="375"/>
      <c r="EB119" s="375"/>
      <c r="EC119" s="375"/>
      <c r="ED119" s="375"/>
      <c r="EE119" s="375"/>
      <c r="EF119" s="375"/>
      <c r="EG119" s="375"/>
      <c r="EH119" s="375"/>
      <c r="EI119" s="375"/>
      <c r="EJ119" s="375"/>
      <c r="EK119" s="375"/>
      <c r="EL119" s="375"/>
      <c r="EM119" s="375"/>
      <c r="EN119" s="375"/>
      <c r="EO119" s="375"/>
      <c r="EP119" s="375"/>
      <c r="EQ119" s="375"/>
      <c r="ER119" s="375"/>
      <c r="ES119" s="375"/>
      <c r="ET119" s="375"/>
      <c r="EU119" s="375"/>
      <c r="EV119" s="375"/>
      <c r="EW119" s="375"/>
      <c r="EX119" s="375"/>
      <c r="EY119" s="375"/>
      <c r="EZ119" s="375"/>
      <c r="FA119" s="375"/>
      <c r="FB119" s="375"/>
      <c r="FC119" s="375"/>
      <c r="FD119" s="375"/>
      <c r="FE119" s="375"/>
      <c r="FF119" s="375"/>
      <c r="FG119" s="375"/>
      <c r="FH119" s="375"/>
      <c r="FI119" s="375"/>
      <c r="FJ119" s="375"/>
      <c r="FK119" s="375"/>
      <c r="FL119" s="375"/>
      <c r="FM119" s="375"/>
      <c r="FN119" s="375"/>
      <c r="FO119" s="375"/>
      <c r="FP119" s="375"/>
      <c r="FQ119" s="375"/>
      <c r="FR119" s="375"/>
      <c r="FS119" s="375"/>
      <c r="FT119" s="375"/>
      <c r="FU119" s="375"/>
      <c r="FV119" s="375"/>
      <c r="FW119" s="375"/>
      <c r="FX119" s="375"/>
      <c r="FY119" s="375"/>
      <c r="FZ119" s="375"/>
      <c r="GA119" s="375"/>
      <c r="GB119" s="375"/>
      <c r="GC119" s="375"/>
      <c r="GD119" s="375"/>
      <c r="GE119" s="375"/>
      <c r="GF119" s="375"/>
      <c r="GG119" s="375"/>
      <c r="GH119" s="375"/>
      <c r="GI119" s="375"/>
      <c r="GJ119" s="375"/>
      <c r="GK119" s="375"/>
      <c r="GL119" s="375"/>
      <c r="GM119" s="375"/>
      <c r="GN119" s="375"/>
      <c r="GO119" s="375"/>
      <c r="GP119" s="375"/>
      <c r="GQ119" s="375"/>
      <c r="GR119" s="375"/>
    </row>
    <row r="120" spans="1:200" s="61" customFormat="1" ht="15.75" customHeight="1" x14ac:dyDescent="0.3">
      <c r="A120" s="280"/>
      <c r="B120" s="281"/>
      <c r="C120" s="282">
        <v>1</v>
      </c>
      <c r="D120" s="282"/>
      <c r="E120" s="4">
        <v>100</v>
      </c>
      <c r="F120" s="281"/>
      <c r="G120" s="282">
        <v>1</v>
      </c>
      <c r="H120" s="282">
        <v>1</v>
      </c>
      <c r="I120" s="474"/>
      <c r="J120" s="475"/>
      <c r="K120" s="475"/>
      <c r="L120" s="288"/>
      <c r="M120" s="4">
        <v>97</v>
      </c>
      <c r="N120" s="62" t="s">
        <v>157</v>
      </c>
      <c r="O120" s="62" t="s">
        <v>448</v>
      </c>
      <c r="P120" s="62" t="s">
        <v>450</v>
      </c>
      <c r="Q120" s="60">
        <f t="shared" si="164"/>
        <v>0</v>
      </c>
      <c r="R120" s="60">
        <f t="shared" si="165"/>
        <v>0</v>
      </c>
      <c r="S120" s="60">
        <f t="shared" si="166"/>
        <v>0</v>
      </c>
      <c r="T120" s="60">
        <v>1</v>
      </c>
      <c r="U120" s="60">
        <v>2</v>
      </c>
      <c r="V120" s="64">
        <f t="shared" si="240"/>
        <v>8780.8649999999998</v>
      </c>
      <c r="W120" s="64"/>
      <c r="X120" s="65">
        <v>1511.1</v>
      </c>
      <c r="Y120" s="65">
        <v>7269.7650000000003</v>
      </c>
      <c r="Z120" s="65"/>
      <c r="AA120" s="64">
        <f t="shared" si="241"/>
        <v>8780.8649999999998</v>
      </c>
      <c r="AB120" s="64"/>
      <c r="AC120" s="65">
        <v>1511.1</v>
      </c>
      <c r="AD120" s="65">
        <v>7269.7650000000003</v>
      </c>
      <c r="AE120" s="65"/>
      <c r="AF120" s="64">
        <f t="shared" si="242"/>
        <v>8780.8649999999998</v>
      </c>
      <c r="AG120" s="64"/>
      <c r="AH120" s="65">
        <v>1511.1</v>
      </c>
      <c r="AI120" s="65">
        <v>7269.7650000000003</v>
      </c>
      <c r="AJ120" s="65"/>
      <c r="AK120" s="64">
        <f t="shared" si="243"/>
        <v>7926.7650000000003</v>
      </c>
      <c r="AL120" s="64"/>
      <c r="AM120" s="65">
        <v>657</v>
      </c>
      <c r="AN120" s="65">
        <v>7269.7650000000003</v>
      </c>
      <c r="AO120" s="65"/>
      <c r="AP120" s="64" t="s">
        <v>384</v>
      </c>
      <c r="AQ120" s="64">
        <f t="shared" si="244"/>
        <v>8780.8649999999998</v>
      </c>
      <c r="AR120" s="64"/>
      <c r="AS120" s="65">
        <f>657+854.1</f>
        <v>1511.1</v>
      </c>
      <c r="AT120" s="65">
        <v>7269.7650000000003</v>
      </c>
      <c r="AU120" s="73"/>
      <c r="AV120" s="65">
        <f t="shared" si="152"/>
        <v>0</v>
      </c>
      <c r="AW120" s="64">
        <f t="shared" si="153"/>
        <v>0</v>
      </c>
      <c r="AX120" s="64">
        <f t="shared" si="154"/>
        <v>0</v>
      </c>
      <c r="AY120" s="64">
        <f t="shared" si="155"/>
        <v>0</v>
      </c>
      <c r="AZ120" s="64" t="e">
        <f>#REF!-AU120</f>
        <v>#REF!</v>
      </c>
      <c r="BA120" s="64">
        <f t="shared" si="245"/>
        <v>8780.8649999999998</v>
      </c>
      <c r="BB120" s="64"/>
      <c r="BC120" s="65">
        <f>657+854.1</f>
        <v>1511.1</v>
      </c>
      <c r="BD120" s="65">
        <v>7269.7650000000003</v>
      </c>
      <c r="BE120" s="73"/>
      <c r="BF120" s="64">
        <f t="shared" si="246"/>
        <v>0</v>
      </c>
      <c r="BG120" s="64"/>
      <c r="BH120" s="65"/>
      <c r="BI120" s="65"/>
      <c r="BJ120" s="73"/>
      <c r="BK120" s="64">
        <f t="shared" si="247"/>
        <v>8780.8649999999998</v>
      </c>
      <c r="BL120" s="64"/>
      <c r="BM120" s="65">
        <f>657+854.1</f>
        <v>1511.1</v>
      </c>
      <c r="BN120" s="65">
        <v>7269.7650000000003</v>
      </c>
      <c r="BO120" s="74"/>
      <c r="BP120" s="64">
        <f t="shared" si="248"/>
        <v>8780.8649999999998</v>
      </c>
      <c r="BQ120" s="64"/>
      <c r="BR120" s="74">
        <f>926+585.1</f>
        <v>1511.1</v>
      </c>
      <c r="BS120" s="74">
        <v>7269.7650000000003</v>
      </c>
      <c r="BT120" s="74"/>
      <c r="BU120" s="64">
        <f t="shared" si="249"/>
        <v>3136.5299399999999</v>
      </c>
      <c r="BV120" s="64"/>
      <c r="BW120" s="64">
        <f>434.83292+278.40984</f>
        <v>713.24275999999998</v>
      </c>
      <c r="BX120" s="64">
        <v>2423.2871799999998</v>
      </c>
      <c r="BY120" s="64"/>
      <c r="BZ120" s="60">
        <f t="shared" si="250"/>
        <v>11917.39494</v>
      </c>
      <c r="CA120" s="64">
        <f t="shared" si="156"/>
        <v>11917.39494</v>
      </c>
      <c r="CB120" s="64">
        <f t="shared" si="157"/>
        <v>0</v>
      </c>
      <c r="CC120" s="64">
        <f t="shared" si="158"/>
        <v>2224.34276</v>
      </c>
      <c r="CD120" s="64">
        <f t="shared" si="159"/>
        <v>9693.0521800000006</v>
      </c>
      <c r="CE120" s="64">
        <f t="shared" si="251"/>
        <v>0</v>
      </c>
      <c r="CF120" s="64">
        <f t="shared" si="160"/>
        <v>0</v>
      </c>
      <c r="CG120" s="64">
        <f t="shared" si="161"/>
        <v>0</v>
      </c>
      <c r="CH120" s="64">
        <f t="shared" si="162"/>
        <v>0</v>
      </c>
      <c r="CI120" s="64">
        <f t="shared" si="163"/>
        <v>0</v>
      </c>
      <c r="CJ120" s="64">
        <f t="shared" si="252"/>
        <v>0</v>
      </c>
      <c r="CK120" s="66"/>
      <c r="CL120" s="67"/>
      <c r="CM120" s="67"/>
      <c r="CN120" s="64">
        <f t="shared" si="253"/>
        <v>0</v>
      </c>
      <c r="CO120" s="64"/>
      <c r="CP120" s="65"/>
      <c r="CQ120" s="65"/>
      <c r="CR120" s="73"/>
      <c r="CS120" s="64">
        <f t="shared" si="254"/>
        <v>0</v>
      </c>
      <c r="CT120" s="64"/>
      <c r="CU120" s="65"/>
      <c r="CV120" s="65"/>
      <c r="CW120" s="73"/>
      <c r="CX120" s="64">
        <f t="shared" si="255"/>
        <v>0</v>
      </c>
      <c r="CY120" s="64">
        <f t="shared" si="256"/>
        <v>0</v>
      </c>
      <c r="CZ120" s="64">
        <f t="shared" si="256"/>
        <v>0</v>
      </c>
      <c r="DA120" s="64">
        <f t="shared" si="256"/>
        <v>0</v>
      </c>
      <c r="DB120" s="64">
        <f t="shared" si="256"/>
        <v>0</v>
      </c>
      <c r="DC120" s="64"/>
      <c r="DD120" s="64"/>
      <c r="DE120" s="64"/>
      <c r="DF120" s="64">
        <f t="shared" si="257"/>
        <v>0</v>
      </c>
      <c r="DH120" s="64">
        <f t="shared" si="258"/>
        <v>8780.8649999999998</v>
      </c>
      <c r="DI120" s="64">
        <f t="shared" si="259"/>
        <v>8780.8649999999998</v>
      </c>
      <c r="DK120" s="64"/>
      <c r="DL120" s="64"/>
      <c r="DN120" s="64"/>
      <c r="DQ120" s="64">
        <f t="shared" si="260"/>
        <v>8780.8649999999998</v>
      </c>
      <c r="DR120" s="64"/>
      <c r="DS120" s="74">
        <f>926+585.1</f>
        <v>1511.1</v>
      </c>
      <c r="DT120" s="74">
        <v>7269.7650000000003</v>
      </c>
      <c r="DU120" s="74"/>
      <c r="DV120" s="64">
        <f t="shared" si="261"/>
        <v>2858.1200999999996</v>
      </c>
      <c r="DW120" s="64"/>
      <c r="DX120" s="64">
        <v>434.83292</v>
      </c>
      <c r="DY120" s="64">
        <v>2423.2871799999998</v>
      </c>
      <c r="DZ120" s="64"/>
      <c r="EA120" s="375"/>
      <c r="EB120" s="375"/>
      <c r="EC120" s="375"/>
      <c r="ED120" s="375"/>
      <c r="EE120" s="375"/>
      <c r="EF120" s="375"/>
      <c r="EG120" s="375"/>
      <c r="EH120" s="375"/>
      <c r="EI120" s="375"/>
      <c r="EJ120" s="375"/>
      <c r="EK120" s="375"/>
      <c r="EL120" s="375"/>
      <c r="EM120" s="375"/>
      <c r="EN120" s="375"/>
      <c r="EO120" s="375"/>
      <c r="EP120" s="375"/>
      <c r="EQ120" s="375"/>
      <c r="ER120" s="375"/>
      <c r="ES120" s="375"/>
      <c r="ET120" s="375"/>
      <c r="EU120" s="375"/>
      <c r="EV120" s="375"/>
      <c r="EW120" s="375"/>
      <c r="EX120" s="375"/>
      <c r="EY120" s="375"/>
      <c r="EZ120" s="375"/>
      <c r="FA120" s="375"/>
      <c r="FB120" s="375"/>
      <c r="FC120" s="375"/>
      <c r="FD120" s="375"/>
      <c r="FE120" s="375"/>
      <c r="FF120" s="375"/>
      <c r="FG120" s="375"/>
      <c r="FH120" s="375"/>
      <c r="FI120" s="375"/>
      <c r="FJ120" s="375"/>
      <c r="FK120" s="375"/>
      <c r="FL120" s="375"/>
      <c r="FM120" s="375"/>
      <c r="FN120" s="375"/>
      <c r="FO120" s="375"/>
      <c r="FP120" s="375"/>
      <c r="FQ120" s="375"/>
      <c r="FR120" s="375"/>
      <c r="FS120" s="375"/>
      <c r="FT120" s="375"/>
      <c r="FU120" s="375"/>
      <c r="FV120" s="375"/>
      <c r="FW120" s="375"/>
      <c r="FX120" s="375"/>
      <c r="FY120" s="375"/>
      <c r="FZ120" s="375"/>
      <c r="GA120" s="375"/>
      <c r="GB120" s="375"/>
      <c r="GC120" s="375"/>
      <c r="GD120" s="375"/>
      <c r="GE120" s="375"/>
      <c r="GF120" s="375"/>
      <c r="GG120" s="375"/>
      <c r="GH120" s="375"/>
      <c r="GI120" s="375"/>
      <c r="GJ120" s="375"/>
      <c r="GK120" s="375"/>
      <c r="GL120" s="375"/>
      <c r="GM120" s="375"/>
      <c r="GN120" s="375"/>
      <c r="GO120" s="375"/>
      <c r="GP120" s="375"/>
      <c r="GQ120" s="375"/>
      <c r="GR120" s="375"/>
    </row>
    <row r="121" spans="1:200" s="61" customFormat="1" ht="15.75" customHeight="1" x14ac:dyDescent="0.3">
      <c r="A121" s="280"/>
      <c r="B121" s="281"/>
      <c r="C121" s="282"/>
      <c r="D121" s="282">
        <v>1</v>
      </c>
      <c r="E121" s="4">
        <v>101</v>
      </c>
      <c r="F121" s="281"/>
      <c r="G121" s="282"/>
      <c r="H121" s="282">
        <v>1</v>
      </c>
      <c r="I121" s="466" t="s">
        <v>264</v>
      </c>
      <c r="J121" s="467"/>
      <c r="K121" s="467"/>
      <c r="L121" s="467"/>
      <c r="M121" s="4">
        <v>98</v>
      </c>
      <c r="N121" s="62" t="s">
        <v>218</v>
      </c>
      <c r="O121" s="62" t="s">
        <v>450</v>
      </c>
      <c r="P121" s="62" t="s">
        <v>448</v>
      </c>
      <c r="Q121" s="60">
        <f t="shared" si="164"/>
        <v>0</v>
      </c>
      <c r="R121" s="60">
        <f t="shared" si="165"/>
        <v>62.297549999999774</v>
      </c>
      <c r="S121" s="60">
        <f t="shared" si="166"/>
        <v>0</v>
      </c>
      <c r="T121" s="60">
        <v>1</v>
      </c>
      <c r="U121" s="60">
        <v>2</v>
      </c>
      <c r="V121" s="64">
        <f t="shared" si="240"/>
        <v>3947.1759999999999</v>
      </c>
      <c r="W121" s="64"/>
      <c r="X121" s="65">
        <v>2316.1</v>
      </c>
      <c r="Y121" s="64">
        <v>1631.076</v>
      </c>
      <c r="Z121" s="73"/>
      <c r="AA121" s="64">
        <f t="shared" si="241"/>
        <v>3947.1759999999999</v>
      </c>
      <c r="AB121" s="64"/>
      <c r="AC121" s="65">
        <v>2316.1</v>
      </c>
      <c r="AD121" s="64">
        <v>1631.076</v>
      </c>
      <c r="AE121" s="73"/>
      <c r="AF121" s="64">
        <f t="shared" si="242"/>
        <v>3947.1759999999999</v>
      </c>
      <c r="AG121" s="64"/>
      <c r="AH121" s="65">
        <v>2316.1</v>
      </c>
      <c r="AI121" s="64">
        <v>1631.076</v>
      </c>
      <c r="AJ121" s="73"/>
      <c r="AK121" s="64">
        <f t="shared" si="243"/>
        <v>2638.076</v>
      </c>
      <c r="AL121" s="64"/>
      <c r="AM121" s="65">
        <v>1007</v>
      </c>
      <c r="AN121" s="64">
        <v>1631.076</v>
      </c>
      <c r="AO121" s="73"/>
      <c r="AP121" s="64" t="s">
        <v>367</v>
      </c>
      <c r="AQ121" s="64">
        <f t="shared" si="244"/>
        <v>3947.1759999999999</v>
      </c>
      <c r="AR121" s="64"/>
      <c r="AS121" s="65">
        <f>1007+1309.1</f>
        <v>2316.1</v>
      </c>
      <c r="AT121" s="64">
        <v>1631.076</v>
      </c>
      <c r="AU121" s="73"/>
      <c r="AV121" s="64">
        <f t="shared" si="152"/>
        <v>0</v>
      </c>
      <c r="AW121" s="64">
        <f t="shared" si="153"/>
        <v>0</v>
      </c>
      <c r="AX121" s="64">
        <f t="shared" si="154"/>
        <v>0</v>
      </c>
      <c r="AY121" s="64">
        <f t="shared" si="155"/>
        <v>0</v>
      </c>
      <c r="AZ121" s="64" t="e">
        <f>#REF!-AU121</f>
        <v>#REF!</v>
      </c>
      <c r="BA121" s="64">
        <f t="shared" si="245"/>
        <v>3947.1759999999999</v>
      </c>
      <c r="BB121" s="64"/>
      <c r="BC121" s="65">
        <f>1007+1309.1</f>
        <v>2316.1</v>
      </c>
      <c r="BD121" s="64">
        <v>1631.076</v>
      </c>
      <c r="BE121" s="73"/>
      <c r="BF121" s="64">
        <f t="shared" si="246"/>
        <v>0</v>
      </c>
      <c r="BG121" s="64"/>
      <c r="BH121" s="65"/>
      <c r="BI121" s="64"/>
      <c r="BJ121" s="73"/>
      <c r="BK121" s="64">
        <f t="shared" si="247"/>
        <v>3947.1759999999999</v>
      </c>
      <c r="BL121" s="64"/>
      <c r="BM121" s="65">
        <f>1007+1309.1</f>
        <v>2316.1</v>
      </c>
      <c r="BN121" s="64">
        <v>1631.076</v>
      </c>
      <c r="BO121" s="74"/>
      <c r="BP121" s="64">
        <f t="shared" si="248"/>
        <v>3884.8784500000002</v>
      </c>
      <c r="BQ121" s="64"/>
      <c r="BR121" s="74">
        <f>729.44159+539.94057+984.42029</f>
        <v>2253.8024500000001</v>
      </c>
      <c r="BS121" s="64">
        <f>1108.54088+522.53512</f>
        <v>1631.076</v>
      </c>
      <c r="BT121" s="74"/>
      <c r="BU121" s="64">
        <f t="shared" si="249"/>
        <v>1301.4402599999999</v>
      </c>
      <c r="BV121" s="64"/>
      <c r="BW121" s="64">
        <f>243.92764+181.29188+331.82786</f>
        <v>757.04737999999998</v>
      </c>
      <c r="BX121" s="64">
        <f>369.51431+174.87857</f>
        <v>544.39287999999999</v>
      </c>
      <c r="BY121" s="64"/>
      <c r="BZ121" s="60">
        <f t="shared" si="250"/>
        <v>5186.3187099999996</v>
      </c>
      <c r="CA121" s="64">
        <f t="shared" si="156"/>
        <v>5186.3187099999996</v>
      </c>
      <c r="CB121" s="64">
        <f t="shared" si="157"/>
        <v>0</v>
      </c>
      <c r="CC121" s="64">
        <f t="shared" si="158"/>
        <v>3010.8498300000001</v>
      </c>
      <c r="CD121" s="64">
        <f t="shared" si="159"/>
        <v>2175.4688799999999</v>
      </c>
      <c r="CE121" s="64">
        <f t="shared" si="251"/>
        <v>0</v>
      </c>
      <c r="CF121" s="64">
        <f t="shared" si="160"/>
        <v>62.297549999999774</v>
      </c>
      <c r="CG121" s="64">
        <f t="shared" si="161"/>
        <v>0</v>
      </c>
      <c r="CH121" s="64">
        <f t="shared" si="162"/>
        <v>62.297549999999774</v>
      </c>
      <c r="CI121" s="64">
        <f t="shared" si="163"/>
        <v>0</v>
      </c>
      <c r="CJ121" s="64">
        <f t="shared" si="252"/>
        <v>0</v>
      </c>
      <c r="CK121" s="66"/>
      <c r="CL121" s="67">
        <f>BA114-CL115-CL119</f>
        <v>13308.808000000005</v>
      </c>
      <c r="CM121" s="67">
        <f>CL121</f>
        <v>13308.808000000005</v>
      </c>
      <c r="CN121" s="64">
        <f t="shared" si="253"/>
        <v>0</v>
      </c>
      <c r="CO121" s="64"/>
      <c r="CP121" s="65"/>
      <c r="CQ121" s="64"/>
      <c r="CR121" s="73"/>
      <c r="CS121" s="64">
        <f t="shared" si="254"/>
        <v>0</v>
      </c>
      <c r="CT121" s="64"/>
      <c r="CU121" s="65"/>
      <c r="CV121" s="64"/>
      <c r="CW121" s="73"/>
      <c r="CX121" s="64">
        <f t="shared" si="255"/>
        <v>0</v>
      </c>
      <c r="CY121" s="64">
        <f t="shared" si="256"/>
        <v>0</v>
      </c>
      <c r="CZ121" s="64">
        <f t="shared" si="256"/>
        <v>0</v>
      </c>
      <c r="DA121" s="64">
        <f t="shared" si="256"/>
        <v>0</v>
      </c>
      <c r="DB121" s="64">
        <f t="shared" si="256"/>
        <v>0</v>
      </c>
      <c r="DC121" s="64"/>
      <c r="DD121" s="64"/>
      <c r="DE121" s="64"/>
      <c r="DF121" s="64">
        <f t="shared" si="257"/>
        <v>62.297549999999774</v>
      </c>
      <c r="DH121" s="64">
        <f t="shared" si="258"/>
        <v>3947.1759999999999</v>
      </c>
      <c r="DI121" s="64">
        <f t="shared" si="259"/>
        <v>3884.8784500000002</v>
      </c>
      <c r="DK121" s="64">
        <f>DI117+DI118+DI121+DI122+DI123+DI124+DI125+DI126+DI127</f>
        <v>13129.838889999999</v>
      </c>
      <c r="DL121" s="64">
        <f>DF117+DF118+DF121+DF122+DF123+DF124+DF125+DF126+DF127</f>
        <v>178.96910999999977</v>
      </c>
      <c r="DN121" s="64">
        <f>CM121-DK121</f>
        <v>178.96911000000546</v>
      </c>
      <c r="DQ121" s="64">
        <f t="shared" si="260"/>
        <v>2253.8024500000001</v>
      </c>
      <c r="DR121" s="64"/>
      <c r="DS121" s="74">
        <f>729.44159+539.94057+984.42029</f>
        <v>2253.8024500000001</v>
      </c>
      <c r="DT121" s="64"/>
      <c r="DU121" s="74"/>
      <c r="DV121" s="64">
        <f t="shared" si="261"/>
        <v>243.92764</v>
      </c>
      <c r="DW121" s="64"/>
      <c r="DX121" s="64">
        <v>243.92764</v>
      </c>
      <c r="DY121" s="64"/>
      <c r="DZ121" s="64"/>
      <c r="EA121" s="375"/>
      <c r="EB121" s="375"/>
      <c r="EC121" s="375"/>
      <c r="ED121" s="375"/>
      <c r="EE121" s="375"/>
      <c r="EF121" s="375"/>
      <c r="EG121" s="375"/>
      <c r="EH121" s="375"/>
      <c r="EI121" s="375"/>
      <c r="EJ121" s="375"/>
      <c r="EK121" s="375"/>
      <c r="EL121" s="375"/>
      <c r="EM121" s="375"/>
      <c r="EN121" s="375"/>
      <c r="EO121" s="375"/>
      <c r="EP121" s="375"/>
      <c r="EQ121" s="375"/>
      <c r="ER121" s="375"/>
      <c r="ES121" s="375"/>
      <c r="ET121" s="375"/>
      <c r="EU121" s="375"/>
      <c r="EV121" s="375"/>
      <c r="EW121" s="375"/>
      <c r="EX121" s="375"/>
      <c r="EY121" s="375"/>
      <c r="EZ121" s="375"/>
      <c r="FA121" s="375"/>
      <c r="FB121" s="375"/>
      <c r="FC121" s="375"/>
      <c r="FD121" s="375"/>
      <c r="FE121" s="375"/>
      <c r="FF121" s="375"/>
      <c r="FG121" s="375"/>
      <c r="FH121" s="375"/>
      <c r="FI121" s="375"/>
      <c r="FJ121" s="375"/>
      <c r="FK121" s="375"/>
      <c r="FL121" s="375"/>
      <c r="FM121" s="375"/>
      <c r="FN121" s="375"/>
      <c r="FO121" s="375"/>
      <c r="FP121" s="375"/>
      <c r="FQ121" s="375"/>
      <c r="FR121" s="375"/>
      <c r="FS121" s="375"/>
      <c r="FT121" s="375"/>
      <c r="FU121" s="375"/>
      <c r="FV121" s="375"/>
      <c r="FW121" s="375"/>
      <c r="FX121" s="375"/>
      <c r="FY121" s="375"/>
      <c r="FZ121" s="375"/>
      <c r="GA121" s="375"/>
      <c r="GB121" s="375"/>
      <c r="GC121" s="375"/>
      <c r="GD121" s="375"/>
      <c r="GE121" s="375"/>
      <c r="GF121" s="375"/>
      <c r="GG121" s="375"/>
      <c r="GH121" s="375"/>
      <c r="GI121" s="375"/>
      <c r="GJ121" s="375"/>
      <c r="GK121" s="375"/>
      <c r="GL121" s="375"/>
      <c r="GM121" s="375"/>
      <c r="GN121" s="375"/>
      <c r="GO121" s="375"/>
      <c r="GP121" s="375"/>
      <c r="GQ121" s="375"/>
      <c r="GR121" s="375"/>
    </row>
    <row r="122" spans="1:200" s="61" customFormat="1" ht="15.75" customHeight="1" x14ac:dyDescent="0.3">
      <c r="A122" s="280"/>
      <c r="B122" s="281"/>
      <c r="C122" s="282"/>
      <c r="D122" s="282">
        <v>1</v>
      </c>
      <c r="E122" s="4">
        <v>102</v>
      </c>
      <c r="F122" s="281"/>
      <c r="G122" s="282"/>
      <c r="H122" s="282"/>
      <c r="I122" s="4">
        <v>6</v>
      </c>
      <c r="J122" s="283" t="s">
        <v>264</v>
      </c>
      <c r="K122" s="291" t="s">
        <v>277</v>
      </c>
      <c r="L122" s="286"/>
      <c r="M122" s="4">
        <v>99</v>
      </c>
      <c r="N122" s="62" t="s">
        <v>217</v>
      </c>
      <c r="O122" s="62" t="s">
        <v>448</v>
      </c>
      <c r="P122" s="62" t="s">
        <v>448</v>
      </c>
      <c r="Q122" s="60">
        <f t="shared" si="164"/>
        <v>0</v>
      </c>
      <c r="R122" s="60">
        <f t="shared" si="165"/>
        <v>7.3139999999999645</v>
      </c>
      <c r="S122" s="60">
        <f t="shared" si="166"/>
        <v>0</v>
      </c>
      <c r="T122" s="60">
        <v>1</v>
      </c>
      <c r="U122" s="60"/>
      <c r="V122" s="64">
        <f t="shared" si="240"/>
        <v>731.4</v>
      </c>
      <c r="W122" s="64"/>
      <c r="X122" s="65">
        <v>731.4</v>
      </c>
      <c r="Y122" s="64"/>
      <c r="Z122" s="78"/>
      <c r="AA122" s="64">
        <f t="shared" si="241"/>
        <v>731.4</v>
      </c>
      <c r="AB122" s="64"/>
      <c r="AC122" s="65">
        <v>731.4</v>
      </c>
      <c r="AD122" s="64"/>
      <c r="AE122" s="78"/>
      <c r="AF122" s="64">
        <f t="shared" si="242"/>
        <v>731.4</v>
      </c>
      <c r="AG122" s="64"/>
      <c r="AH122" s="65">
        <v>731.4</v>
      </c>
      <c r="AI122" s="64"/>
      <c r="AJ122" s="78"/>
      <c r="AK122" s="64">
        <f t="shared" si="243"/>
        <v>318</v>
      </c>
      <c r="AL122" s="64"/>
      <c r="AM122" s="65">
        <v>318</v>
      </c>
      <c r="AN122" s="64"/>
      <c r="AO122" s="78"/>
      <c r="AP122" s="64" t="s">
        <v>397</v>
      </c>
      <c r="AQ122" s="64">
        <f t="shared" si="244"/>
        <v>731.4</v>
      </c>
      <c r="AR122" s="64"/>
      <c r="AS122" s="65">
        <v>731.4</v>
      </c>
      <c r="AT122" s="64"/>
      <c r="AU122" s="64"/>
      <c r="AV122" s="64">
        <f t="shared" si="152"/>
        <v>0</v>
      </c>
      <c r="AW122" s="64">
        <f t="shared" si="153"/>
        <v>0</v>
      </c>
      <c r="AX122" s="64">
        <f t="shared" si="154"/>
        <v>0</v>
      </c>
      <c r="AY122" s="64">
        <f t="shared" si="155"/>
        <v>0</v>
      </c>
      <c r="AZ122" s="64" t="e">
        <f>#REF!-AU122</f>
        <v>#REF!</v>
      </c>
      <c r="BA122" s="64">
        <f t="shared" si="245"/>
        <v>731.4</v>
      </c>
      <c r="BB122" s="64"/>
      <c r="BC122" s="65">
        <v>731.4</v>
      </c>
      <c r="BD122" s="64"/>
      <c r="BE122" s="64"/>
      <c r="BF122" s="64">
        <f t="shared" si="246"/>
        <v>0</v>
      </c>
      <c r="BG122" s="64"/>
      <c r="BH122" s="64"/>
      <c r="BI122" s="64"/>
      <c r="BJ122" s="64"/>
      <c r="BK122" s="64">
        <f t="shared" si="247"/>
        <v>731.4</v>
      </c>
      <c r="BL122" s="64"/>
      <c r="BM122" s="65">
        <v>731.4</v>
      </c>
      <c r="BN122" s="64"/>
      <c r="BO122" s="64"/>
      <c r="BP122" s="64">
        <f t="shared" si="248"/>
        <v>724.08600000000001</v>
      </c>
      <c r="BQ122" s="64"/>
      <c r="BR122" s="64">
        <v>724.08600000000001</v>
      </c>
      <c r="BS122" s="64"/>
      <c r="BT122" s="64"/>
      <c r="BU122" s="64">
        <f t="shared" si="249"/>
        <v>241.36242999999999</v>
      </c>
      <c r="BV122" s="64"/>
      <c r="BW122" s="64">
        <v>241.36242999999999</v>
      </c>
      <c r="BX122" s="64"/>
      <c r="BY122" s="64"/>
      <c r="BZ122" s="60">
        <f t="shared" si="250"/>
        <v>965.44843000000003</v>
      </c>
      <c r="CA122" s="64">
        <f t="shared" si="156"/>
        <v>965.44843000000003</v>
      </c>
      <c r="CB122" s="64">
        <f t="shared" si="157"/>
        <v>0</v>
      </c>
      <c r="CC122" s="64">
        <f t="shared" si="158"/>
        <v>965.44843000000003</v>
      </c>
      <c r="CD122" s="64">
        <f t="shared" si="159"/>
        <v>0</v>
      </c>
      <c r="CE122" s="64">
        <f t="shared" si="251"/>
        <v>0</v>
      </c>
      <c r="CF122" s="64">
        <f t="shared" si="160"/>
        <v>7.3139999999999645</v>
      </c>
      <c r="CG122" s="64">
        <f t="shared" si="161"/>
        <v>0</v>
      </c>
      <c r="CH122" s="64">
        <f t="shared" si="162"/>
        <v>7.3139999999999645</v>
      </c>
      <c r="CI122" s="64">
        <f t="shared" si="163"/>
        <v>0</v>
      </c>
      <c r="CJ122" s="64">
        <f t="shared" si="252"/>
        <v>0</v>
      </c>
      <c r="CK122" s="66"/>
      <c r="CL122" s="67"/>
      <c r="CM122" s="67"/>
      <c r="CN122" s="64">
        <f t="shared" si="253"/>
        <v>0</v>
      </c>
      <c r="CO122" s="64"/>
      <c r="CP122" s="64"/>
      <c r="CQ122" s="64"/>
      <c r="CR122" s="64"/>
      <c r="CS122" s="64">
        <f t="shared" si="254"/>
        <v>0</v>
      </c>
      <c r="CT122" s="64"/>
      <c r="CU122" s="64"/>
      <c r="CV122" s="64"/>
      <c r="CW122" s="64"/>
      <c r="CX122" s="64">
        <f t="shared" si="255"/>
        <v>0</v>
      </c>
      <c r="CY122" s="64">
        <f t="shared" si="256"/>
        <v>0</v>
      </c>
      <c r="CZ122" s="64">
        <f t="shared" si="256"/>
        <v>0</v>
      </c>
      <c r="DA122" s="64">
        <f t="shared" si="256"/>
        <v>0</v>
      </c>
      <c r="DB122" s="64">
        <f t="shared" si="256"/>
        <v>0</v>
      </c>
      <c r="DC122" s="64"/>
      <c r="DD122" s="64"/>
      <c r="DE122" s="64"/>
      <c r="DF122" s="64">
        <f t="shared" si="257"/>
        <v>7.3139999999999645</v>
      </c>
      <c r="DH122" s="64">
        <f t="shared" si="258"/>
        <v>731.4</v>
      </c>
      <c r="DI122" s="64">
        <f t="shared" si="259"/>
        <v>724.08600000000001</v>
      </c>
      <c r="DK122" s="64"/>
      <c r="DL122" s="64"/>
      <c r="DN122" s="64"/>
      <c r="DQ122" s="64">
        <f t="shared" si="260"/>
        <v>724.08600000000001</v>
      </c>
      <c r="DR122" s="64"/>
      <c r="DS122" s="64">
        <v>724.08600000000001</v>
      </c>
      <c r="DT122" s="64"/>
      <c r="DU122" s="64"/>
      <c r="DV122" s="64">
        <f t="shared" si="261"/>
        <v>0</v>
      </c>
      <c r="DW122" s="64"/>
      <c r="DX122" s="64"/>
      <c r="DY122" s="64"/>
      <c r="DZ122" s="64"/>
      <c r="EA122" s="375"/>
      <c r="EB122" s="375"/>
      <c r="EC122" s="375"/>
      <c r="ED122" s="375"/>
      <c r="EE122" s="375"/>
      <c r="EF122" s="375"/>
      <c r="EG122" s="375"/>
      <c r="EH122" s="375"/>
      <c r="EI122" s="375"/>
      <c r="EJ122" s="375"/>
      <c r="EK122" s="375"/>
      <c r="EL122" s="375"/>
      <c r="EM122" s="375"/>
      <c r="EN122" s="375"/>
      <c r="EO122" s="375"/>
      <c r="EP122" s="375"/>
      <c r="EQ122" s="375"/>
      <c r="ER122" s="375"/>
      <c r="ES122" s="375"/>
      <c r="ET122" s="375"/>
      <c r="EU122" s="375"/>
      <c r="EV122" s="375"/>
      <c r="EW122" s="375"/>
      <c r="EX122" s="375"/>
      <c r="EY122" s="375"/>
      <c r="EZ122" s="375"/>
      <c r="FA122" s="375"/>
      <c r="FB122" s="375"/>
      <c r="FC122" s="375"/>
      <c r="FD122" s="375"/>
      <c r="FE122" s="375"/>
      <c r="FF122" s="375"/>
      <c r="FG122" s="375"/>
      <c r="FH122" s="375"/>
      <c r="FI122" s="375"/>
      <c r="FJ122" s="375"/>
      <c r="FK122" s="375"/>
      <c r="FL122" s="375"/>
      <c r="FM122" s="375"/>
      <c r="FN122" s="375"/>
      <c r="FO122" s="375"/>
      <c r="FP122" s="375"/>
      <c r="FQ122" s="375"/>
      <c r="FR122" s="375"/>
      <c r="FS122" s="375"/>
      <c r="FT122" s="375"/>
      <c r="FU122" s="375"/>
      <c r="FV122" s="375"/>
      <c r="FW122" s="375"/>
      <c r="FX122" s="375"/>
      <c r="FY122" s="375"/>
      <c r="FZ122" s="375"/>
      <c r="GA122" s="375"/>
      <c r="GB122" s="375"/>
      <c r="GC122" s="375"/>
      <c r="GD122" s="375"/>
      <c r="GE122" s="375"/>
      <c r="GF122" s="375"/>
      <c r="GG122" s="375"/>
      <c r="GH122" s="375"/>
      <c r="GI122" s="375"/>
      <c r="GJ122" s="375"/>
      <c r="GK122" s="375"/>
      <c r="GL122" s="375"/>
      <c r="GM122" s="375"/>
      <c r="GN122" s="375"/>
      <c r="GO122" s="375"/>
      <c r="GP122" s="375"/>
      <c r="GQ122" s="375"/>
      <c r="GR122" s="375"/>
    </row>
    <row r="123" spans="1:200" s="61" customFormat="1" ht="15.75" customHeight="1" x14ac:dyDescent="0.3">
      <c r="A123" s="280"/>
      <c r="B123" s="281"/>
      <c r="C123" s="282"/>
      <c r="D123" s="282">
        <v>1</v>
      </c>
      <c r="E123" s="4">
        <v>103</v>
      </c>
      <c r="F123" s="281"/>
      <c r="G123" s="282"/>
      <c r="H123" s="282">
        <v>1</v>
      </c>
      <c r="I123" s="474" t="s">
        <v>270</v>
      </c>
      <c r="J123" s="475"/>
      <c r="K123" s="475"/>
      <c r="L123" s="288"/>
      <c r="M123" s="4">
        <v>100</v>
      </c>
      <c r="N123" s="62" t="s">
        <v>179</v>
      </c>
      <c r="O123" s="62" t="s">
        <v>448</v>
      </c>
      <c r="P123" s="62" t="s">
        <v>450</v>
      </c>
      <c r="Q123" s="60">
        <f t="shared" si="164"/>
        <v>0</v>
      </c>
      <c r="R123" s="60">
        <f t="shared" si="165"/>
        <v>0</v>
      </c>
      <c r="S123" s="60">
        <f t="shared" si="166"/>
        <v>0</v>
      </c>
      <c r="T123" s="60">
        <v>1</v>
      </c>
      <c r="U123" s="60">
        <v>2</v>
      </c>
      <c r="V123" s="64">
        <f t="shared" si="240"/>
        <v>768.2</v>
      </c>
      <c r="W123" s="64"/>
      <c r="X123" s="65">
        <v>768.2</v>
      </c>
      <c r="Y123" s="64"/>
      <c r="Z123" s="78"/>
      <c r="AA123" s="64">
        <f t="shared" si="241"/>
        <v>768.2</v>
      </c>
      <c r="AB123" s="64"/>
      <c r="AC123" s="65">
        <v>768.2</v>
      </c>
      <c r="AD123" s="64"/>
      <c r="AE123" s="78"/>
      <c r="AF123" s="64">
        <f t="shared" si="242"/>
        <v>768.2</v>
      </c>
      <c r="AG123" s="64"/>
      <c r="AH123" s="65">
        <v>768.2</v>
      </c>
      <c r="AI123" s="64"/>
      <c r="AJ123" s="78"/>
      <c r="AK123" s="64">
        <f t="shared" si="243"/>
        <v>334</v>
      </c>
      <c r="AL123" s="64"/>
      <c r="AM123" s="65">
        <v>334</v>
      </c>
      <c r="AN123" s="64"/>
      <c r="AO123" s="78"/>
      <c r="AP123" s="64" t="s">
        <v>475</v>
      </c>
      <c r="AQ123" s="64">
        <f t="shared" si="244"/>
        <v>768.2</v>
      </c>
      <c r="AR123" s="64"/>
      <c r="AS123" s="65">
        <f>334+434.2</f>
        <v>768.2</v>
      </c>
      <c r="AT123" s="64"/>
      <c r="AU123" s="64"/>
      <c r="AV123" s="64">
        <f t="shared" si="152"/>
        <v>0</v>
      </c>
      <c r="AW123" s="64">
        <f t="shared" si="153"/>
        <v>0</v>
      </c>
      <c r="AX123" s="64">
        <f t="shared" si="154"/>
        <v>0</v>
      </c>
      <c r="AY123" s="64">
        <f t="shared" si="155"/>
        <v>0</v>
      </c>
      <c r="AZ123" s="64" t="e">
        <f>#REF!-AU123</f>
        <v>#REF!</v>
      </c>
      <c r="BA123" s="64">
        <f t="shared" si="245"/>
        <v>768.2</v>
      </c>
      <c r="BB123" s="64"/>
      <c r="BC123" s="65">
        <f>334+434.2</f>
        <v>768.2</v>
      </c>
      <c r="BD123" s="64"/>
      <c r="BE123" s="64"/>
      <c r="BF123" s="64">
        <f t="shared" si="246"/>
        <v>0</v>
      </c>
      <c r="BG123" s="64"/>
      <c r="BH123" s="65"/>
      <c r="BI123" s="64"/>
      <c r="BJ123" s="64"/>
      <c r="BK123" s="64">
        <f t="shared" si="247"/>
        <v>768.2</v>
      </c>
      <c r="BL123" s="64"/>
      <c r="BM123" s="65">
        <f>334+434.2</f>
        <v>768.2</v>
      </c>
      <c r="BN123" s="64"/>
      <c r="BO123" s="64"/>
      <c r="BP123" s="64">
        <f t="shared" si="248"/>
        <v>768.2</v>
      </c>
      <c r="BQ123" s="64"/>
      <c r="BR123" s="74">
        <f>375.579+273.44133+119.17967</f>
        <v>768.2</v>
      </c>
      <c r="BS123" s="64"/>
      <c r="BT123" s="64"/>
      <c r="BU123" s="64">
        <f t="shared" si="249"/>
        <v>256.8</v>
      </c>
      <c r="BV123" s="64"/>
      <c r="BW123" s="64">
        <f>91.68488+125.256+39.85912</f>
        <v>256.8</v>
      </c>
      <c r="BX123" s="64"/>
      <c r="BY123" s="64"/>
      <c r="BZ123" s="60">
        <f t="shared" si="250"/>
        <v>1025</v>
      </c>
      <c r="CA123" s="64">
        <f t="shared" si="156"/>
        <v>1025</v>
      </c>
      <c r="CB123" s="64">
        <f t="shared" si="157"/>
        <v>0</v>
      </c>
      <c r="CC123" s="64">
        <f t="shared" si="158"/>
        <v>1025</v>
      </c>
      <c r="CD123" s="64">
        <f t="shared" si="159"/>
        <v>0</v>
      </c>
      <c r="CE123" s="64">
        <f t="shared" si="251"/>
        <v>0</v>
      </c>
      <c r="CF123" s="64">
        <f t="shared" si="160"/>
        <v>0</v>
      </c>
      <c r="CG123" s="64">
        <f t="shared" si="161"/>
        <v>0</v>
      </c>
      <c r="CH123" s="64">
        <f t="shared" si="162"/>
        <v>0</v>
      </c>
      <c r="CI123" s="64">
        <f t="shared" si="163"/>
        <v>0</v>
      </c>
      <c r="CJ123" s="64">
        <f t="shared" si="252"/>
        <v>0</v>
      </c>
      <c r="CK123" s="66"/>
      <c r="CL123" s="67"/>
      <c r="CM123" s="67"/>
      <c r="CN123" s="64">
        <f t="shared" si="253"/>
        <v>0</v>
      </c>
      <c r="CO123" s="64"/>
      <c r="CP123" s="65"/>
      <c r="CQ123" s="64"/>
      <c r="CR123" s="64"/>
      <c r="CS123" s="64">
        <f t="shared" si="254"/>
        <v>0</v>
      </c>
      <c r="CT123" s="64"/>
      <c r="CU123" s="65"/>
      <c r="CV123" s="64"/>
      <c r="CW123" s="64"/>
      <c r="CX123" s="64">
        <f t="shared" si="255"/>
        <v>0</v>
      </c>
      <c r="CY123" s="64">
        <f t="shared" si="256"/>
        <v>0</v>
      </c>
      <c r="CZ123" s="64">
        <f t="shared" si="256"/>
        <v>0</v>
      </c>
      <c r="DA123" s="64">
        <f t="shared" si="256"/>
        <v>0</v>
      </c>
      <c r="DB123" s="64">
        <f t="shared" si="256"/>
        <v>0</v>
      </c>
      <c r="DC123" s="64"/>
      <c r="DD123" s="64"/>
      <c r="DE123" s="64"/>
      <c r="DF123" s="64">
        <f t="shared" si="257"/>
        <v>0</v>
      </c>
      <c r="DH123" s="64">
        <f t="shared" si="258"/>
        <v>768.2</v>
      </c>
      <c r="DI123" s="64">
        <f t="shared" si="259"/>
        <v>768.2</v>
      </c>
      <c r="DK123" s="64"/>
      <c r="DL123" s="64"/>
      <c r="DN123" s="64"/>
      <c r="DQ123" s="64">
        <f t="shared" si="260"/>
        <v>768.2</v>
      </c>
      <c r="DR123" s="64"/>
      <c r="DS123" s="74">
        <f>375.579+273.44133+119.17967</f>
        <v>768.2</v>
      </c>
      <c r="DT123" s="64"/>
      <c r="DU123" s="64"/>
      <c r="DV123" s="64">
        <f t="shared" si="261"/>
        <v>216.94087999999999</v>
      </c>
      <c r="DW123" s="64"/>
      <c r="DX123" s="64">
        <v>216.94087999999999</v>
      </c>
      <c r="DY123" s="64"/>
      <c r="DZ123" s="64"/>
      <c r="EA123" s="375"/>
      <c r="EB123" s="375"/>
      <c r="EC123" s="375"/>
      <c r="ED123" s="375"/>
      <c r="EE123" s="375"/>
      <c r="EF123" s="375"/>
      <c r="EG123" s="375"/>
      <c r="EH123" s="375"/>
      <c r="EI123" s="375"/>
      <c r="EJ123" s="375"/>
      <c r="EK123" s="375"/>
      <c r="EL123" s="375"/>
      <c r="EM123" s="375"/>
      <c r="EN123" s="375"/>
      <c r="EO123" s="375"/>
      <c r="EP123" s="375"/>
      <c r="EQ123" s="375"/>
      <c r="ER123" s="375"/>
      <c r="ES123" s="375"/>
      <c r="ET123" s="375"/>
      <c r="EU123" s="375"/>
      <c r="EV123" s="375"/>
      <c r="EW123" s="375"/>
      <c r="EX123" s="375"/>
      <c r="EY123" s="375"/>
      <c r="EZ123" s="375"/>
      <c r="FA123" s="375"/>
      <c r="FB123" s="375"/>
      <c r="FC123" s="375"/>
      <c r="FD123" s="375"/>
      <c r="FE123" s="375"/>
      <c r="FF123" s="375"/>
      <c r="FG123" s="375"/>
      <c r="FH123" s="375"/>
      <c r="FI123" s="375"/>
      <c r="FJ123" s="375"/>
      <c r="FK123" s="375"/>
      <c r="FL123" s="375"/>
      <c r="FM123" s="375"/>
      <c r="FN123" s="375"/>
      <c r="FO123" s="375"/>
      <c r="FP123" s="375"/>
      <c r="FQ123" s="375"/>
      <c r="FR123" s="375"/>
      <c r="FS123" s="375"/>
      <c r="FT123" s="375"/>
      <c r="FU123" s="375"/>
      <c r="FV123" s="375"/>
      <c r="FW123" s="375"/>
      <c r="FX123" s="375"/>
      <c r="FY123" s="375"/>
      <c r="FZ123" s="375"/>
      <c r="GA123" s="375"/>
      <c r="GB123" s="375"/>
      <c r="GC123" s="375"/>
      <c r="GD123" s="375"/>
      <c r="GE123" s="375"/>
      <c r="GF123" s="375"/>
      <c r="GG123" s="375"/>
      <c r="GH123" s="375"/>
      <c r="GI123" s="375"/>
      <c r="GJ123" s="375"/>
      <c r="GK123" s="375"/>
      <c r="GL123" s="375"/>
      <c r="GM123" s="375"/>
      <c r="GN123" s="375"/>
      <c r="GO123" s="375"/>
      <c r="GP123" s="375"/>
      <c r="GQ123" s="375"/>
      <c r="GR123" s="375"/>
    </row>
    <row r="124" spans="1:200" s="61" customFormat="1" ht="15.75" customHeight="1" x14ac:dyDescent="0.3">
      <c r="A124" s="280"/>
      <c r="B124" s="281"/>
      <c r="C124" s="282"/>
      <c r="D124" s="282">
        <v>1</v>
      </c>
      <c r="E124" s="4">
        <v>104</v>
      </c>
      <c r="F124" s="281"/>
      <c r="G124" s="282"/>
      <c r="H124" s="282">
        <v>1</v>
      </c>
      <c r="I124" s="466" t="s">
        <v>265</v>
      </c>
      <c r="J124" s="467"/>
      <c r="K124" s="467"/>
      <c r="L124" s="467"/>
      <c r="M124" s="4">
        <v>101</v>
      </c>
      <c r="N124" s="62" t="s">
        <v>216</v>
      </c>
      <c r="O124" s="62" t="s">
        <v>448</v>
      </c>
      <c r="P124" s="62" t="s">
        <v>448</v>
      </c>
      <c r="Q124" s="60">
        <f t="shared" si="164"/>
        <v>0</v>
      </c>
      <c r="R124" s="60">
        <f t="shared" si="165"/>
        <v>82.120999999999981</v>
      </c>
      <c r="S124" s="60">
        <f t="shared" si="166"/>
        <v>0</v>
      </c>
      <c r="T124" s="60">
        <v>1</v>
      </c>
      <c r="U124" s="60">
        <v>4</v>
      </c>
      <c r="V124" s="64">
        <f t="shared" si="240"/>
        <v>4088.6320000000001</v>
      </c>
      <c r="W124" s="64"/>
      <c r="X124" s="65">
        <v>724.5</v>
      </c>
      <c r="Y124" s="64">
        <v>3364.1320000000001</v>
      </c>
      <c r="Z124" s="73"/>
      <c r="AA124" s="64">
        <f t="shared" si="241"/>
        <v>3454.7350000000001</v>
      </c>
      <c r="AB124" s="64"/>
      <c r="AC124" s="65">
        <v>724.5</v>
      </c>
      <c r="AD124" s="64">
        <v>2730.2350000000001</v>
      </c>
      <c r="AE124" s="73"/>
      <c r="AF124" s="64">
        <f t="shared" si="242"/>
        <v>3454.7350000000001</v>
      </c>
      <c r="AG124" s="64"/>
      <c r="AH124" s="65">
        <v>724.5</v>
      </c>
      <c r="AI124" s="64">
        <v>2730.2350000000001</v>
      </c>
      <c r="AJ124" s="73"/>
      <c r="AK124" s="64">
        <f t="shared" si="243"/>
        <v>3045.2350000000001</v>
      </c>
      <c r="AL124" s="64"/>
      <c r="AM124" s="65">
        <v>315</v>
      </c>
      <c r="AN124" s="64">
        <v>2730.2350000000001</v>
      </c>
      <c r="AO124" s="73"/>
      <c r="AP124" s="64" t="s">
        <v>504</v>
      </c>
      <c r="AQ124" s="64">
        <f t="shared" si="244"/>
        <v>4088.6320000000001</v>
      </c>
      <c r="AR124" s="64"/>
      <c r="AS124" s="65">
        <f>315+409.5</f>
        <v>724.5</v>
      </c>
      <c r="AT124" s="64">
        <f>2730.235+633.897</f>
        <v>3364.1320000000001</v>
      </c>
      <c r="AU124" s="64"/>
      <c r="AV124" s="64">
        <f t="shared" si="152"/>
        <v>0</v>
      </c>
      <c r="AW124" s="64">
        <f t="shared" si="153"/>
        <v>0</v>
      </c>
      <c r="AX124" s="64">
        <f t="shared" si="154"/>
        <v>0</v>
      </c>
      <c r="AY124" s="64">
        <f t="shared" si="155"/>
        <v>0</v>
      </c>
      <c r="AZ124" s="64" t="e">
        <f>#REF!-AU124</f>
        <v>#REF!</v>
      </c>
      <c r="BA124" s="64">
        <f t="shared" si="245"/>
        <v>4088.6320000000001</v>
      </c>
      <c r="BB124" s="64"/>
      <c r="BC124" s="65">
        <f>315+409.5</f>
        <v>724.5</v>
      </c>
      <c r="BD124" s="64">
        <f>2730.235+633.897</f>
        <v>3364.1320000000001</v>
      </c>
      <c r="BE124" s="64"/>
      <c r="BF124" s="64">
        <f t="shared" si="246"/>
        <v>0</v>
      </c>
      <c r="BG124" s="64"/>
      <c r="BH124" s="65"/>
      <c r="BI124" s="64"/>
      <c r="BJ124" s="64"/>
      <c r="BK124" s="64">
        <f t="shared" si="247"/>
        <v>4088.6320000000001</v>
      </c>
      <c r="BL124" s="64"/>
      <c r="BM124" s="65">
        <f>315+409.5</f>
        <v>724.5</v>
      </c>
      <c r="BN124" s="64">
        <f>2730.235+633.897</f>
        <v>3364.1320000000001</v>
      </c>
      <c r="BO124" s="64"/>
      <c r="BP124" s="64">
        <f t="shared" si="248"/>
        <v>4006.511</v>
      </c>
      <c r="BQ124" s="64"/>
      <c r="BR124" s="74">
        <f>273+369.379</f>
        <v>642.37900000000002</v>
      </c>
      <c r="BS124" s="64">
        <f>1420.342+1943.79</f>
        <v>3364.1320000000001</v>
      </c>
      <c r="BT124" s="64"/>
      <c r="BU124" s="64">
        <f t="shared" si="249"/>
        <v>1335.87994</v>
      </c>
      <c r="BV124" s="64"/>
      <c r="BW124" s="64">
        <f>89.9+1.46464+123.12671</f>
        <v>214.49135000000001</v>
      </c>
      <c r="BX124" s="64">
        <f>100+373.448+647.94059</f>
        <v>1121.38859</v>
      </c>
      <c r="BY124" s="64"/>
      <c r="BZ124" s="60">
        <f t="shared" si="250"/>
        <v>5342.3909400000002</v>
      </c>
      <c r="CA124" s="64">
        <f t="shared" si="156"/>
        <v>5342.3909400000002</v>
      </c>
      <c r="CB124" s="64">
        <f t="shared" si="157"/>
        <v>0</v>
      </c>
      <c r="CC124" s="64">
        <f t="shared" si="158"/>
        <v>856.87035000000003</v>
      </c>
      <c r="CD124" s="64">
        <f t="shared" si="159"/>
        <v>4485.5205900000001</v>
      </c>
      <c r="CE124" s="64">
        <f t="shared" si="251"/>
        <v>0</v>
      </c>
      <c r="CF124" s="64">
        <f t="shared" si="160"/>
        <v>82.120999999999981</v>
      </c>
      <c r="CG124" s="64">
        <f t="shared" si="161"/>
        <v>0</v>
      </c>
      <c r="CH124" s="64">
        <f t="shared" si="162"/>
        <v>82.120999999999981</v>
      </c>
      <c r="CI124" s="64">
        <f t="shared" si="163"/>
        <v>0</v>
      </c>
      <c r="CJ124" s="64">
        <f t="shared" si="252"/>
        <v>0</v>
      </c>
      <c r="CK124" s="66"/>
      <c r="CL124" s="67"/>
      <c r="CM124" s="67"/>
      <c r="CN124" s="64">
        <f t="shared" si="253"/>
        <v>0</v>
      </c>
      <c r="CO124" s="64"/>
      <c r="CP124" s="65"/>
      <c r="CQ124" s="64"/>
      <c r="CR124" s="64"/>
      <c r="CS124" s="64">
        <f t="shared" si="254"/>
        <v>0</v>
      </c>
      <c r="CT124" s="64"/>
      <c r="CU124" s="65"/>
      <c r="CV124" s="64"/>
      <c r="CW124" s="64"/>
      <c r="CX124" s="64">
        <f t="shared" si="255"/>
        <v>0</v>
      </c>
      <c r="CY124" s="64">
        <f t="shared" si="256"/>
        <v>0</v>
      </c>
      <c r="CZ124" s="64">
        <f t="shared" si="256"/>
        <v>0</v>
      </c>
      <c r="DA124" s="64">
        <f t="shared" si="256"/>
        <v>0</v>
      </c>
      <c r="DB124" s="64">
        <f t="shared" si="256"/>
        <v>0</v>
      </c>
      <c r="DC124" s="64"/>
      <c r="DD124" s="64"/>
      <c r="DE124" s="64"/>
      <c r="DF124" s="64">
        <f t="shared" si="257"/>
        <v>82.120999999999981</v>
      </c>
      <c r="DH124" s="64">
        <f t="shared" si="258"/>
        <v>4088.6320000000001</v>
      </c>
      <c r="DI124" s="64">
        <f t="shared" si="259"/>
        <v>4006.511</v>
      </c>
      <c r="DK124" s="64"/>
      <c r="DL124" s="64"/>
      <c r="DN124" s="64"/>
      <c r="DQ124" s="64">
        <f t="shared" si="260"/>
        <v>642.37900000000002</v>
      </c>
      <c r="DR124" s="64"/>
      <c r="DS124" s="74">
        <f>273+369.379</f>
        <v>642.37900000000002</v>
      </c>
      <c r="DT124" s="64"/>
      <c r="DU124" s="64"/>
      <c r="DV124" s="64">
        <f t="shared" si="261"/>
        <v>91.364639999999994</v>
      </c>
      <c r="DW124" s="64"/>
      <c r="DX124" s="64">
        <v>91.364639999999994</v>
      </c>
      <c r="DY124" s="64"/>
      <c r="DZ124" s="64"/>
      <c r="EA124" s="375"/>
      <c r="EB124" s="375"/>
      <c r="EC124" s="375"/>
      <c r="ED124" s="375"/>
      <c r="EE124" s="375"/>
      <c r="EF124" s="375"/>
      <c r="EG124" s="375"/>
      <c r="EH124" s="375"/>
      <c r="EI124" s="375"/>
      <c r="EJ124" s="375"/>
      <c r="EK124" s="375"/>
      <c r="EL124" s="375"/>
      <c r="EM124" s="375"/>
      <c r="EN124" s="375"/>
      <c r="EO124" s="375"/>
      <c r="EP124" s="375"/>
      <c r="EQ124" s="375"/>
      <c r="ER124" s="375"/>
      <c r="ES124" s="375"/>
      <c r="ET124" s="375"/>
      <c r="EU124" s="375"/>
      <c r="EV124" s="375"/>
      <c r="EW124" s="375"/>
      <c r="EX124" s="375"/>
      <c r="EY124" s="375"/>
      <c r="EZ124" s="375"/>
      <c r="FA124" s="375"/>
      <c r="FB124" s="375"/>
      <c r="FC124" s="375"/>
      <c r="FD124" s="375"/>
      <c r="FE124" s="375"/>
      <c r="FF124" s="375"/>
      <c r="FG124" s="375"/>
      <c r="FH124" s="375"/>
      <c r="FI124" s="375"/>
      <c r="FJ124" s="375"/>
      <c r="FK124" s="375"/>
      <c r="FL124" s="375"/>
      <c r="FM124" s="375"/>
      <c r="FN124" s="375"/>
      <c r="FO124" s="375"/>
      <c r="FP124" s="375"/>
      <c r="FQ124" s="375"/>
      <c r="FR124" s="375"/>
      <c r="FS124" s="375"/>
      <c r="FT124" s="375"/>
      <c r="FU124" s="375"/>
      <c r="FV124" s="375"/>
      <c r="FW124" s="375"/>
      <c r="FX124" s="375"/>
      <c r="FY124" s="375"/>
      <c r="FZ124" s="375"/>
      <c r="GA124" s="375"/>
      <c r="GB124" s="375"/>
      <c r="GC124" s="375"/>
      <c r="GD124" s="375"/>
      <c r="GE124" s="375"/>
      <c r="GF124" s="375"/>
      <c r="GG124" s="375"/>
      <c r="GH124" s="375"/>
      <c r="GI124" s="375"/>
      <c r="GJ124" s="375"/>
      <c r="GK124" s="375"/>
      <c r="GL124" s="375"/>
      <c r="GM124" s="375"/>
      <c r="GN124" s="375"/>
      <c r="GO124" s="375"/>
      <c r="GP124" s="375"/>
      <c r="GQ124" s="375"/>
      <c r="GR124" s="375"/>
    </row>
    <row r="125" spans="1:200" s="61" customFormat="1" ht="15.75" customHeight="1" x14ac:dyDescent="0.3">
      <c r="A125" s="280"/>
      <c r="B125" s="281"/>
      <c r="C125" s="282"/>
      <c r="D125" s="282">
        <v>1</v>
      </c>
      <c r="E125" s="4">
        <v>105</v>
      </c>
      <c r="F125" s="281"/>
      <c r="G125" s="282"/>
      <c r="H125" s="282">
        <v>1</v>
      </c>
      <c r="I125" s="478">
        <v>7</v>
      </c>
      <c r="J125" s="478" t="s">
        <v>265</v>
      </c>
      <c r="K125" s="291" t="s">
        <v>278</v>
      </c>
      <c r="L125" s="286">
        <v>5724.6031400000002</v>
      </c>
      <c r="M125" s="4">
        <v>102</v>
      </c>
      <c r="N125" s="62" t="s">
        <v>215</v>
      </c>
      <c r="O125" s="62" t="s">
        <v>448</v>
      </c>
      <c r="P125" s="62" t="s">
        <v>450</v>
      </c>
      <c r="Q125" s="60">
        <f t="shared" si="164"/>
        <v>0</v>
      </c>
      <c r="R125" s="60">
        <f t="shared" si="165"/>
        <v>17.013059999999996</v>
      </c>
      <c r="S125" s="60">
        <f t="shared" si="166"/>
        <v>0</v>
      </c>
      <c r="T125" s="60">
        <v>1</v>
      </c>
      <c r="U125" s="60">
        <v>2</v>
      </c>
      <c r="V125" s="64">
        <f t="shared" si="240"/>
        <v>779.7</v>
      </c>
      <c r="W125" s="64"/>
      <c r="X125" s="65">
        <v>779.7</v>
      </c>
      <c r="Y125" s="64"/>
      <c r="Z125" s="78"/>
      <c r="AA125" s="64">
        <f t="shared" si="241"/>
        <v>779.7</v>
      </c>
      <c r="AB125" s="64"/>
      <c r="AC125" s="65">
        <v>779.7</v>
      </c>
      <c r="AD125" s="64"/>
      <c r="AE125" s="78"/>
      <c r="AF125" s="64">
        <f t="shared" si="242"/>
        <v>779.7</v>
      </c>
      <c r="AG125" s="64"/>
      <c r="AH125" s="65">
        <v>779.7</v>
      </c>
      <c r="AI125" s="64"/>
      <c r="AJ125" s="78"/>
      <c r="AK125" s="64">
        <f t="shared" si="243"/>
        <v>339</v>
      </c>
      <c r="AL125" s="64"/>
      <c r="AM125" s="65">
        <v>339</v>
      </c>
      <c r="AN125" s="64"/>
      <c r="AO125" s="78"/>
      <c r="AP125" s="64" t="s">
        <v>501</v>
      </c>
      <c r="AQ125" s="64">
        <f t="shared" si="244"/>
        <v>779.7</v>
      </c>
      <c r="AR125" s="64"/>
      <c r="AS125" s="65">
        <f>339+440.7</f>
        <v>779.7</v>
      </c>
      <c r="AT125" s="64"/>
      <c r="AU125" s="64"/>
      <c r="AV125" s="64">
        <f t="shared" si="152"/>
        <v>0</v>
      </c>
      <c r="AW125" s="64">
        <f t="shared" si="153"/>
        <v>0</v>
      </c>
      <c r="AX125" s="64">
        <f t="shared" si="154"/>
        <v>0</v>
      </c>
      <c r="AY125" s="64">
        <f t="shared" si="155"/>
        <v>0</v>
      </c>
      <c r="AZ125" s="64" t="e">
        <f>#REF!-AU125</f>
        <v>#REF!</v>
      </c>
      <c r="BA125" s="64">
        <f t="shared" si="245"/>
        <v>779.7</v>
      </c>
      <c r="BB125" s="64"/>
      <c r="BC125" s="65">
        <f>339+440.7</f>
        <v>779.7</v>
      </c>
      <c r="BD125" s="64"/>
      <c r="BE125" s="64"/>
      <c r="BF125" s="64">
        <f t="shared" si="246"/>
        <v>0</v>
      </c>
      <c r="BG125" s="64"/>
      <c r="BH125" s="73"/>
      <c r="BI125" s="64"/>
      <c r="BJ125" s="64"/>
      <c r="BK125" s="64">
        <f t="shared" si="247"/>
        <v>779.7</v>
      </c>
      <c r="BL125" s="64"/>
      <c r="BM125" s="65">
        <f>339+440.7</f>
        <v>779.7</v>
      </c>
      <c r="BN125" s="64"/>
      <c r="BO125" s="64"/>
      <c r="BP125" s="64">
        <f t="shared" si="248"/>
        <v>762.68694000000005</v>
      </c>
      <c r="BQ125" s="64"/>
      <c r="BR125" s="74">
        <f>423.68694+339</f>
        <v>762.68694000000005</v>
      </c>
      <c r="BS125" s="64"/>
      <c r="BT125" s="64"/>
      <c r="BU125" s="64">
        <f t="shared" si="249"/>
        <v>326.19027999999997</v>
      </c>
      <c r="BV125" s="64"/>
      <c r="BW125" s="64">
        <f>124.21592+184.9613+17.01306</f>
        <v>326.19027999999997</v>
      </c>
      <c r="BX125" s="64"/>
      <c r="BY125" s="64"/>
      <c r="BZ125" s="60">
        <f t="shared" si="250"/>
        <v>1088.8772200000001</v>
      </c>
      <c r="CA125" s="64">
        <f t="shared" si="156"/>
        <v>1088.8772200000001</v>
      </c>
      <c r="CB125" s="64">
        <f t="shared" si="157"/>
        <v>0</v>
      </c>
      <c r="CC125" s="64">
        <f t="shared" si="158"/>
        <v>1088.8772200000001</v>
      </c>
      <c r="CD125" s="64">
        <f t="shared" si="159"/>
        <v>0</v>
      </c>
      <c r="CE125" s="64">
        <f t="shared" si="251"/>
        <v>0</v>
      </c>
      <c r="CF125" s="64">
        <f t="shared" si="160"/>
        <v>17.013059999999996</v>
      </c>
      <c r="CG125" s="64">
        <f t="shared" si="161"/>
        <v>0</v>
      </c>
      <c r="CH125" s="64">
        <f t="shared" si="162"/>
        <v>17.013059999999996</v>
      </c>
      <c r="CI125" s="64">
        <f t="shared" si="163"/>
        <v>0</v>
      </c>
      <c r="CJ125" s="64">
        <f t="shared" si="252"/>
        <v>0</v>
      </c>
      <c r="CK125" s="66"/>
      <c r="CL125" s="67"/>
      <c r="CM125" s="67"/>
      <c r="CN125" s="64">
        <f t="shared" si="253"/>
        <v>0</v>
      </c>
      <c r="CO125" s="64"/>
      <c r="CP125" s="73"/>
      <c r="CQ125" s="64"/>
      <c r="CR125" s="64"/>
      <c r="CS125" s="64">
        <f t="shared" si="254"/>
        <v>0</v>
      </c>
      <c r="CT125" s="64"/>
      <c r="CU125" s="73"/>
      <c r="CV125" s="64"/>
      <c r="CW125" s="64"/>
      <c r="CX125" s="64">
        <f t="shared" si="255"/>
        <v>0</v>
      </c>
      <c r="CY125" s="64">
        <f t="shared" si="256"/>
        <v>0</v>
      </c>
      <c r="CZ125" s="64">
        <f t="shared" si="256"/>
        <v>0</v>
      </c>
      <c r="DA125" s="64">
        <f t="shared" si="256"/>
        <v>0</v>
      </c>
      <c r="DB125" s="64">
        <f t="shared" si="256"/>
        <v>0</v>
      </c>
      <c r="DC125" s="64"/>
      <c r="DD125" s="64"/>
      <c r="DE125" s="64"/>
      <c r="DF125" s="64">
        <f t="shared" si="257"/>
        <v>17.013059999999996</v>
      </c>
      <c r="DH125" s="64">
        <f t="shared" si="258"/>
        <v>779.7</v>
      </c>
      <c r="DI125" s="64">
        <f t="shared" si="259"/>
        <v>762.68694000000005</v>
      </c>
      <c r="DK125" s="64"/>
      <c r="DL125" s="64"/>
      <c r="DN125" s="64"/>
      <c r="DQ125" s="64">
        <f t="shared" si="260"/>
        <v>762.68694000000005</v>
      </c>
      <c r="DR125" s="64"/>
      <c r="DS125" s="74">
        <f>423.68694+339</f>
        <v>762.68694000000005</v>
      </c>
      <c r="DT125" s="64"/>
      <c r="DU125" s="64"/>
      <c r="DV125" s="64">
        <f t="shared" si="261"/>
        <v>309.17721999999998</v>
      </c>
      <c r="DW125" s="64"/>
      <c r="DX125" s="64">
        <v>309.17721999999998</v>
      </c>
      <c r="DY125" s="64"/>
      <c r="DZ125" s="64"/>
      <c r="EA125" s="375"/>
      <c r="EB125" s="375"/>
      <c r="EC125" s="375"/>
      <c r="ED125" s="375"/>
      <c r="EE125" s="375"/>
      <c r="EF125" s="375"/>
      <c r="EG125" s="375"/>
      <c r="EH125" s="375"/>
      <c r="EI125" s="375"/>
      <c r="EJ125" s="375"/>
      <c r="EK125" s="375"/>
      <c r="EL125" s="375"/>
      <c r="EM125" s="375"/>
      <c r="EN125" s="375"/>
      <c r="EO125" s="375"/>
      <c r="EP125" s="375"/>
      <c r="EQ125" s="375"/>
      <c r="ER125" s="375"/>
      <c r="ES125" s="375"/>
      <c r="ET125" s="375"/>
      <c r="EU125" s="375"/>
      <c r="EV125" s="375"/>
      <c r="EW125" s="375"/>
      <c r="EX125" s="375"/>
      <c r="EY125" s="375"/>
      <c r="EZ125" s="375"/>
      <c r="FA125" s="375"/>
      <c r="FB125" s="375"/>
      <c r="FC125" s="375"/>
      <c r="FD125" s="375"/>
      <c r="FE125" s="375"/>
      <c r="FF125" s="375"/>
      <c r="FG125" s="375"/>
      <c r="FH125" s="375"/>
      <c r="FI125" s="375"/>
      <c r="FJ125" s="375"/>
      <c r="FK125" s="375"/>
      <c r="FL125" s="375"/>
      <c r="FM125" s="375"/>
      <c r="FN125" s="375"/>
      <c r="FO125" s="375"/>
      <c r="FP125" s="375"/>
      <c r="FQ125" s="375"/>
      <c r="FR125" s="375"/>
      <c r="FS125" s="375"/>
      <c r="FT125" s="375"/>
      <c r="FU125" s="375"/>
      <c r="FV125" s="375"/>
      <c r="FW125" s="375"/>
      <c r="FX125" s="375"/>
      <c r="FY125" s="375"/>
      <c r="FZ125" s="375"/>
      <c r="GA125" s="375"/>
      <c r="GB125" s="375"/>
      <c r="GC125" s="375"/>
      <c r="GD125" s="375"/>
      <c r="GE125" s="375"/>
      <c r="GF125" s="375"/>
      <c r="GG125" s="375"/>
      <c r="GH125" s="375"/>
      <c r="GI125" s="375"/>
      <c r="GJ125" s="375"/>
      <c r="GK125" s="375"/>
      <c r="GL125" s="375"/>
      <c r="GM125" s="375"/>
      <c r="GN125" s="375"/>
      <c r="GO125" s="375"/>
      <c r="GP125" s="375"/>
      <c r="GQ125" s="375"/>
      <c r="GR125" s="375"/>
    </row>
    <row r="126" spans="1:200" s="61" customFormat="1" ht="15.75" customHeight="1" x14ac:dyDescent="0.3">
      <c r="A126" s="280"/>
      <c r="B126" s="281"/>
      <c r="C126" s="282"/>
      <c r="D126" s="282">
        <v>1</v>
      </c>
      <c r="E126" s="4">
        <v>106</v>
      </c>
      <c r="F126" s="281"/>
      <c r="G126" s="282"/>
      <c r="H126" s="282"/>
      <c r="I126" s="478"/>
      <c r="J126" s="478"/>
      <c r="K126" s="291" t="s">
        <v>279</v>
      </c>
      <c r="L126" s="286">
        <v>9110.3080000000009</v>
      </c>
      <c r="M126" s="4">
        <v>103</v>
      </c>
      <c r="N126" s="62" t="s">
        <v>214</v>
      </c>
      <c r="O126" s="62" t="s">
        <v>448</v>
      </c>
      <c r="P126" s="62" t="s">
        <v>448</v>
      </c>
      <c r="Q126" s="60">
        <f t="shared" si="164"/>
        <v>0</v>
      </c>
      <c r="R126" s="60">
        <f t="shared" si="165"/>
        <v>4.9335000000000946</v>
      </c>
      <c r="S126" s="60">
        <f t="shared" si="166"/>
        <v>0</v>
      </c>
      <c r="T126" s="60">
        <v>1</v>
      </c>
      <c r="U126" s="60">
        <v>2</v>
      </c>
      <c r="V126" s="64">
        <f t="shared" si="240"/>
        <v>986.7</v>
      </c>
      <c r="W126" s="64"/>
      <c r="X126" s="65">
        <v>986.7</v>
      </c>
      <c r="Y126" s="64"/>
      <c r="Z126" s="73"/>
      <c r="AA126" s="64">
        <f t="shared" si="241"/>
        <v>986.7</v>
      </c>
      <c r="AB126" s="64"/>
      <c r="AC126" s="65">
        <v>986.7</v>
      </c>
      <c r="AD126" s="64"/>
      <c r="AE126" s="73"/>
      <c r="AF126" s="64">
        <f t="shared" si="242"/>
        <v>986.7</v>
      </c>
      <c r="AG126" s="64"/>
      <c r="AH126" s="65">
        <v>986.7</v>
      </c>
      <c r="AI126" s="64"/>
      <c r="AJ126" s="73"/>
      <c r="AK126" s="64">
        <f t="shared" si="243"/>
        <v>429</v>
      </c>
      <c r="AL126" s="64"/>
      <c r="AM126" s="65">
        <v>429</v>
      </c>
      <c r="AN126" s="64"/>
      <c r="AO126" s="73"/>
      <c r="AP126" s="64" t="s">
        <v>546</v>
      </c>
      <c r="AQ126" s="64">
        <f t="shared" si="244"/>
        <v>986.7</v>
      </c>
      <c r="AR126" s="64"/>
      <c r="AS126" s="65">
        <f>429+557.7</f>
        <v>986.7</v>
      </c>
      <c r="AT126" s="64"/>
      <c r="AU126" s="64"/>
      <c r="AV126" s="64">
        <f t="shared" si="152"/>
        <v>0</v>
      </c>
      <c r="AW126" s="64">
        <f t="shared" si="153"/>
        <v>0</v>
      </c>
      <c r="AX126" s="64">
        <f t="shared" si="154"/>
        <v>0</v>
      </c>
      <c r="AY126" s="64">
        <f t="shared" si="155"/>
        <v>0</v>
      </c>
      <c r="AZ126" s="64" t="e">
        <f>#REF!-AU126</f>
        <v>#REF!</v>
      </c>
      <c r="BA126" s="64">
        <f t="shared" si="245"/>
        <v>986.7</v>
      </c>
      <c r="BB126" s="64"/>
      <c r="BC126" s="65">
        <f>429+557.7</f>
        <v>986.7</v>
      </c>
      <c r="BD126" s="64"/>
      <c r="BE126" s="64"/>
      <c r="BF126" s="64">
        <f t="shared" si="246"/>
        <v>0</v>
      </c>
      <c r="BG126" s="64"/>
      <c r="BH126" s="64"/>
      <c r="BI126" s="64"/>
      <c r="BJ126" s="64"/>
      <c r="BK126" s="64">
        <f t="shared" si="247"/>
        <v>986.7</v>
      </c>
      <c r="BL126" s="64"/>
      <c r="BM126" s="65">
        <f>429+557.7</f>
        <v>986.7</v>
      </c>
      <c r="BN126" s="64"/>
      <c r="BO126" s="64"/>
      <c r="BP126" s="64">
        <f t="shared" si="248"/>
        <v>981.76649999999995</v>
      </c>
      <c r="BQ126" s="64"/>
      <c r="BR126" s="64">
        <v>981.76649999999995</v>
      </c>
      <c r="BS126" s="64"/>
      <c r="BT126" s="64"/>
      <c r="BU126" s="64">
        <f t="shared" si="249"/>
        <v>2060.5076899999999</v>
      </c>
      <c r="BV126" s="64"/>
      <c r="BW126" s="64">
        <v>2060.5076899999999</v>
      </c>
      <c r="BX126" s="64"/>
      <c r="BY126" s="64"/>
      <c r="BZ126" s="60">
        <f t="shared" si="250"/>
        <v>3042.2741900000001</v>
      </c>
      <c r="CA126" s="64">
        <f t="shared" si="156"/>
        <v>3042.2741900000001</v>
      </c>
      <c r="CB126" s="64">
        <f t="shared" si="157"/>
        <v>0</v>
      </c>
      <c r="CC126" s="64">
        <f t="shared" si="158"/>
        <v>3042.2741900000001</v>
      </c>
      <c r="CD126" s="64">
        <f t="shared" si="159"/>
        <v>0</v>
      </c>
      <c r="CE126" s="64">
        <f t="shared" si="251"/>
        <v>0</v>
      </c>
      <c r="CF126" s="64">
        <f t="shared" si="160"/>
        <v>4.9335000000000946</v>
      </c>
      <c r="CG126" s="64">
        <f t="shared" si="161"/>
        <v>0</v>
      </c>
      <c r="CH126" s="64">
        <f t="shared" si="162"/>
        <v>4.9335000000000946</v>
      </c>
      <c r="CI126" s="64">
        <f t="shared" si="163"/>
        <v>0</v>
      </c>
      <c r="CJ126" s="64">
        <f t="shared" si="252"/>
        <v>0</v>
      </c>
      <c r="CK126" s="66"/>
      <c r="CL126" s="67"/>
      <c r="CM126" s="67"/>
      <c r="CN126" s="64">
        <f t="shared" si="253"/>
        <v>0</v>
      </c>
      <c r="CO126" s="64"/>
      <c r="CP126" s="64"/>
      <c r="CQ126" s="64"/>
      <c r="CR126" s="64"/>
      <c r="CS126" s="64">
        <f t="shared" si="254"/>
        <v>0</v>
      </c>
      <c r="CT126" s="64"/>
      <c r="CU126" s="64"/>
      <c r="CV126" s="64"/>
      <c r="CW126" s="64"/>
      <c r="CX126" s="64">
        <f t="shared" si="255"/>
        <v>0</v>
      </c>
      <c r="CY126" s="64">
        <f t="shared" si="256"/>
        <v>0</v>
      </c>
      <c r="CZ126" s="64">
        <f t="shared" si="256"/>
        <v>0</v>
      </c>
      <c r="DA126" s="64">
        <f t="shared" si="256"/>
        <v>0</v>
      </c>
      <c r="DB126" s="64">
        <f t="shared" si="256"/>
        <v>0</v>
      </c>
      <c r="DC126" s="64"/>
      <c r="DD126" s="64"/>
      <c r="DE126" s="64"/>
      <c r="DF126" s="64">
        <f t="shared" si="257"/>
        <v>4.9335000000000946</v>
      </c>
      <c r="DH126" s="64">
        <f t="shared" si="258"/>
        <v>986.7</v>
      </c>
      <c r="DI126" s="64">
        <f t="shared" si="259"/>
        <v>981.76649999999995</v>
      </c>
      <c r="DK126" s="64"/>
      <c r="DL126" s="64"/>
      <c r="DN126" s="64"/>
      <c r="DQ126" s="64">
        <f t="shared" si="260"/>
        <v>981.76649999999995</v>
      </c>
      <c r="DR126" s="64"/>
      <c r="DS126" s="64">
        <v>981.76649999999995</v>
      </c>
      <c r="DT126" s="64"/>
      <c r="DU126" s="64"/>
      <c r="DV126" s="64">
        <f t="shared" si="261"/>
        <v>0</v>
      </c>
      <c r="DW126" s="64"/>
      <c r="DX126" s="64"/>
      <c r="DY126" s="64"/>
      <c r="DZ126" s="64"/>
      <c r="EA126" s="375"/>
      <c r="EB126" s="375"/>
      <c r="EC126" s="375"/>
      <c r="ED126" s="375"/>
      <c r="EE126" s="375"/>
      <c r="EF126" s="375"/>
      <c r="EG126" s="375"/>
      <c r="EH126" s="375"/>
      <c r="EI126" s="375"/>
      <c r="EJ126" s="375"/>
      <c r="EK126" s="375"/>
      <c r="EL126" s="375"/>
      <c r="EM126" s="375"/>
      <c r="EN126" s="375"/>
      <c r="EO126" s="375"/>
      <c r="EP126" s="375"/>
      <c r="EQ126" s="375"/>
      <c r="ER126" s="375"/>
      <c r="ES126" s="375"/>
      <c r="ET126" s="375"/>
      <c r="EU126" s="375"/>
      <c r="EV126" s="375"/>
      <c r="EW126" s="375"/>
      <c r="EX126" s="375"/>
      <c r="EY126" s="375"/>
      <c r="EZ126" s="375"/>
      <c r="FA126" s="375"/>
      <c r="FB126" s="375"/>
      <c r="FC126" s="375"/>
      <c r="FD126" s="375"/>
      <c r="FE126" s="375"/>
      <c r="FF126" s="375"/>
      <c r="FG126" s="375"/>
      <c r="FH126" s="375"/>
      <c r="FI126" s="375"/>
      <c r="FJ126" s="375"/>
      <c r="FK126" s="375"/>
      <c r="FL126" s="375"/>
      <c r="FM126" s="375"/>
      <c r="FN126" s="375"/>
      <c r="FO126" s="375"/>
      <c r="FP126" s="375"/>
      <c r="FQ126" s="375"/>
      <c r="FR126" s="375"/>
      <c r="FS126" s="375"/>
      <c r="FT126" s="375"/>
      <c r="FU126" s="375"/>
      <c r="FV126" s="375"/>
      <c r="FW126" s="375"/>
      <c r="FX126" s="375"/>
      <c r="FY126" s="375"/>
      <c r="FZ126" s="375"/>
      <c r="GA126" s="375"/>
      <c r="GB126" s="375"/>
      <c r="GC126" s="375"/>
      <c r="GD126" s="375"/>
      <c r="GE126" s="375"/>
      <c r="GF126" s="375"/>
      <c r="GG126" s="375"/>
      <c r="GH126" s="375"/>
      <c r="GI126" s="375"/>
      <c r="GJ126" s="375"/>
      <c r="GK126" s="375"/>
      <c r="GL126" s="375"/>
      <c r="GM126" s="375"/>
      <c r="GN126" s="375"/>
      <c r="GO126" s="375"/>
      <c r="GP126" s="375"/>
      <c r="GQ126" s="375"/>
      <c r="GR126" s="375"/>
    </row>
    <row r="127" spans="1:200" s="61" customFormat="1" ht="15.75" customHeight="1" x14ac:dyDescent="0.3">
      <c r="A127" s="280"/>
      <c r="B127" s="281"/>
      <c r="C127" s="282"/>
      <c r="D127" s="282">
        <v>1</v>
      </c>
      <c r="E127" s="4">
        <v>107</v>
      </c>
      <c r="F127" s="281"/>
      <c r="G127" s="282"/>
      <c r="H127" s="282">
        <v>1</v>
      </c>
      <c r="I127" s="474" t="s">
        <v>270</v>
      </c>
      <c r="J127" s="475"/>
      <c r="K127" s="475"/>
      <c r="L127" s="288">
        <f>L126+L125</f>
        <v>14834.91114</v>
      </c>
      <c r="M127" s="4">
        <v>104</v>
      </c>
      <c r="N127" s="62" t="s">
        <v>213</v>
      </c>
      <c r="O127" s="62" t="s">
        <v>448</v>
      </c>
      <c r="P127" s="62" t="s">
        <v>448</v>
      </c>
      <c r="Q127" s="60">
        <f t="shared" si="164"/>
        <v>0</v>
      </c>
      <c r="R127" s="60">
        <f t="shared" si="165"/>
        <v>5.2899999999999636</v>
      </c>
      <c r="S127" s="60">
        <f t="shared" si="166"/>
        <v>0</v>
      </c>
      <c r="T127" s="60">
        <v>1</v>
      </c>
      <c r="U127" s="60">
        <v>2</v>
      </c>
      <c r="V127" s="64">
        <f t="shared" si="240"/>
        <v>529</v>
      </c>
      <c r="W127" s="64"/>
      <c r="X127" s="65">
        <v>529</v>
      </c>
      <c r="Y127" s="64"/>
      <c r="Z127" s="73"/>
      <c r="AA127" s="64">
        <f t="shared" si="241"/>
        <v>529</v>
      </c>
      <c r="AB127" s="64"/>
      <c r="AC127" s="65">
        <v>529</v>
      </c>
      <c r="AD127" s="64"/>
      <c r="AE127" s="73"/>
      <c r="AF127" s="64">
        <f t="shared" si="242"/>
        <v>529</v>
      </c>
      <c r="AG127" s="64"/>
      <c r="AH127" s="65">
        <v>529</v>
      </c>
      <c r="AI127" s="64"/>
      <c r="AJ127" s="73"/>
      <c r="AK127" s="64">
        <f t="shared" si="243"/>
        <v>230</v>
      </c>
      <c r="AL127" s="64"/>
      <c r="AM127" s="65">
        <v>230</v>
      </c>
      <c r="AN127" s="64"/>
      <c r="AO127" s="73"/>
      <c r="AP127" s="64" t="s">
        <v>483</v>
      </c>
      <c r="AQ127" s="64">
        <f t="shared" si="244"/>
        <v>529</v>
      </c>
      <c r="AR127" s="64"/>
      <c r="AS127" s="65">
        <f>230+299</f>
        <v>529</v>
      </c>
      <c r="AT127" s="64"/>
      <c r="AU127" s="73"/>
      <c r="AV127" s="64">
        <f t="shared" si="152"/>
        <v>0</v>
      </c>
      <c r="AW127" s="64">
        <f t="shared" si="153"/>
        <v>0</v>
      </c>
      <c r="AX127" s="64">
        <f t="shared" si="154"/>
        <v>0</v>
      </c>
      <c r="AY127" s="64">
        <f t="shared" si="155"/>
        <v>0</v>
      </c>
      <c r="AZ127" s="64" t="e">
        <f>#REF!-AU127</f>
        <v>#REF!</v>
      </c>
      <c r="BA127" s="64">
        <f t="shared" si="245"/>
        <v>529</v>
      </c>
      <c r="BB127" s="64"/>
      <c r="BC127" s="65">
        <f>230+299</f>
        <v>529</v>
      </c>
      <c r="BD127" s="64"/>
      <c r="BE127" s="73"/>
      <c r="BF127" s="64">
        <f t="shared" si="246"/>
        <v>0</v>
      </c>
      <c r="BG127" s="64"/>
      <c r="BH127" s="65"/>
      <c r="BI127" s="64"/>
      <c r="BJ127" s="73"/>
      <c r="BK127" s="64">
        <f t="shared" si="247"/>
        <v>529</v>
      </c>
      <c r="BL127" s="64"/>
      <c r="BM127" s="65">
        <f>230+299</f>
        <v>529</v>
      </c>
      <c r="BN127" s="64"/>
      <c r="BO127" s="74"/>
      <c r="BP127" s="64">
        <f t="shared" si="248"/>
        <v>523.71</v>
      </c>
      <c r="BQ127" s="64"/>
      <c r="BR127" s="74">
        <f>288.09+235.62</f>
        <v>523.71</v>
      </c>
      <c r="BS127" s="64"/>
      <c r="BT127" s="74"/>
      <c r="BU127" s="64">
        <f t="shared" si="249"/>
        <v>181.4786</v>
      </c>
      <c r="BV127" s="64"/>
      <c r="BW127" s="64">
        <f>101.7839+13+66.6947</f>
        <v>181.4786</v>
      </c>
      <c r="BX127" s="64"/>
      <c r="BY127" s="64"/>
      <c r="BZ127" s="60">
        <f t="shared" si="250"/>
        <v>705.18860000000006</v>
      </c>
      <c r="CA127" s="64">
        <f t="shared" si="156"/>
        <v>705.18860000000006</v>
      </c>
      <c r="CB127" s="64">
        <f t="shared" si="157"/>
        <v>0</v>
      </c>
      <c r="CC127" s="64">
        <f t="shared" si="158"/>
        <v>705.18860000000006</v>
      </c>
      <c r="CD127" s="64">
        <f t="shared" si="159"/>
        <v>0</v>
      </c>
      <c r="CE127" s="64">
        <f t="shared" si="251"/>
        <v>0</v>
      </c>
      <c r="CF127" s="64">
        <f t="shared" si="160"/>
        <v>5.2899999999999636</v>
      </c>
      <c r="CG127" s="64">
        <f t="shared" si="161"/>
        <v>0</v>
      </c>
      <c r="CH127" s="64">
        <f t="shared" si="162"/>
        <v>5.2899999999999636</v>
      </c>
      <c r="CI127" s="64">
        <f t="shared" si="163"/>
        <v>0</v>
      </c>
      <c r="CJ127" s="64">
        <f t="shared" si="252"/>
        <v>0</v>
      </c>
      <c r="CK127" s="66"/>
      <c r="CL127" s="67"/>
      <c r="CM127" s="67"/>
      <c r="CN127" s="64">
        <f t="shared" si="253"/>
        <v>0</v>
      </c>
      <c r="CO127" s="64"/>
      <c r="CP127" s="65"/>
      <c r="CQ127" s="64"/>
      <c r="CR127" s="73"/>
      <c r="CS127" s="64">
        <f t="shared" si="254"/>
        <v>0</v>
      </c>
      <c r="CT127" s="64"/>
      <c r="CU127" s="65"/>
      <c r="CV127" s="64"/>
      <c r="CW127" s="73"/>
      <c r="CX127" s="64">
        <f t="shared" si="255"/>
        <v>0</v>
      </c>
      <c r="CY127" s="64">
        <f t="shared" si="256"/>
        <v>0</v>
      </c>
      <c r="CZ127" s="64">
        <f t="shared" si="256"/>
        <v>0</v>
      </c>
      <c r="DA127" s="64">
        <f t="shared" si="256"/>
        <v>0</v>
      </c>
      <c r="DB127" s="64">
        <f t="shared" si="256"/>
        <v>0</v>
      </c>
      <c r="DC127" s="64"/>
      <c r="DD127" s="64"/>
      <c r="DE127" s="64"/>
      <c r="DF127" s="64">
        <f t="shared" si="257"/>
        <v>5.2899999999999636</v>
      </c>
      <c r="DH127" s="64">
        <f t="shared" si="258"/>
        <v>529</v>
      </c>
      <c r="DI127" s="64">
        <f t="shared" si="259"/>
        <v>523.71</v>
      </c>
      <c r="DK127" s="64"/>
      <c r="DL127" s="64"/>
      <c r="DN127" s="64"/>
      <c r="DQ127" s="64">
        <f t="shared" si="260"/>
        <v>523.71</v>
      </c>
      <c r="DR127" s="64"/>
      <c r="DS127" s="74">
        <f>288.09+235.62</f>
        <v>523.71</v>
      </c>
      <c r="DT127" s="64"/>
      <c r="DU127" s="74"/>
      <c r="DV127" s="64">
        <f t="shared" si="261"/>
        <v>181.4786</v>
      </c>
      <c r="DW127" s="64"/>
      <c r="DX127" s="64">
        <v>181.4786</v>
      </c>
      <c r="DY127" s="64"/>
      <c r="DZ127" s="64"/>
      <c r="EA127" s="375"/>
      <c r="EB127" s="375"/>
      <c r="EC127" s="375"/>
      <c r="ED127" s="375"/>
      <c r="EE127" s="375"/>
      <c r="EF127" s="375"/>
      <c r="EG127" s="375"/>
      <c r="EH127" s="375"/>
      <c r="EI127" s="375"/>
      <c r="EJ127" s="375"/>
      <c r="EK127" s="375"/>
      <c r="EL127" s="375"/>
      <c r="EM127" s="375"/>
      <c r="EN127" s="375"/>
      <c r="EO127" s="375"/>
      <c r="EP127" s="375"/>
      <c r="EQ127" s="375"/>
      <c r="ER127" s="375"/>
      <c r="ES127" s="375"/>
      <c r="ET127" s="375"/>
      <c r="EU127" s="375"/>
      <c r="EV127" s="375"/>
      <c r="EW127" s="375"/>
      <c r="EX127" s="375"/>
      <c r="EY127" s="375"/>
      <c r="EZ127" s="375"/>
      <c r="FA127" s="375"/>
      <c r="FB127" s="375"/>
      <c r="FC127" s="375"/>
      <c r="FD127" s="375"/>
      <c r="FE127" s="375"/>
      <c r="FF127" s="375"/>
      <c r="FG127" s="375"/>
      <c r="FH127" s="375"/>
      <c r="FI127" s="375"/>
      <c r="FJ127" s="375"/>
      <c r="FK127" s="375"/>
      <c r="FL127" s="375"/>
      <c r="FM127" s="375"/>
      <c r="FN127" s="375"/>
      <c r="FO127" s="375"/>
      <c r="FP127" s="375"/>
      <c r="FQ127" s="375"/>
      <c r="FR127" s="375"/>
      <c r="FS127" s="375"/>
      <c r="FT127" s="375"/>
      <c r="FU127" s="375"/>
      <c r="FV127" s="375"/>
      <c r="FW127" s="375"/>
      <c r="FX127" s="375"/>
      <c r="FY127" s="375"/>
      <c r="FZ127" s="375"/>
      <c r="GA127" s="375"/>
      <c r="GB127" s="375"/>
      <c r="GC127" s="375"/>
      <c r="GD127" s="375"/>
      <c r="GE127" s="375"/>
      <c r="GF127" s="375"/>
      <c r="GG127" s="375"/>
      <c r="GH127" s="375"/>
      <c r="GI127" s="375"/>
      <c r="GJ127" s="375"/>
      <c r="GK127" s="375"/>
      <c r="GL127" s="375"/>
      <c r="GM127" s="375"/>
      <c r="GN127" s="375"/>
      <c r="GO127" s="375"/>
      <c r="GP127" s="375"/>
      <c r="GQ127" s="375"/>
      <c r="GR127" s="375"/>
    </row>
    <row r="128" spans="1:200" s="48" customFormat="1" ht="23.25" customHeight="1" x14ac:dyDescent="0.3">
      <c r="A128" s="276"/>
      <c r="B128" s="277"/>
      <c r="C128" s="278"/>
      <c r="D128" s="278"/>
      <c r="E128" s="279"/>
      <c r="F128" s="277"/>
      <c r="G128" s="278"/>
      <c r="H128" s="278"/>
      <c r="I128" s="476" t="s">
        <v>4</v>
      </c>
      <c r="J128" s="477"/>
      <c r="K128" s="477"/>
      <c r="L128" s="477"/>
      <c r="M128" s="279"/>
      <c r="N128" s="42" t="s">
        <v>19</v>
      </c>
      <c r="O128" s="42"/>
      <c r="P128" s="42"/>
      <c r="Q128" s="43">
        <f t="shared" si="164"/>
        <v>0</v>
      </c>
      <c r="R128" s="43">
        <f t="shared" si="165"/>
        <v>11.337709999999788</v>
      </c>
      <c r="S128" s="43">
        <f t="shared" si="166"/>
        <v>184.5</v>
      </c>
      <c r="T128" s="43">
        <f>T129+T130+T131+T132+T133+T134+T135+T136</f>
        <v>6</v>
      </c>
      <c r="U128" s="43">
        <f>U129+U130+U131+U132+U133+U134+U135+U136</f>
        <v>8</v>
      </c>
      <c r="V128" s="43">
        <f t="shared" ref="V128:Z128" si="262">SUM(V129:V136)-V130</f>
        <v>9125.5</v>
      </c>
      <c r="W128" s="43">
        <f t="shared" si="262"/>
        <v>0</v>
      </c>
      <c r="X128" s="43">
        <f t="shared" si="262"/>
        <v>5025.5</v>
      </c>
      <c r="Y128" s="43">
        <f t="shared" si="262"/>
        <v>4100</v>
      </c>
      <c r="Z128" s="43">
        <f t="shared" si="262"/>
        <v>0</v>
      </c>
      <c r="AA128" s="43">
        <f t="shared" ref="AA128:AE128" si="263">SUM(AA129:AA136)-AA130</f>
        <v>9125.5</v>
      </c>
      <c r="AB128" s="43">
        <f t="shared" si="263"/>
        <v>0</v>
      </c>
      <c r="AC128" s="43">
        <f t="shared" si="263"/>
        <v>5025.5</v>
      </c>
      <c r="AD128" s="43">
        <f t="shared" si="263"/>
        <v>4100</v>
      </c>
      <c r="AE128" s="43">
        <f t="shared" si="263"/>
        <v>0</v>
      </c>
      <c r="AF128" s="43">
        <f t="shared" ref="AF128:AJ128" si="264">SUM(AF129:AF136)-AF130</f>
        <v>9125.5</v>
      </c>
      <c r="AG128" s="43">
        <f t="shared" si="264"/>
        <v>0</v>
      </c>
      <c r="AH128" s="43">
        <f t="shared" si="264"/>
        <v>5025.5</v>
      </c>
      <c r="AI128" s="43">
        <f t="shared" si="264"/>
        <v>4100</v>
      </c>
      <c r="AJ128" s="43">
        <f t="shared" si="264"/>
        <v>0</v>
      </c>
      <c r="AK128" s="45">
        <f t="shared" ref="AK128:AO128" si="265">SUM(AK129:AK136)-AK130</f>
        <v>6285</v>
      </c>
      <c r="AL128" s="43">
        <f t="shared" si="265"/>
        <v>0</v>
      </c>
      <c r="AM128" s="43">
        <f t="shared" si="265"/>
        <v>2185</v>
      </c>
      <c r="AN128" s="43">
        <f t="shared" si="265"/>
        <v>4100</v>
      </c>
      <c r="AO128" s="43">
        <f t="shared" si="265"/>
        <v>0</v>
      </c>
      <c r="AP128" s="44"/>
      <c r="AQ128" s="43">
        <f>SUM(AQ129:AQ136)-AQ130</f>
        <v>9125.5</v>
      </c>
      <c r="AR128" s="43">
        <f>SUM(AR129:AR136)-AR130</f>
        <v>0</v>
      </c>
      <c r="AS128" s="43">
        <f>SUM(AS129:AS136)-AS130</f>
        <v>5025.5</v>
      </c>
      <c r="AT128" s="43">
        <f>SUM(AT129:AT136)-AT130</f>
        <v>4100</v>
      </c>
      <c r="AU128" s="43">
        <f>SUM(AU129:AU136)-AU130</f>
        <v>0</v>
      </c>
      <c r="AV128" s="43">
        <f t="shared" si="152"/>
        <v>0</v>
      </c>
      <c r="AW128" s="43">
        <f t="shared" si="153"/>
        <v>0</v>
      </c>
      <c r="AX128" s="43">
        <f t="shared" si="154"/>
        <v>0</v>
      </c>
      <c r="AY128" s="43">
        <f t="shared" si="155"/>
        <v>0</v>
      </c>
      <c r="AZ128" s="43" t="e">
        <f t="shared" ref="AZ128:BE128" si="266">SUM(AZ129:AZ136)-AZ130</f>
        <v>#REF!</v>
      </c>
      <c r="BA128" s="43">
        <f t="shared" si="266"/>
        <v>9125.5</v>
      </c>
      <c r="BB128" s="43">
        <f t="shared" si="266"/>
        <v>0</v>
      </c>
      <c r="BC128" s="43">
        <f t="shared" si="266"/>
        <v>5025.5</v>
      </c>
      <c r="BD128" s="43">
        <f t="shared" si="266"/>
        <v>4100</v>
      </c>
      <c r="BE128" s="43">
        <f t="shared" si="266"/>
        <v>0</v>
      </c>
      <c r="BF128" s="43">
        <f t="shared" ref="BF128:CJ128" si="267">SUM(BF129:BF136)-BF130</f>
        <v>0</v>
      </c>
      <c r="BG128" s="43">
        <f t="shared" si="267"/>
        <v>0</v>
      </c>
      <c r="BH128" s="43">
        <f t="shared" si="267"/>
        <v>0</v>
      </c>
      <c r="BI128" s="43">
        <f t="shared" si="267"/>
        <v>0</v>
      </c>
      <c r="BJ128" s="43">
        <f t="shared" si="267"/>
        <v>0</v>
      </c>
      <c r="BK128" s="43">
        <f t="shared" si="267"/>
        <v>9125.5</v>
      </c>
      <c r="BL128" s="43">
        <f t="shared" si="267"/>
        <v>0</v>
      </c>
      <c r="BM128" s="43">
        <f t="shared" si="267"/>
        <v>5025.5</v>
      </c>
      <c r="BN128" s="43">
        <f t="shared" si="267"/>
        <v>4100</v>
      </c>
      <c r="BO128" s="43">
        <f t="shared" si="267"/>
        <v>0</v>
      </c>
      <c r="BP128" s="43">
        <f t="shared" si="267"/>
        <v>8929.6622900000002</v>
      </c>
      <c r="BQ128" s="43">
        <f t="shared" si="267"/>
        <v>0</v>
      </c>
      <c r="BR128" s="43">
        <f t="shared" si="267"/>
        <v>5014.1622900000002</v>
      </c>
      <c r="BS128" s="43">
        <f t="shared" si="267"/>
        <v>3915.5</v>
      </c>
      <c r="BT128" s="43">
        <f t="shared" si="267"/>
        <v>0</v>
      </c>
      <c r="BU128" s="45">
        <f t="shared" si="267"/>
        <v>6634.0844900000002</v>
      </c>
      <c r="BV128" s="304">
        <f t="shared" si="267"/>
        <v>0</v>
      </c>
      <c r="BW128" s="304">
        <f t="shared" si="267"/>
        <v>1704.3953799999999</v>
      </c>
      <c r="BX128" s="304">
        <f t="shared" si="267"/>
        <v>4929.6891100000003</v>
      </c>
      <c r="BY128" s="43">
        <f t="shared" si="267"/>
        <v>0</v>
      </c>
      <c r="BZ128" s="43">
        <f t="shared" si="267"/>
        <v>15563.746779999998</v>
      </c>
      <c r="CA128" s="43">
        <f t="shared" si="156"/>
        <v>15563.746779999999</v>
      </c>
      <c r="CB128" s="43">
        <f t="shared" si="157"/>
        <v>0</v>
      </c>
      <c r="CC128" s="43">
        <f t="shared" si="158"/>
        <v>6718.5576700000001</v>
      </c>
      <c r="CD128" s="43">
        <f t="shared" si="159"/>
        <v>8845.1891099999993</v>
      </c>
      <c r="CE128" s="43">
        <f t="shared" si="267"/>
        <v>0</v>
      </c>
      <c r="CF128" s="43">
        <f t="shared" si="160"/>
        <v>195.83770999999979</v>
      </c>
      <c r="CG128" s="43">
        <f t="shared" si="161"/>
        <v>0</v>
      </c>
      <c r="CH128" s="43">
        <f t="shared" si="162"/>
        <v>11.337709999999788</v>
      </c>
      <c r="CI128" s="43">
        <f t="shared" si="163"/>
        <v>184.5</v>
      </c>
      <c r="CJ128" s="43">
        <f t="shared" si="267"/>
        <v>0</v>
      </c>
      <c r="CK128" s="46">
        <f>CL128+CN128-BF128</f>
        <v>9125.5</v>
      </c>
      <c r="CL128" s="47">
        <f t="shared" ref="CL128:DF128" si="268">SUM(CL129:CL136)-CL130</f>
        <v>9125.5</v>
      </c>
      <c r="CM128" s="47">
        <f t="shared" si="268"/>
        <v>9125.5</v>
      </c>
      <c r="CN128" s="43">
        <f t="shared" si="268"/>
        <v>0</v>
      </c>
      <c r="CO128" s="43">
        <f t="shared" si="268"/>
        <v>0</v>
      </c>
      <c r="CP128" s="43">
        <f t="shared" si="268"/>
        <v>0</v>
      </c>
      <c r="CQ128" s="43">
        <f t="shared" si="268"/>
        <v>0</v>
      </c>
      <c r="CR128" s="43">
        <f t="shared" si="268"/>
        <v>0</v>
      </c>
      <c r="CS128" s="43">
        <f t="shared" si="268"/>
        <v>0</v>
      </c>
      <c r="CT128" s="43">
        <f t="shared" si="268"/>
        <v>0</v>
      </c>
      <c r="CU128" s="43">
        <f t="shared" si="268"/>
        <v>0</v>
      </c>
      <c r="CV128" s="43">
        <f t="shared" si="268"/>
        <v>0</v>
      </c>
      <c r="CW128" s="43">
        <f t="shared" si="268"/>
        <v>0</v>
      </c>
      <c r="CX128" s="43">
        <f t="shared" si="268"/>
        <v>0</v>
      </c>
      <c r="CY128" s="43">
        <f t="shared" si="268"/>
        <v>0</v>
      </c>
      <c r="CZ128" s="43">
        <f t="shared" si="268"/>
        <v>0</v>
      </c>
      <c r="DA128" s="43">
        <f t="shared" si="268"/>
        <v>0</v>
      </c>
      <c r="DB128" s="43">
        <f t="shared" si="268"/>
        <v>0</v>
      </c>
      <c r="DC128" s="43">
        <f t="shared" si="268"/>
        <v>0</v>
      </c>
      <c r="DD128" s="43">
        <f t="shared" si="268"/>
        <v>0</v>
      </c>
      <c r="DE128" s="43">
        <f t="shared" si="268"/>
        <v>0</v>
      </c>
      <c r="DF128" s="43">
        <f t="shared" si="268"/>
        <v>195.83771000000002</v>
      </c>
      <c r="DH128" s="43">
        <f>SUM(DH129:DH136)-DH130</f>
        <v>9125.5</v>
      </c>
      <c r="DI128" s="43">
        <f>SUM(DI129:DI136)-DI130</f>
        <v>8929.6622900000002</v>
      </c>
      <c r="DK128" s="43">
        <f>SUM(DK129:DK136)-DK130</f>
        <v>8929.6622900000002</v>
      </c>
      <c r="DL128" s="43">
        <f>SUM(DL129:DL136)-DL130</f>
        <v>195.83771000000002</v>
      </c>
      <c r="DN128" s="43">
        <f>SUM(DN129:DN136)-DN130</f>
        <v>195.83770999999979</v>
      </c>
      <c r="DO128" s="49">
        <f>DF128-DN128</f>
        <v>2.2737367544323206E-13</v>
      </c>
      <c r="DP128" s="49"/>
      <c r="DQ128" s="43">
        <f>SUM(DQ129:DQ136)-DQ130</f>
        <v>8929.6622900000002</v>
      </c>
      <c r="DR128" s="43">
        <f t="shared" ref="DR128:DU128" si="269">SUM(DR129:DR136)-DR130</f>
        <v>0</v>
      </c>
      <c r="DS128" s="43">
        <f t="shared" si="269"/>
        <v>5014.1622900000002</v>
      </c>
      <c r="DT128" s="43">
        <f t="shared" si="269"/>
        <v>3915.5</v>
      </c>
      <c r="DU128" s="43">
        <f t="shared" si="269"/>
        <v>0</v>
      </c>
      <c r="DV128" s="43">
        <f>SUM(DV129:DV136)-DV130</f>
        <v>6298.1759499999998</v>
      </c>
      <c r="DW128" s="43">
        <f t="shared" ref="DW128:DZ128" si="270">SUM(DW129:DW136)-DW130</f>
        <v>0</v>
      </c>
      <c r="DX128" s="43">
        <f t="shared" si="270"/>
        <v>1368.48684</v>
      </c>
      <c r="DY128" s="43">
        <f t="shared" si="270"/>
        <v>4929.6891100000003</v>
      </c>
      <c r="DZ128" s="43">
        <f t="shared" si="270"/>
        <v>0</v>
      </c>
      <c r="EA128" s="372"/>
      <c r="EB128" s="372"/>
      <c r="EC128" s="372"/>
      <c r="ED128" s="372"/>
      <c r="EE128" s="372"/>
      <c r="EF128" s="372"/>
      <c r="EG128" s="372"/>
      <c r="EH128" s="372"/>
      <c r="EI128" s="372"/>
      <c r="EJ128" s="372"/>
      <c r="EK128" s="372"/>
      <c r="EL128" s="372"/>
      <c r="EM128" s="372"/>
      <c r="EN128" s="372"/>
      <c r="EO128" s="372"/>
      <c r="EP128" s="372"/>
      <c r="EQ128" s="372"/>
      <c r="ER128" s="372"/>
      <c r="ES128" s="372"/>
      <c r="ET128" s="372"/>
      <c r="EU128" s="372"/>
      <c r="EV128" s="372"/>
      <c r="EW128" s="372"/>
      <c r="EX128" s="372"/>
      <c r="EY128" s="372"/>
      <c r="EZ128" s="372"/>
      <c r="FA128" s="372"/>
      <c r="FB128" s="372"/>
      <c r="FC128" s="372"/>
      <c r="FD128" s="372"/>
      <c r="FE128" s="372"/>
      <c r="FF128" s="372"/>
      <c r="FG128" s="372"/>
      <c r="FH128" s="372"/>
      <c r="FI128" s="372"/>
      <c r="FJ128" s="372"/>
      <c r="FK128" s="372"/>
      <c r="FL128" s="372"/>
      <c r="FM128" s="372"/>
      <c r="FN128" s="372"/>
      <c r="FO128" s="372"/>
      <c r="FP128" s="372"/>
      <c r="FQ128" s="372"/>
      <c r="FR128" s="372"/>
      <c r="FS128" s="372"/>
      <c r="FT128" s="372"/>
      <c r="FU128" s="372"/>
      <c r="FV128" s="372"/>
      <c r="FW128" s="372"/>
      <c r="FX128" s="372"/>
      <c r="FY128" s="372"/>
      <c r="FZ128" s="372"/>
      <c r="GA128" s="372"/>
      <c r="GB128" s="372"/>
      <c r="GC128" s="372"/>
      <c r="GD128" s="372"/>
      <c r="GE128" s="372"/>
      <c r="GF128" s="372"/>
      <c r="GG128" s="372"/>
      <c r="GH128" s="372"/>
      <c r="GI128" s="372"/>
      <c r="GJ128" s="372"/>
      <c r="GK128" s="372"/>
      <c r="GL128" s="372"/>
      <c r="GM128" s="372"/>
      <c r="GN128" s="372"/>
      <c r="GO128" s="372"/>
      <c r="GP128" s="372"/>
      <c r="GQ128" s="372"/>
      <c r="GR128" s="372"/>
    </row>
    <row r="129" spans="1:200" s="61" customFormat="1" ht="14.25" customHeight="1" x14ac:dyDescent="0.3">
      <c r="A129" s="280"/>
      <c r="B129" s="281">
        <v>1</v>
      </c>
      <c r="C129" s="282"/>
      <c r="D129" s="282"/>
      <c r="E129" s="4">
        <v>108</v>
      </c>
      <c r="F129" s="281"/>
      <c r="G129" s="282"/>
      <c r="H129" s="282"/>
      <c r="I129" s="4">
        <v>8</v>
      </c>
      <c r="J129" s="4" t="s">
        <v>269</v>
      </c>
      <c r="K129" s="291" t="s">
        <v>280</v>
      </c>
      <c r="L129" s="286">
        <v>8075</v>
      </c>
      <c r="M129" s="4">
        <v>105</v>
      </c>
      <c r="N129" s="62" t="s">
        <v>226</v>
      </c>
      <c r="O129" s="63">
        <v>0</v>
      </c>
      <c r="P129" s="63">
        <v>0</v>
      </c>
      <c r="Q129" s="64">
        <f t="shared" si="164"/>
        <v>0</v>
      </c>
      <c r="R129" s="64">
        <f t="shared" si="165"/>
        <v>0</v>
      </c>
      <c r="S129" s="64">
        <f t="shared" si="166"/>
        <v>0</v>
      </c>
      <c r="T129" s="63"/>
      <c r="U129" s="64"/>
      <c r="V129" s="64">
        <f t="shared" ref="V129:V136" si="271">W129+X129+Y129+Z129</f>
        <v>0</v>
      </c>
      <c r="W129" s="73"/>
      <c r="X129" s="60"/>
      <c r="Y129" s="64"/>
      <c r="Z129" s="60"/>
      <c r="AA129" s="64">
        <f t="shared" ref="AA129:AA136" si="272">AB129+AC129+AD129+AE129</f>
        <v>0</v>
      </c>
      <c r="AB129" s="73"/>
      <c r="AC129" s="60"/>
      <c r="AD129" s="64"/>
      <c r="AE129" s="60"/>
      <c r="AF129" s="64">
        <f t="shared" ref="AF129:AF136" si="273">AG129+AH129+AI129+AJ129</f>
        <v>0</v>
      </c>
      <c r="AG129" s="73"/>
      <c r="AH129" s="60"/>
      <c r="AI129" s="64"/>
      <c r="AJ129" s="60"/>
      <c r="AK129" s="64">
        <f t="shared" ref="AK129:AK136" si="274">AL129+AM129+AN129+AO129</f>
        <v>0</v>
      </c>
      <c r="AL129" s="73"/>
      <c r="AM129" s="60"/>
      <c r="AN129" s="64"/>
      <c r="AO129" s="64"/>
      <c r="AP129" s="64"/>
      <c r="AQ129" s="64">
        <f t="shared" ref="AQ129:AQ136" si="275">AR129+AS129+AT129+AU129</f>
        <v>0</v>
      </c>
      <c r="AR129" s="73"/>
      <c r="AS129" s="64"/>
      <c r="AT129" s="64"/>
      <c r="AU129" s="64"/>
      <c r="AV129" s="64">
        <f t="shared" si="152"/>
        <v>0</v>
      </c>
      <c r="AW129" s="64">
        <f t="shared" si="153"/>
        <v>0</v>
      </c>
      <c r="AX129" s="64">
        <f t="shared" si="154"/>
        <v>0</v>
      </c>
      <c r="AY129" s="64">
        <f t="shared" si="155"/>
        <v>0</v>
      </c>
      <c r="AZ129" s="64" t="e">
        <f>#REF!-AU129</f>
        <v>#REF!</v>
      </c>
      <c r="BA129" s="64">
        <f t="shared" ref="BA129:BA136" si="276">BB129+BC129+BD129+BE129</f>
        <v>0</v>
      </c>
      <c r="BB129" s="73"/>
      <c r="BC129" s="64"/>
      <c r="BD129" s="64"/>
      <c r="BE129" s="64"/>
      <c r="BF129" s="64">
        <f t="shared" ref="BF129:BF136" si="277">BG129+BH129+BI129+BJ129</f>
        <v>0</v>
      </c>
      <c r="BG129" s="73"/>
      <c r="BH129" s="64"/>
      <c r="BI129" s="64"/>
      <c r="BJ129" s="64"/>
      <c r="BK129" s="64">
        <f t="shared" ref="BK129:BK136" si="278">BL129+BM129+BN129+BO129</f>
        <v>0</v>
      </c>
      <c r="BL129" s="73"/>
      <c r="BM129" s="64"/>
      <c r="BN129" s="64"/>
      <c r="BO129" s="64"/>
      <c r="BP129" s="64">
        <f t="shared" ref="BP129:BP136" si="279">BQ129+BR129+BS129+BT129</f>
        <v>0</v>
      </c>
      <c r="BQ129" s="74"/>
      <c r="BR129" s="64"/>
      <c r="BS129" s="64"/>
      <c r="BT129" s="64"/>
      <c r="BU129" s="64">
        <f t="shared" ref="BU129:BU136" si="280">BV129+BW129+BX129+BY129</f>
        <v>0</v>
      </c>
      <c r="BV129" s="64"/>
      <c r="BW129" s="64"/>
      <c r="BX129" s="64"/>
      <c r="BY129" s="64"/>
      <c r="BZ129" s="60">
        <f t="shared" ref="BZ129:BZ136" si="281">CA129</f>
        <v>0</v>
      </c>
      <c r="CA129" s="64">
        <f t="shared" si="156"/>
        <v>0</v>
      </c>
      <c r="CB129" s="64">
        <f t="shared" si="157"/>
        <v>0</v>
      </c>
      <c r="CC129" s="64">
        <f t="shared" si="158"/>
        <v>0</v>
      </c>
      <c r="CD129" s="64">
        <f t="shared" si="159"/>
        <v>0</v>
      </c>
      <c r="CE129" s="64">
        <f t="shared" ref="CE129:CE136" si="282">BT129+BY129</f>
        <v>0</v>
      </c>
      <c r="CF129" s="64">
        <f t="shared" si="160"/>
        <v>0</v>
      </c>
      <c r="CG129" s="64">
        <f t="shared" si="161"/>
        <v>0</v>
      </c>
      <c r="CH129" s="64">
        <f t="shared" si="162"/>
        <v>0</v>
      </c>
      <c r="CI129" s="64">
        <f t="shared" si="163"/>
        <v>0</v>
      </c>
      <c r="CJ129" s="64">
        <f t="shared" ref="CJ129:CJ136" si="283">BO129-BT129</f>
        <v>0</v>
      </c>
      <c r="CK129" s="66"/>
      <c r="CL129" s="67">
        <f>BA129</f>
        <v>0</v>
      </c>
      <c r="CM129" s="67">
        <f>CL129</f>
        <v>0</v>
      </c>
      <c r="CN129" s="64">
        <f t="shared" ref="CN129:CN136" si="284">CO129+CP129+CQ129+CR129</f>
        <v>0</v>
      </c>
      <c r="CO129" s="73"/>
      <c r="CP129" s="64"/>
      <c r="CQ129" s="64"/>
      <c r="CR129" s="64"/>
      <c r="CS129" s="64">
        <f t="shared" ref="CS129:CS136" si="285">CT129+CU129+CV129+CW129</f>
        <v>0</v>
      </c>
      <c r="CT129" s="73"/>
      <c r="CU129" s="64"/>
      <c r="CV129" s="64"/>
      <c r="CW129" s="64"/>
      <c r="CX129" s="64">
        <f t="shared" ref="CX129:CX136" si="286">CY129+CZ129+DA129+DB129</f>
        <v>0</v>
      </c>
      <c r="CY129" s="64">
        <f t="shared" ref="CY129:DB136" si="287">CO129-CT129</f>
        <v>0</v>
      </c>
      <c r="CZ129" s="64">
        <f t="shared" si="287"/>
        <v>0</v>
      </c>
      <c r="DA129" s="64">
        <f t="shared" si="287"/>
        <v>0</v>
      </c>
      <c r="DB129" s="64">
        <f t="shared" si="287"/>
        <v>0</v>
      </c>
      <c r="DC129" s="64"/>
      <c r="DD129" s="64"/>
      <c r="DE129" s="64"/>
      <c r="DF129" s="64">
        <f t="shared" ref="DF129:DF136" si="288">CF129+CX129+DE129</f>
        <v>0</v>
      </c>
      <c r="DH129" s="64">
        <f t="shared" ref="DH129:DH136" si="289">BK129+CN129+DC129</f>
        <v>0</v>
      </c>
      <c r="DI129" s="64">
        <f t="shared" ref="DI129:DI136" si="290">BP129+CS129+DD129</f>
        <v>0</v>
      </c>
      <c r="DK129" s="64">
        <f>DI129</f>
        <v>0</v>
      </c>
      <c r="DL129" s="64">
        <f>DF129</f>
        <v>0</v>
      </c>
      <c r="DN129" s="64">
        <f>CM129-DK129</f>
        <v>0</v>
      </c>
      <c r="DQ129" s="64">
        <f>DR129+DS129+DT129+DU129</f>
        <v>0</v>
      </c>
      <c r="DR129" s="74"/>
      <c r="DS129" s="64"/>
      <c r="DT129" s="64"/>
      <c r="DU129" s="64"/>
      <c r="DV129" s="64">
        <f t="shared" ref="DV129:DV136" si="291">DW129+DX129+DY129+DZ129</f>
        <v>0</v>
      </c>
      <c r="DW129" s="64"/>
      <c r="DX129" s="64"/>
      <c r="DY129" s="64"/>
      <c r="DZ129" s="64"/>
      <c r="EA129" s="375"/>
      <c r="EB129" s="375"/>
      <c r="EC129" s="375"/>
      <c r="ED129" s="375"/>
      <c r="EE129" s="375"/>
      <c r="EF129" s="375"/>
      <c r="EG129" s="375"/>
      <c r="EH129" s="375"/>
      <c r="EI129" s="375"/>
      <c r="EJ129" s="375"/>
      <c r="EK129" s="375"/>
      <c r="EL129" s="375"/>
      <c r="EM129" s="375"/>
      <c r="EN129" s="375"/>
      <c r="EO129" s="375"/>
      <c r="EP129" s="375"/>
      <c r="EQ129" s="375"/>
      <c r="ER129" s="375"/>
      <c r="ES129" s="375"/>
      <c r="ET129" s="375"/>
      <c r="EU129" s="375"/>
      <c r="EV129" s="375"/>
      <c r="EW129" s="375"/>
      <c r="EX129" s="375"/>
      <c r="EY129" s="375"/>
      <c r="EZ129" s="375"/>
      <c r="FA129" s="375"/>
      <c r="FB129" s="375"/>
      <c r="FC129" s="375"/>
      <c r="FD129" s="375"/>
      <c r="FE129" s="375"/>
      <c r="FF129" s="375"/>
      <c r="FG129" s="375"/>
      <c r="FH129" s="375"/>
      <c r="FI129" s="375"/>
      <c r="FJ129" s="375"/>
      <c r="FK129" s="375"/>
      <c r="FL129" s="375"/>
      <c r="FM129" s="375"/>
      <c r="FN129" s="375"/>
      <c r="FO129" s="375"/>
      <c r="FP129" s="375"/>
      <c r="FQ129" s="375"/>
      <c r="FR129" s="375"/>
      <c r="FS129" s="375"/>
      <c r="FT129" s="375"/>
      <c r="FU129" s="375"/>
      <c r="FV129" s="375"/>
      <c r="FW129" s="375"/>
      <c r="FX129" s="375"/>
      <c r="FY129" s="375"/>
      <c r="FZ129" s="375"/>
      <c r="GA129" s="375"/>
      <c r="GB129" s="375"/>
      <c r="GC129" s="375"/>
      <c r="GD129" s="375"/>
      <c r="GE129" s="375"/>
      <c r="GF129" s="375"/>
      <c r="GG129" s="375"/>
      <c r="GH129" s="375"/>
      <c r="GI129" s="375"/>
      <c r="GJ129" s="375"/>
      <c r="GK129" s="375"/>
      <c r="GL129" s="375"/>
      <c r="GM129" s="375"/>
      <c r="GN129" s="375"/>
      <c r="GO129" s="375"/>
      <c r="GP129" s="375"/>
      <c r="GQ129" s="375"/>
      <c r="GR129" s="375"/>
    </row>
    <row r="130" spans="1:200" s="61" customFormat="1" ht="15.75" hidden="1" customHeight="1" x14ac:dyDescent="0.3">
      <c r="A130" s="280"/>
      <c r="B130" s="281"/>
      <c r="C130" s="282"/>
      <c r="D130" s="282"/>
      <c r="E130" s="4"/>
      <c r="F130" s="281"/>
      <c r="G130" s="282"/>
      <c r="H130" s="282"/>
      <c r="I130" s="474" t="s">
        <v>270</v>
      </c>
      <c r="J130" s="475"/>
      <c r="K130" s="475"/>
      <c r="L130" s="288">
        <f>L129</f>
        <v>8075</v>
      </c>
      <c r="M130" s="4"/>
      <c r="N130" s="371" t="s">
        <v>249</v>
      </c>
      <c r="O130" s="69">
        <v>0</v>
      </c>
      <c r="P130" s="63">
        <v>0</v>
      </c>
      <c r="Q130" s="64">
        <f t="shared" si="164"/>
        <v>0</v>
      </c>
      <c r="R130" s="64">
        <f t="shared" si="165"/>
        <v>0</v>
      </c>
      <c r="S130" s="64">
        <f t="shared" si="166"/>
        <v>0</v>
      </c>
      <c r="T130" s="69"/>
      <c r="U130" s="69"/>
      <c r="V130" s="64">
        <f t="shared" si="271"/>
        <v>0</v>
      </c>
      <c r="W130" s="64"/>
      <c r="X130" s="60"/>
      <c r="Y130" s="64"/>
      <c r="Z130" s="60"/>
      <c r="AA130" s="64">
        <f t="shared" si="272"/>
        <v>0</v>
      </c>
      <c r="AB130" s="64"/>
      <c r="AC130" s="60"/>
      <c r="AD130" s="64"/>
      <c r="AE130" s="60"/>
      <c r="AF130" s="64">
        <f t="shared" si="273"/>
        <v>0</v>
      </c>
      <c r="AG130" s="64"/>
      <c r="AH130" s="60"/>
      <c r="AI130" s="64"/>
      <c r="AJ130" s="60"/>
      <c r="AK130" s="64">
        <f t="shared" si="274"/>
        <v>0</v>
      </c>
      <c r="AL130" s="64"/>
      <c r="AM130" s="60"/>
      <c r="AN130" s="64"/>
      <c r="AO130" s="64"/>
      <c r="AP130" s="64"/>
      <c r="AQ130" s="64">
        <f t="shared" si="275"/>
        <v>0</v>
      </c>
      <c r="AR130" s="64"/>
      <c r="AS130" s="64"/>
      <c r="AT130" s="64"/>
      <c r="AU130" s="64"/>
      <c r="AV130" s="64">
        <f t="shared" si="152"/>
        <v>0</v>
      </c>
      <c r="AW130" s="64">
        <f t="shared" si="153"/>
        <v>0</v>
      </c>
      <c r="AX130" s="64">
        <f t="shared" si="154"/>
        <v>0</v>
      </c>
      <c r="AY130" s="64">
        <f t="shared" si="155"/>
        <v>0</v>
      </c>
      <c r="AZ130" s="64" t="e">
        <f>#REF!-AU130</f>
        <v>#REF!</v>
      </c>
      <c r="BA130" s="64">
        <f t="shared" si="276"/>
        <v>0</v>
      </c>
      <c r="BB130" s="64"/>
      <c r="BC130" s="64"/>
      <c r="BD130" s="64"/>
      <c r="BE130" s="64"/>
      <c r="BF130" s="64">
        <f t="shared" si="277"/>
        <v>0</v>
      </c>
      <c r="BG130" s="64"/>
      <c r="BH130" s="64"/>
      <c r="BI130" s="64"/>
      <c r="BJ130" s="64"/>
      <c r="BK130" s="64">
        <f t="shared" si="278"/>
        <v>0</v>
      </c>
      <c r="BL130" s="64"/>
      <c r="BM130" s="64"/>
      <c r="BN130" s="64"/>
      <c r="BO130" s="64"/>
      <c r="BP130" s="64">
        <f t="shared" si="279"/>
        <v>0</v>
      </c>
      <c r="BQ130" s="64"/>
      <c r="BR130" s="64"/>
      <c r="BS130" s="64"/>
      <c r="BT130" s="64"/>
      <c r="BU130" s="64">
        <f t="shared" si="280"/>
        <v>0</v>
      </c>
      <c r="BV130" s="64"/>
      <c r="BW130" s="64"/>
      <c r="BX130" s="64"/>
      <c r="BY130" s="64"/>
      <c r="BZ130" s="60">
        <f t="shared" si="281"/>
        <v>0</v>
      </c>
      <c r="CA130" s="64">
        <f t="shared" si="156"/>
        <v>0</v>
      </c>
      <c r="CB130" s="64">
        <f t="shared" si="157"/>
        <v>0</v>
      </c>
      <c r="CC130" s="64">
        <f t="shared" si="158"/>
        <v>0</v>
      </c>
      <c r="CD130" s="64">
        <f t="shared" si="159"/>
        <v>0</v>
      </c>
      <c r="CE130" s="64">
        <f t="shared" si="282"/>
        <v>0</v>
      </c>
      <c r="CF130" s="64">
        <f t="shared" si="160"/>
        <v>0</v>
      </c>
      <c r="CG130" s="64">
        <f t="shared" si="161"/>
        <v>0</v>
      </c>
      <c r="CH130" s="64">
        <f t="shared" si="162"/>
        <v>0</v>
      </c>
      <c r="CI130" s="64">
        <f t="shared" si="163"/>
        <v>0</v>
      </c>
      <c r="CJ130" s="64">
        <f t="shared" si="283"/>
        <v>0</v>
      </c>
      <c r="CK130" s="66"/>
      <c r="CL130" s="67"/>
      <c r="CM130" s="67"/>
      <c r="CN130" s="64">
        <f t="shared" si="284"/>
        <v>0</v>
      </c>
      <c r="CO130" s="64"/>
      <c r="CP130" s="64"/>
      <c r="CQ130" s="64"/>
      <c r="CR130" s="64"/>
      <c r="CS130" s="64">
        <f t="shared" si="285"/>
        <v>0</v>
      </c>
      <c r="CT130" s="64"/>
      <c r="CU130" s="64"/>
      <c r="CV130" s="64"/>
      <c r="CW130" s="64"/>
      <c r="CX130" s="64">
        <f t="shared" si="286"/>
        <v>0</v>
      </c>
      <c r="CY130" s="64">
        <f t="shared" si="287"/>
        <v>0</v>
      </c>
      <c r="CZ130" s="64">
        <f t="shared" si="287"/>
        <v>0</v>
      </c>
      <c r="DA130" s="64">
        <f t="shared" si="287"/>
        <v>0</v>
      </c>
      <c r="DB130" s="64">
        <f t="shared" si="287"/>
        <v>0</v>
      </c>
      <c r="DC130" s="64"/>
      <c r="DD130" s="64"/>
      <c r="DE130" s="64"/>
      <c r="DF130" s="64">
        <f t="shared" si="288"/>
        <v>0</v>
      </c>
      <c r="DH130" s="64">
        <f t="shared" si="289"/>
        <v>0</v>
      </c>
      <c r="DI130" s="64">
        <f t="shared" si="290"/>
        <v>0</v>
      </c>
      <c r="DK130" s="64">
        <f>DI130</f>
        <v>0</v>
      </c>
      <c r="DL130" s="64">
        <f>DF130</f>
        <v>0</v>
      </c>
      <c r="DN130" s="64"/>
      <c r="DQ130" s="64">
        <f t="shared" ref="DQ130:DQ136" si="292">DR130+DS130+DT130+DU130</f>
        <v>0</v>
      </c>
      <c r="DR130" s="64"/>
      <c r="DS130" s="64"/>
      <c r="DT130" s="64"/>
      <c r="DU130" s="64"/>
      <c r="DV130" s="64">
        <f t="shared" si="291"/>
        <v>0</v>
      </c>
      <c r="DW130" s="64"/>
      <c r="DX130" s="64"/>
      <c r="DY130" s="64"/>
      <c r="DZ130" s="64"/>
      <c r="EA130" s="375"/>
      <c r="EB130" s="375"/>
      <c r="EC130" s="375"/>
      <c r="ED130" s="375"/>
      <c r="EE130" s="375"/>
      <c r="EF130" s="375"/>
      <c r="EG130" s="375"/>
      <c r="EH130" s="375"/>
      <c r="EI130" s="375"/>
      <c r="EJ130" s="375"/>
      <c r="EK130" s="375"/>
      <c r="EL130" s="375"/>
      <c r="EM130" s="375"/>
      <c r="EN130" s="375"/>
      <c r="EO130" s="375"/>
      <c r="EP130" s="375"/>
      <c r="EQ130" s="375"/>
      <c r="ER130" s="375"/>
      <c r="ES130" s="375"/>
      <c r="ET130" s="375"/>
      <c r="EU130" s="375"/>
      <c r="EV130" s="375"/>
      <c r="EW130" s="375"/>
      <c r="EX130" s="375"/>
      <c r="EY130" s="375"/>
      <c r="EZ130" s="375"/>
      <c r="FA130" s="375"/>
      <c r="FB130" s="375"/>
      <c r="FC130" s="375"/>
      <c r="FD130" s="375"/>
      <c r="FE130" s="375"/>
      <c r="FF130" s="375"/>
      <c r="FG130" s="375"/>
      <c r="FH130" s="375"/>
      <c r="FI130" s="375"/>
      <c r="FJ130" s="375"/>
      <c r="FK130" s="375"/>
      <c r="FL130" s="375"/>
      <c r="FM130" s="375"/>
      <c r="FN130" s="375"/>
      <c r="FO130" s="375"/>
      <c r="FP130" s="375"/>
      <c r="FQ130" s="375"/>
      <c r="FR130" s="375"/>
      <c r="FS130" s="375"/>
      <c r="FT130" s="375"/>
      <c r="FU130" s="375"/>
      <c r="FV130" s="375"/>
      <c r="FW130" s="375"/>
      <c r="FX130" s="375"/>
      <c r="FY130" s="375"/>
      <c r="FZ130" s="375"/>
      <c r="GA130" s="375"/>
      <c r="GB130" s="375"/>
      <c r="GC130" s="375"/>
      <c r="GD130" s="375"/>
      <c r="GE130" s="375"/>
      <c r="GF130" s="375"/>
      <c r="GG130" s="375"/>
      <c r="GH130" s="375"/>
      <c r="GI130" s="375"/>
      <c r="GJ130" s="375"/>
      <c r="GK130" s="375"/>
      <c r="GL130" s="375"/>
      <c r="GM130" s="375"/>
      <c r="GN130" s="375"/>
      <c r="GO130" s="375"/>
      <c r="GP130" s="375"/>
      <c r="GQ130" s="375"/>
      <c r="GR130" s="375"/>
    </row>
    <row r="131" spans="1:200" s="61" customFormat="1" ht="16.2" customHeight="1" x14ac:dyDescent="0.3">
      <c r="A131" s="280"/>
      <c r="B131" s="281"/>
      <c r="C131" s="282">
        <v>1</v>
      </c>
      <c r="D131" s="282"/>
      <c r="E131" s="4">
        <v>109</v>
      </c>
      <c r="F131" s="281"/>
      <c r="G131" s="282">
        <v>1</v>
      </c>
      <c r="H131" s="282">
        <v>1</v>
      </c>
      <c r="I131" s="489" t="s">
        <v>24</v>
      </c>
      <c r="J131" s="490"/>
      <c r="K131" s="490"/>
      <c r="L131" s="288">
        <f>L41+L44+L47+L117+L120+L123+L127+L130</f>
        <v>22909.91114</v>
      </c>
      <c r="M131" s="4">
        <v>106</v>
      </c>
      <c r="N131" s="62" t="s">
        <v>48</v>
      </c>
      <c r="O131" s="62" t="s">
        <v>448</v>
      </c>
      <c r="P131" s="62" t="s">
        <v>450</v>
      </c>
      <c r="Q131" s="60">
        <f t="shared" si="164"/>
        <v>0</v>
      </c>
      <c r="R131" s="60">
        <f t="shared" si="165"/>
        <v>0</v>
      </c>
      <c r="S131" s="60">
        <f t="shared" si="166"/>
        <v>0</v>
      </c>
      <c r="T131" s="60">
        <v>1</v>
      </c>
      <c r="U131" s="60"/>
      <c r="V131" s="64">
        <f t="shared" si="271"/>
        <v>1837.7</v>
      </c>
      <c r="W131" s="64"/>
      <c r="X131" s="65">
        <v>1837.7</v>
      </c>
      <c r="Y131" s="64"/>
      <c r="Z131" s="73"/>
      <c r="AA131" s="64">
        <f t="shared" si="272"/>
        <v>1837.7</v>
      </c>
      <c r="AB131" s="64"/>
      <c r="AC131" s="65">
        <v>1837.7</v>
      </c>
      <c r="AD131" s="64"/>
      <c r="AE131" s="73"/>
      <c r="AF131" s="64">
        <f t="shared" si="273"/>
        <v>1837.7</v>
      </c>
      <c r="AG131" s="64"/>
      <c r="AH131" s="65">
        <v>1837.7</v>
      </c>
      <c r="AI131" s="64"/>
      <c r="AJ131" s="73"/>
      <c r="AK131" s="64">
        <f t="shared" si="274"/>
        <v>799</v>
      </c>
      <c r="AL131" s="64"/>
      <c r="AM131" s="65">
        <v>799</v>
      </c>
      <c r="AN131" s="64"/>
      <c r="AO131" s="73"/>
      <c r="AP131" s="64" t="s">
        <v>365</v>
      </c>
      <c r="AQ131" s="64">
        <f t="shared" si="275"/>
        <v>1837.7</v>
      </c>
      <c r="AR131" s="64"/>
      <c r="AS131" s="65">
        <v>1837.7</v>
      </c>
      <c r="AT131" s="64"/>
      <c r="AU131" s="64"/>
      <c r="AV131" s="64">
        <f t="shared" si="152"/>
        <v>0</v>
      </c>
      <c r="AW131" s="64">
        <f t="shared" si="153"/>
        <v>0</v>
      </c>
      <c r="AX131" s="64">
        <f t="shared" si="154"/>
        <v>0</v>
      </c>
      <c r="AY131" s="64">
        <f t="shared" si="155"/>
        <v>0</v>
      </c>
      <c r="AZ131" s="64" t="e">
        <f>#REF!-AU131</f>
        <v>#REF!</v>
      </c>
      <c r="BA131" s="64">
        <f t="shared" si="276"/>
        <v>1837.7</v>
      </c>
      <c r="BB131" s="64"/>
      <c r="BC131" s="65">
        <v>1837.7</v>
      </c>
      <c r="BD131" s="64"/>
      <c r="BE131" s="64"/>
      <c r="BF131" s="64">
        <f t="shared" si="277"/>
        <v>0</v>
      </c>
      <c r="BG131" s="64"/>
      <c r="BH131" s="64"/>
      <c r="BI131" s="64"/>
      <c r="BJ131" s="64"/>
      <c r="BK131" s="64">
        <f>BL131+BM131+BN131+BO131</f>
        <v>1837.7</v>
      </c>
      <c r="BL131" s="64"/>
      <c r="BM131" s="65">
        <v>1837.7</v>
      </c>
      <c r="BN131" s="64"/>
      <c r="BO131" s="64"/>
      <c r="BP131" s="64">
        <f t="shared" si="279"/>
        <v>1837.6999999999998</v>
      </c>
      <c r="BQ131" s="64"/>
      <c r="BR131" s="64">
        <f>465.244+1372.456</f>
        <v>1837.6999999999998</v>
      </c>
      <c r="BS131" s="64"/>
      <c r="BT131" s="64"/>
      <c r="BU131" s="64">
        <f t="shared" si="280"/>
        <v>614</v>
      </c>
      <c r="BV131" s="64"/>
      <c r="BW131" s="64">
        <f>458.91828+155.08172</f>
        <v>614</v>
      </c>
      <c r="BX131" s="64"/>
      <c r="BY131" s="64"/>
      <c r="BZ131" s="60">
        <f t="shared" si="281"/>
        <v>2451.6999999999998</v>
      </c>
      <c r="CA131" s="64">
        <f t="shared" si="156"/>
        <v>2451.6999999999998</v>
      </c>
      <c r="CB131" s="64">
        <f t="shared" si="157"/>
        <v>0</v>
      </c>
      <c r="CC131" s="64">
        <f t="shared" si="158"/>
        <v>2451.6999999999998</v>
      </c>
      <c r="CD131" s="64">
        <f t="shared" si="159"/>
        <v>0</v>
      </c>
      <c r="CE131" s="64">
        <f t="shared" si="282"/>
        <v>0</v>
      </c>
      <c r="CF131" s="64">
        <f t="shared" si="160"/>
        <v>0</v>
      </c>
      <c r="CG131" s="64">
        <f t="shared" si="161"/>
        <v>0</v>
      </c>
      <c r="CH131" s="64">
        <f t="shared" si="162"/>
        <v>0</v>
      </c>
      <c r="CI131" s="64">
        <f t="shared" si="163"/>
        <v>0</v>
      </c>
      <c r="CJ131" s="64">
        <f t="shared" si="283"/>
        <v>0</v>
      </c>
      <c r="CK131" s="66"/>
      <c r="CL131" s="76">
        <f>BA131+BA133</f>
        <v>5937.7</v>
      </c>
      <c r="CM131" s="76">
        <f>CL131-BF133</f>
        <v>5937.7</v>
      </c>
      <c r="CN131" s="64">
        <f t="shared" si="284"/>
        <v>0</v>
      </c>
      <c r="CO131" s="64"/>
      <c r="CP131" s="64"/>
      <c r="CQ131" s="64"/>
      <c r="CR131" s="64"/>
      <c r="CS131" s="64">
        <f t="shared" si="285"/>
        <v>0</v>
      </c>
      <c r="CT131" s="64"/>
      <c r="CU131" s="64"/>
      <c r="CV131" s="64"/>
      <c r="CW131" s="64"/>
      <c r="CX131" s="64">
        <f t="shared" si="286"/>
        <v>0</v>
      </c>
      <c r="CY131" s="64">
        <f t="shared" si="287"/>
        <v>0</v>
      </c>
      <c r="CZ131" s="64">
        <f t="shared" si="287"/>
        <v>0</v>
      </c>
      <c r="DA131" s="64">
        <f t="shared" si="287"/>
        <v>0</v>
      </c>
      <c r="DB131" s="64">
        <f t="shared" si="287"/>
        <v>0</v>
      </c>
      <c r="DC131" s="64"/>
      <c r="DD131" s="64"/>
      <c r="DE131" s="64"/>
      <c r="DF131" s="64">
        <f t="shared" si="288"/>
        <v>0</v>
      </c>
      <c r="DH131" s="64">
        <f t="shared" si="289"/>
        <v>1837.7</v>
      </c>
      <c r="DI131" s="64">
        <f t="shared" si="290"/>
        <v>1837.6999999999998</v>
      </c>
      <c r="DK131" s="77">
        <f>DI131+DI133</f>
        <v>5753.2</v>
      </c>
      <c r="DL131" s="77">
        <f>DF131+DF133</f>
        <v>184.5</v>
      </c>
      <c r="DN131" s="64">
        <f>CM131-DK131</f>
        <v>184.5</v>
      </c>
      <c r="DQ131" s="64">
        <f>DR131+DS131+DT131+DU131</f>
        <v>1837.6999999999998</v>
      </c>
      <c r="DR131" s="64"/>
      <c r="DS131" s="64">
        <f>465.244+1372.456</f>
        <v>1837.6999999999998</v>
      </c>
      <c r="DT131" s="64"/>
      <c r="DU131" s="64"/>
      <c r="DV131" s="64">
        <f t="shared" si="291"/>
        <v>614</v>
      </c>
      <c r="DW131" s="64"/>
      <c r="DX131" s="64">
        <v>614</v>
      </c>
      <c r="DY131" s="64"/>
      <c r="DZ131" s="64"/>
      <c r="EA131" s="375"/>
      <c r="EB131" s="375"/>
      <c r="EC131" s="375"/>
      <c r="ED131" s="375"/>
      <c r="EE131" s="375"/>
      <c r="EF131" s="375"/>
      <c r="EG131" s="375"/>
      <c r="EH131" s="375"/>
      <c r="EI131" s="375"/>
      <c r="EJ131" s="375"/>
      <c r="EK131" s="375"/>
      <c r="EL131" s="375"/>
      <c r="EM131" s="375"/>
      <c r="EN131" s="375"/>
      <c r="EO131" s="375"/>
      <c r="EP131" s="375"/>
      <c r="EQ131" s="375"/>
      <c r="ER131" s="375"/>
      <c r="ES131" s="375"/>
      <c r="ET131" s="375"/>
      <c r="EU131" s="375"/>
      <c r="EV131" s="375"/>
      <c r="EW131" s="375"/>
      <c r="EX131" s="375"/>
      <c r="EY131" s="375"/>
      <c r="EZ131" s="375"/>
      <c r="FA131" s="375"/>
      <c r="FB131" s="375"/>
      <c r="FC131" s="375"/>
      <c r="FD131" s="375"/>
      <c r="FE131" s="375"/>
      <c r="FF131" s="375"/>
      <c r="FG131" s="375"/>
      <c r="FH131" s="375"/>
      <c r="FI131" s="375"/>
      <c r="FJ131" s="375"/>
      <c r="FK131" s="375"/>
      <c r="FL131" s="375"/>
      <c r="FM131" s="375"/>
      <c r="FN131" s="375"/>
      <c r="FO131" s="375"/>
      <c r="FP131" s="375"/>
      <c r="FQ131" s="375"/>
      <c r="FR131" s="375"/>
      <c r="FS131" s="375"/>
      <c r="FT131" s="375"/>
      <c r="FU131" s="375"/>
      <c r="FV131" s="375"/>
      <c r="FW131" s="375"/>
      <c r="FX131" s="375"/>
      <c r="FY131" s="375"/>
      <c r="FZ131" s="375"/>
      <c r="GA131" s="375"/>
      <c r="GB131" s="375"/>
      <c r="GC131" s="375"/>
      <c r="GD131" s="375"/>
      <c r="GE131" s="375"/>
      <c r="GF131" s="375"/>
      <c r="GG131" s="375"/>
      <c r="GH131" s="375"/>
      <c r="GI131" s="375"/>
      <c r="GJ131" s="375"/>
      <c r="GK131" s="375"/>
      <c r="GL131" s="375"/>
      <c r="GM131" s="375"/>
      <c r="GN131" s="375"/>
      <c r="GO131" s="375"/>
      <c r="GP131" s="375"/>
      <c r="GQ131" s="375"/>
      <c r="GR131" s="375"/>
    </row>
    <row r="132" spans="1:200" s="61" customFormat="1" ht="16.2" customHeight="1" x14ac:dyDescent="0.3">
      <c r="A132" s="280"/>
      <c r="B132" s="281"/>
      <c r="C132" s="282"/>
      <c r="D132" s="282">
        <v>1</v>
      </c>
      <c r="E132" s="4">
        <v>110</v>
      </c>
      <c r="F132" s="281"/>
      <c r="G132" s="282"/>
      <c r="H132" s="282"/>
      <c r="I132" s="489" t="s">
        <v>281</v>
      </c>
      <c r="J132" s="490"/>
      <c r="K132" s="490"/>
      <c r="L132" s="490"/>
      <c r="M132" s="4">
        <v>107</v>
      </c>
      <c r="N132" s="62" t="s">
        <v>225</v>
      </c>
      <c r="O132" s="62" t="s">
        <v>448</v>
      </c>
      <c r="P132" s="62" t="s">
        <v>450</v>
      </c>
      <c r="Q132" s="60">
        <f t="shared" si="164"/>
        <v>0</v>
      </c>
      <c r="R132" s="60">
        <f t="shared" si="165"/>
        <v>3.8524999999999636</v>
      </c>
      <c r="S132" s="60">
        <f t="shared" si="166"/>
        <v>0</v>
      </c>
      <c r="T132" s="60">
        <v>1</v>
      </c>
      <c r="U132" s="60">
        <v>2</v>
      </c>
      <c r="V132" s="64">
        <f t="shared" si="271"/>
        <v>770.5</v>
      </c>
      <c r="W132" s="65"/>
      <c r="X132" s="64">
        <v>770.5</v>
      </c>
      <c r="Y132" s="73"/>
      <c r="Z132" s="73"/>
      <c r="AA132" s="64">
        <f t="shared" si="272"/>
        <v>770.5</v>
      </c>
      <c r="AB132" s="65"/>
      <c r="AC132" s="64">
        <v>770.5</v>
      </c>
      <c r="AD132" s="73"/>
      <c r="AE132" s="73"/>
      <c r="AF132" s="64">
        <f t="shared" si="273"/>
        <v>770.5</v>
      </c>
      <c r="AG132" s="65"/>
      <c r="AH132" s="64">
        <v>770.5</v>
      </c>
      <c r="AI132" s="73"/>
      <c r="AJ132" s="73"/>
      <c r="AK132" s="64">
        <f t="shared" si="274"/>
        <v>335</v>
      </c>
      <c r="AL132" s="65"/>
      <c r="AM132" s="64">
        <v>335</v>
      </c>
      <c r="AN132" s="73"/>
      <c r="AO132" s="73"/>
      <c r="AP132" s="64" t="s">
        <v>503</v>
      </c>
      <c r="AQ132" s="64">
        <f t="shared" si="275"/>
        <v>770.5</v>
      </c>
      <c r="AR132" s="64"/>
      <c r="AS132" s="64">
        <f>335+435.5</f>
        <v>770.5</v>
      </c>
      <c r="AT132" s="64"/>
      <c r="AU132" s="64"/>
      <c r="AV132" s="64">
        <f t="shared" si="152"/>
        <v>0</v>
      </c>
      <c r="AW132" s="64">
        <f t="shared" si="153"/>
        <v>0</v>
      </c>
      <c r="AX132" s="64">
        <f t="shared" si="154"/>
        <v>0</v>
      </c>
      <c r="AY132" s="64">
        <f t="shared" si="155"/>
        <v>0</v>
      </c>
      <c r="AZ132" s="64" t="e">
        <f>#REF!-AU132</f>
        <v>#REF!</v>
      </c>
      <c r="BA132" s="64">
        <f t="shared" si="276"/>
        <v>770.5</v>
      </c>
      <c r="BB132" s="64"/>
      <c r="BC132" s="64">
        <f>335+435.5</f>
        <v>770.5</v>
      </c>
      <c r="BD132" s="64"/>
      <c r="BE132" s="64"/>
      <c r="BF132" s="64">
        <f t="shared" si="277"/>
        <v>0</v>
      </c>
      <c r="BG132" s="64"/>
      <c r="BH132" s="64"/>
      <c r="BI132" s="64"/>
      <c r="BJ132" s="64"/>
      <c r="BK132" s="64">
        <f t="shared" si="278"/>
        <v>770.5</v>
      </c>
      <c r="BL132" s="64"/>
      <c r="BM132" s="64">
        <f>335+435.5</f>
        <v>770.5</v>
      </c>
      <c r="BN132" s="64"/>
      <c r="BO132" s="64"/>
      <c r="BP132" s="64">
        <f t="shared" si="279"/>
        <v>766.64750000000004</v>
      </c>
      <c r="BQ132" s="64"/>
      <c r="BR132" s="64">
        <f>333.325+433.3225</f>
        <v>766.64750000000004</v>
      </c>
      <c r="BS132" s="64"/>
      <c r="BT132" s="64"/>
      <c r="BU132" s="64">
        <f t="shared" si="280"/>
        <v>255.71499999999997</v>
      </c>
      <c r="BV132" s="64"/>
      <c r="BW132" s="64">
        <f>111.1415+144.5735</f>
        <v>255.71499999999997</v>
      </c>
      <c r="BX132" s="64"/>
      <c r="BY132" s="64"/>
      <c r="BZ132" s="60">
        <f t="shared" si="281"/>
        <v>1022.3625</v>
      </c>
      <c r="CA132" s="64">
        <f t="shared" si="156"/>
        <v>1022.3625</v>
      </c>
      <c r="CB132" s="64">
        <f t="shared" si="157"/>
        <v>0</v>
      </c>
      <c r="CC132" s="64">
        <f t="shared" si="158"/>
        <v>1022.3625</v>
      </c>
      <c r="CD132" s="64">
        <f t="shared" si="159"/>
        <v>0</v>
      </c>
      <c r="CE132" s="64">
        <f t="shared" si="282"/>
        <v>0</v>
      </c>
      <c r="CF132" s="64">
        <f t="shared" si="160"/>
        <v>3.8524999999999636</v>
      </c>
      <c r="CG132" s="64">
        <f t="shared" si="161"/>
        <v>0</v>
      </c>
      <c r="CH132" s="64">
        <f t="shared" si="162"/>
        <v>3.8524999999999636</v>
      </c>
      <c r="CI132" s="64">
        <f t="shared" si="163"/>
        <v>0</v>
      </c>
      <c r="CJ132" s="64">
        <f t="shared" si="283"/>
        <v>0</v>
      </c>
      <c r="CK132" s="66"/>
      <c r="CL132" s="67">
        <f>BA128-CL129-CL131</f>
        <v>3187.8</v>
      </c>
      <c r="CM132" s="67">
        <f>CL132-BF135</f>
        <v>3187.8</v>
      </c>
      <c r="CN132" s="64">
        <f t="shared" si="284"/>
        <v>0</v>
      </c>
      <c r="CO132" s="64"/>
      <c r="CP132" s="64"/>
      <c r="CQ132" s="64"/>
      <c r="CR132" s="64"/>
      <c r="CS132" s="64">
        <f t="shared" si="285"/>
        <v>0</v>
      </c>
      <c r="CT132" s="64"/>
      <c r="CU132" s="64"/>
      <c r="CV132" s="64"/>
      <c r="CW132" s="64"/>
      <c r="CX132" s="64">
        <f t="shared" si="286"/>
        <v>0</v>
      </c>
      <c r="CY132" s="64">
        <f t="shared" si="287"/>
        <v>0</v>
      </c>
      <c r="CZ132" s="64">
        <f t="shared" si="287"/>
        <v>0</v>
      </c>
      <c r="DA132" s="64">
        <f t="shared" si="287"/>
        <v>0</v>
      </c>
      <c r="DB132" s="64">
        <f t="shared" si="287"/>
        <v>0</v>
      </c>
      <c r="DC132" s="64"/>
      <c r="DD132" s="64"/>
      <c r="DE132" s="64"/>
      <c r="DF132" s="64">
        <f t="shared" si="288"/>
        <v>3.8524999999999636</v>
      </c>
      <c r="DH132" s="64">
        <f t="shared" si="289"/>
        <v>770.5</v>
      </c>
      <c r="DI132" s="64">
        <f t="shared" si="290"/>
        <v>766.64750000000004</v>
      </c>
      <c r="DK132" s="64">
        <f>DI132+DI134+DI135+DI136</f>
        <v>3176.4622900000004</v>
      </c>
      <c r="DL132" s="64">
        <f>DF132+DF134+DF135+DF136</f>
        <v>11.337710000000015</v>
      </c>
      <c r="DN132" s="64">
        <f>CM132-DK132</f>
        <v>11.337709999999788</v>
      </c>
      <c r="DQ132" s="64">
        <f t="shared" si="292"/>
        <v>766.64750000000004</v>
      </c>
      <c r="DR132" s="64"/>
      <c r="DS132" s="64">
        <f>333.325+433.3225</f>
        <v>766.64750000000004</v>
      </c>
      <c r="DT132" s="64"/>
      <c r="DU132" s="64"/>
      <c r="DV132" s="64">
        <f t="shared" si="291"/>
        <v>255.715</v>
      </c>
      <c r="DW132" s="64"/>
      <c r="DX132" s="64">
        <v>255.715</v>
      </c>
      <c r="DY132" s="64"/>
      <c r="DZ132" s="64"/>
      <c r="EA132" s="375"/>
      <c r="EB132" s="375"/>
      <c r="EC132" s="375"/>
      <c r="ED132" s="375"/>
      <c r="EE132" s="375"/>
      <c r="EF132" s="375"/>
      <c r="EG132" s="375"/>
      <c r="EH132" s="375"/>
      <c r="EI132" s="375"/>
      <c r="EJ132" s="375"/>
      <c r="EK132" s="375"/>
      <c r="EL132" s="375"/>
      <c r="EM132" s="375"/>
      <c r="EN132" s="375"/>
      <c r="EO132" s="375"/>
      <c r="EP132" s="375"/>
      <c r="EQ132" s="375"/>
      <c r="ER132" s="375"/>
      <c r="ES132" s="375"/>
      <c r="ET132" s="375"/>
      <c r="EU132" s="375"/>
      <c r="EV132" s="375"/>
      <c r="EW132" s="375"/>
      <c r="EX132" s="375"/>
      <c r="EY132" s="375"/>
      <c r="EZ132" s="375"/>
      <c r="FA132" s="375"/>
      <c r="FB132" s="375"/>
      <c r="FC132" s="375"/>
      <c r="FD132" s="375"/>
      <c r="FE132" s="375"/>
      <c r="FF132" s="375"/>
      <c r="FG132" s="375"/>
      <c r="FH132" s="375"/>
      <c r="FI132" s="375"/>
      <c r="FJ132" s="375"/>
      <c r="FK132" s="375"/>
      <c r="FL132" s="375"/>
      <c r="FM132" s="375"/>
      <c r="FN132" s="375"/>
      <c r="FO132" s="375"/>
      <c r="FP132" s="375"/>
      <c r="FQ132" s="375"/>
      <c r="FR132" s="375"/>
      <c r="FS132" s="375"/>
      <c r="FT132" s="375"/>
      <c r="FU132" s="375"/>
      <c r="FV132" s="375"/>
      <c r="FW132" s="375"/>
      <c r="FX132" s="375"/>
      <c r="FY132" s="375"/>
      <c r="FZ132" s="375"/>
      <c r="GA132" s="375"/>
      <c r="GB132" s="375"/>
      <c r="GC132" s="375"/>
      <c r="GD132" s="375"/>
      <c r="GE132" s="375"/>
      <c r="GF132" s="375"/>
      <c r="GG132" s="375"/>
      <c r="GH132" s="375"/>
      <c r="GI132" s="375"/>
      <c r="GJ132" s="375"/>
      <c r="GK132" s="375"/>
      <c r="GL132" s="375"/>
      <c r="GM132" s="375"/>
      <c r="GN132" s="375"/>
      <c r="GO132" s="375"/>
      <c r="GP132" s="375"/>
      <c r="GQ132" s="375"/>
      <c r="GR132" s="375"/>
    </row>
    <row r="133" spans="1:200" s="61" customFormat="1" ht="16.2" customHeight="1" x14ac:dyDescent="0.3">
      <c r="A133" s="280"/>
      <c r="B133" s="281"/>
      <c r="C133" s="282">
        <v>1</v>
      </c>
      <c r="D133" s="282"/>
      <c r="E133" s="4">
        <v>111</v>
      </c>
      <c r="F133" s="281"/>
      <c r="G133" s="282"/>
      <c r="H133" s="282">
        <v>1</v>
      </c>
      <c r="I133" s="491" t="s">
        <v>282</v>
      </c>
      <c r="J133" s="491"/>
      <c r="K133" s="491"/>
      <c r="L133" s="288">
        <f>L127</f>
        <v>14834.91114</v>
      </c>
      <c r="M133" s="4">
        <v>108</v>
      </c>
      <c r="N133" s="62" t="s">
        <v>224</v>
      </c>
      <c r="O133" s="62" t="s">
        <v>450</v>
      </c>
      <c r="P133" s="62" t="s">
        <v>450</v>
      </c>
      <c r="Q133" s="60">
        <f t="shared" si="164"/>
        <v>0</v>
      </c>
      <c r="R133" s="60">
        <f t="shared" si="165"/>
        <v>0</v>
      </c>
      <c r="S133" s="60">
        <f t="shared" si="166"/>
        <v>184.5</v>
      </c>
      <c r="T133" s="60">
        <v>1</v>
      </c>
      <c r="U133" s="60">
        <v>1</v>
      </c>
      <c r="V133" s="64">
        <f t="shared" si="271"/>
        <v>4100</v>
      </c>
      <c r="W133" s="64"/>
      <c r="X133" s="65">
        <v>0</v>
      </c>
      <c r="Y133" s="64">
        <v>4100</v>
      </c>
      <c r="Z133" s="60"/>
      <c r="AA133" s="64">
        <f t="shared" si="272"/>
        <v>4100</v>
      </c>
      <c r="AB133" s="64"/>
      <c r="AC133" s="65">
        <v>0</v>
      </c>
      <c r="AD133" s="64">
        <v>4100</v>
      </c>
      <c r="AE133" s="60"/>
      <c r="AF133" s="64">
        <f t="shared" si="273"/>
        <v>4100</v>
      </c>
      <c r="AG133" s="64"/>
      <c r="AH133" s="65">
        <v>0</v>
      </c>
      <c r="AI133" s="64">
        <v>4100</v>
      </c>
      <c r="AJ133" s="60"/>
      <c r="AK133" s="64">
        <f t="shared" si="274"/>
        <v>4497</v>
      </c>
      <c r="AL133" s="64"/>
      <c r="AM133" s="65">
        <v>397</v>
      </c>
      <c r="AN133" s="64">
        <v>4100</v>
      </c>
      <c r="AO133" s="64"/>
      <c r="AP133" s="64" t="s">
        <v>487</v>
      </c>
      <c r="AQ133" s="64">
        <f t="shared" si="275"/>
        <v>4100</v>
      </c>
      <c r="AR133" s="64"/>
      <c r="AS133" s="65"/>
      <c r="AT133" s="64">
        <v>4100</v>
      </c>
      <c r="AU133" s="64"/>
      <c r="AV133" s="64">
        <f t="shared" si="152"/>
        <v>0</v>
      </c>
      <c r="AW133" s="64">
        <f t="shared" si="153"/>
        <v>0</v>
      </c>
      <c r="AX133" s="64">
        <f t="shared" si="154"/>
        <v>0</v>
      </c>
      <c r="AY133" s="64">
        <f t="shared" si="155"/>
        <v>0</v>
      </c>
      <c r="AZ133" s="64" t="e">
        <f>#REF!-AU133</f>
        <v>#REF!</v>
      </c>
      <c r="BA133" s="64">
        <f t="shared" si="276"/>
        <v>4100</v>
      </c>
      <c r="BB133" s="64"/>
      <c r="BC133" s="65"/>
      <c r="BD133" s="64">
        <v>4100</v>
      </c>
      <c r="BE133" s="64"/>
      <c r="BF133" s="64">
        <f t="shared" si="277"/>
        <v>0</v>
      </c>
      <c r="BG133" s="64"/>
      <c r="BH133" s="64"/>
      <c r="BI133" s="64"/>
      <c r="BJ133" s="64"/>
      <c r="BK133" s="64">
        <f t="shared" si="278"/>
        <v>4100</v>
      </c>
      <c r="BL133" s="64"/>
      <c r="BM133" s="74"/>
      <c r="BN133" s="64">
        <v>4100</v>
      </c>
      <c r="BO133" s="64"/>
      <c r="BP133" s="64">
        <f t="shared" si="279"/>
        <v>3915.5</v>
      </c>
      <c r="BQ133" s="64"/>
      <c r="BR133" s="64"/>
      <c r="BS133" s="64">
        <f>3915.5</f>
        <v>3915.5</v>
      </c>
      <c r="BT133" s="64"/>
      <c r="BU133" s="64">
        <f t="shared" si="280"/>
        <v>4929.6891100000003</v>
      </c>
      <c r="BV133" s="64"/>
      <c r="BW133" s="64"/>
      <c r="BX133" s="64">
        <v>4929.6891100000003</v>
      </c>
      <c r="BY133" s="64"/>
      <c r="BZ133" s="60">
        <f t="shared" si="281"/>
        <v>8845.1891099999993</v>
      </c>
      <c r="CA133" s="64">
        <f t="shared" si="156"/>
        <v>8845.1891099999993</v>
      </c>
      <c r="CB133" s="64">
        <f t="shared" si="157"/>
        <v>0</v>
      </c>
      <c r="CC133" s="64">
        <f t="shared" si="158"/>
        <v>0</v>
      </c>
      <c r="CD133" s="64">
        <f t="shared" si="159"/>
        <v>8845.1891099999993</v>
      </c>
      <c r="CE133" s="64">
        <f t="shared" si="282"/>
        <v>0</v>
      </c>
      <c r="CF133" s="64">
        <f t="shared" si="160"/>
        <v>184.5</v>
      </c>
      <c r="CG133" s="64">
        <f t="shared" si="161"/>
        <v>0</v>
      </c>
      <c r="CH133" s="64">
        <f t="shared" si="162"/>
        <v>0</v>
      </c>
      <c r="CI133" s="64">
        <f t="shared" si="163"/>
        <v>184.5</v>
      </c>
      <c r="CJ133" s="64">
        <f t="shared" si="283"/>
        <v>0</v>
      </c>
      <c r="CK133" s="66"/>
      <c r="CL133" s="67"/>
      <c r="CM133" s="67"/>
      <c r="CN133" s="64">
        <f t="shared" si="284"/>
        <v>0</v>
      </c>
      <c r="CO133" s="64"/>
      <c r="CP133" s="64"/>
      <c r="CQ133" s="64"/>
      <c r="CR133" s="64"/>
      <c r="CS133" s="64">
        <f t="shared" si="285"/>
        <v>0</v>
      </c>
      <c r="CT133" s="64"/>
      <c r="CU133" s="64"/>
      <c r="CV133" s="64"/>
      <c r="CW133" s="64"/>
      <c r="CX133" s="64">
        <f t="shared" si="286"/>
        <v>0</v>
      </c>
      <c r="CY133" s="64">
        <f t="shared" si="287"/>
        <v>0</v>
      </c>
      <c r="CZ133" s="64">
        <f t="shared" si="287"/>
        <v>0</v>
      </c>
      <c r="DA133" s="64">
        <f t="shared" si="287"/>
        <v>0</v>
      </c>
      <c r="DB133" s="64">
        <f t="shared" si="287"/>
        <v>0</v>
      </c>
      <c r="DC133" s="64"/>
      <c r="DD133" s="64"/>
      <c r="DE133" s="64"/>
      <c r="DF133" s="64">
        <f t="shared" si="288"/>
        <v>184.5</v>
      </c>
      <c r="DH133" s="64">
        <f t="shared" si="289"/>
        <v>4100</v>
      </c>
      <c r="DI133" s="64">
        <f t="shared" si="290"/>
        <v>3915.5</v>
      </c>
      <c r="DK133" s="64"/>
      <c r="DL133" s="64"/>
      <c r="DN133" s="64"/>
      <c r="DQ133" s="64">
        <f t="shared" si="292"/>
        <v>3915.5</v>
      </c>
      <c r="DR133" s="64"/>
      <c r="DS133" s="64"/>
      <c r="DT133" s="64">
        <f>3915.5</f>
        <v>3915.5</v>
      </c>
      <c r="DU133" s="64"/>
      <c r="DV133" s="64">
        <f t="shared" si="291"/>
        <v>4929.6891100000003</v>
      </c>
      <c r="DW133" s="64"/>
      <c r="DX133" s="64"/>
      <c r="DY133" s="64">
        <v>4929.6891100000003</v>
      </c>
      <c r="DZ133" s="64"/>
      <c r="EA133" s="375"/>
      <c r="EB133" s="375"/>
      <c r="EC133" s="375"/>
      <c r="ED133" s="375"/>
      <c r="EE133" s="375"/>
      <c r="EF133" s="375"/>
      <c r="EG133" s="375"/>
      <c r="EH133" s="375"/>
      <c r="EI133" s="375"/>
      <c r="EJ133" s="375"/>
      <c r="EK133" s="375"/>
      <c r="EL133" s="375"/>
      <c r="EM133" s="375"/>
      <c r="EN133" s="375"/>
      <c r="EO133" s="375"/>
      <c r="EP133" s="375"/>
      <c r="EQ133" s="375"/>
      <c r="ER133" s="375"/>
      <c r="ES133" s="375"/>
      <c r="ET133" s="375"/>
      <c r="EU133" s="375"/>
      <c r="EV133" s="375"/>
      <c r="EW133" s="375"/>
      <c r="EX133" s="375"/>
      <c r="EY133" s="375"/>
      <c r="EZ133" s="375"/>
      <c r="FA133" s="375"/>
      <c r="FB133" s="375"/>
      <c r="FC133" s="375"/>
      <c r="FD133" s="375"/>
      <c r="FE133" s="375"/>
      <c r="FF133" s="375"/>
      <c r="FG133" s="375"/>
      <c r="FH133" s="375"/>
      <c r="FI133" s="375"/>
      <c r="FJ133" s="375"/>
      <c r="FK133" s="375"/>
      <c r="FL133" s="375"/>
      <c r="FM133" s="375"/>
      <c r="FN133" s="375"/>
      <c r="FO133" s="375"/>
      <c r="FP133" s="375"/>
      <c r="FQ133" s="375"/>
      <c r="FR133" s="375"/>
      <c r="FS133" s="375"/>
      <c r="FT133" s="375"/>
      <c r="FU133" s="375"/>
      <c r="FV133" s="375"/>
      <c r="FW133" s="375"/>
      <c r="FX133" s="375"/>
      <c r="FY133" s="375"/>
      <c r="FZ133" s="375"/>
      <c r="GA133" s="375"/>
      <c r="GB133" s="375"/>
      <c r="GC133" s="375"/>
      <c r="GD133" s="375"/>
      <c r="GE133" s="375"/>
      <c r="GF133" s="375"/>
      <c r="GG133" s="375"/>
      <c r="GH133" s="375"/>
      <c r="GI133" s="375"/>
      <c r="GJ133" s="375"/>
      <c r="GK133" s="375"/>
      <c r="GL133" s="375"/>
      <c r="GM133" s="375"/>
      <c r="GN133" s="375"/>
      <c r="GO133" s="375"/>
      <c r="GP133" s="375"/>
      <c r="GQ133" s="375"/>
      <c r="GR133" s="375"/>
    </row>
    <row r="134" spans="1:200" s="61" customFormat="1" ht="16.2" customHeight="1" x14ac:dyDescent="0.3">
      <c r="A134" s="280"/>
      <c r="B134" s="281"/>
      <c r="C134" s="282"/>
      <c r="D134" s="282">
        <v>1</v>
      </c>
      <c r="E134" s="4">
        <v>112</v>
      </c>
      <c r="F134" s="281"/>
      <c r="G134" s="282"/>
      <c r="H134" s="282">
        <v>1</v>
      </c>
      <c r="I134" s="491" t="s">
        <v>283</v>
      </c>
      <c r="J134" s="491"/>
      <c r="K134" s="491"/>
      <c r="L134" s="288">
        <f>L41+L44+L47+L117+L120+L123+L130</f>
        <v>8075</v>
      </c>
      <c r="M134" s="4">
        <v>109</v>
      </c>
      <c r="N134" s="62" t="s">
        <v>167</v>
      </c>
      <c r="O134" s="62" t="s">
        <v>450</v>
      </c>
      <c r="P134" s="62" t="s">
        <v>450</v>
      </c>
      <c r="Q134" s="60">
        <f t="shared" si="164"/>
        <v>0</v>
      </c>
      <c r="R134" s="60">
        <f t="shared" si="165"/>
        <v>1.9661100000000715</v>
      </c>
      <c r="S134" s="60">
        <f t="shared" si="166"/>
        <v>0</v>
      </c>
      <c r="T134" s="60">
        <v>1</v>
      </c>
      <c r="U134" s="60">
        <v>2</v>
      </c>
      <c r="V134" s="64">
        <f t="shared" si="271"/>
        <v>792.6</v>
      </c>
      <c r="W134" s="64"/>
      <c r="X134" s="65">
        <v>792.6</v>
      </c>
      <c r="Y134" s="64"/>
      <c r="Z134" s="60"/>
      <c r="AA134" s="64">
        <f t="shared" si="272"/>
        <v>792.6</v>
      </c>
      <c r="AB134" s="64"/>
      <c r="AC134" s="65">
        <v>792.6</v>
      </c>
      <c r="AD134" s="64"/>
      <c r="AE134" s="60"/>
      <c r="AF134" s="64">
        <f t="shared" si="273"/>
        <v>792.6</v>
      </c>
      <c r="AG134" s="64"/>
      <c r="AH134" s="65">
        <v>792.6</v>
      </c>
      <c r="AI134" s="64"/>
      <c r="AJ134" s="60"/>
      <c r="AK134" s="64">
        <f t="shared" si="274"/>
        <v>172</v>
      </c>
      <c r="AL134" s="64"/>
      <c r="AM134" s="65">
        <v>172</v>
      </c>
      <c r="AN134" s="64"/>
      <c r="AO134" s="64"/>
      <c r="AP134" s="64" t="s">
        <v>480</v>
      </c>
      <c r="AQ134" s="64">
        <f t="shared" si="275"/>
        <v>792.6</v>
      </c>
      <c r="AR134" s="64"/>
      <c r="AS134" s="65">
        <f>172+620.6</f>
        <v>792.6</v>
      </c>
      <c r="AT134" s="64"/>
      <c r="AU134" s="64"/>
      <c r="AV134" s="64">
        <f t="shared" si="152"/>
        <v>0</v>
      </c>
      <c r="AW134" s="64">
        <f t="shared" si="153"/>
        <v>0</v>
      </c>
      <c r="AX134" s="64">
        <f t="shared" si="154"/>
        <v>0</v>
      </c>
      <c r="AY134" s="64">
        <f t="shared" si="155"/>
        <v>0</v>
      </c>
      <c r="AZ134" s="64" t="e">
        <f>#REF!-AU134</f>
        <v>#REF!</v>
      </c>
      <c r="BA134" s="64">
        <f t="shared" si="276"/>
        <v>792.6</v>
      </c>
      <c r="BB134" s="64"/>
      <c r="BC134" s="65">
        <f>172+620.6</f>
        <v>792.6</v>
      </c>
      <c r="BD134" s="64"/>
      <c r="BE134" s="64"/>
      <c r="BF134" s="64">
        <f t="shared" si="277"/>
        <v>0</v>
      </c>
      <c r="BG134" s="64"/>
      <c r="BH134" s="73"/>
      <c r="BI134" s="64"/>
      <c r="BJ134" s="64"/>
      <c r="BK134" s="64">
        <f t="shared" si="278"/>
        <v>792.6</v>
      </c>
      <c r="BL134" s="64"/>
      <c r="BM134" s="65">
        <f>172+620.6</f>
        <v>792.6</v>
      </c>
      <c r="BN134" s="64"/>
      <c r="BO134" s="64"/>
      <c r="BP134" s="64">
        <f t="shared" si="279"/>
        <v>790.63388999999995</v>
      </c>
      <c r="BQ134" s="64"/>
      <c r="BR134" s="74">
        <f>395.03389+172+223.6</f>
        <v>790.63388999999995</v>
      </c>
      <c r="BS134" s="64"/>
      <c r="BT134" s="64"/>
      <c r="BU134" s="64">
        <f t="shared" si="280"/>
        <v>265.29059999999998</v>
      </c>
      <c r="BV134" s="64"/>
      <c r="BW134" s="64">
        <f>44.47161+87.83917+58.00678+30.50143+44.47161</f>
        <v>265.29059999999998</v>
      </c>
      <c r="BX134" s="64"/>
      <c r="BY134" s="64"/>
      <c r="BZ134" s="60">
        <f t="shared" si="281"/>
        <v>1055.9244899999999</v>
      </c>
      <c r="CA134" s="64">
        <f t="shared" si="156"/>
        <v>1055.9244899999999</v>
      </c>
      <c r="CB134" s="64">
        <f t="shared" si="157"/>
        <v>0</v>
      </c>
      <c r="CC134" s="64">
        <f t="shared" si="158"/>
        <v>1055.9244899999999</v>
      </c>
      <c r="CD134" s="64">
        <f t="shared" si="159"/>
        <v>0</v>
      </c>
      <c r="CE134" s="64">
        <f t="shared" si="282"/>
        <v>0</v>
      </c>
      <c r="CF134" s="64">
        <f t="shared" si="160"/>
        <v>1.9661100000000715</v>
      </c>
      <c r="CG134" s="64">
        <f t="shared" si="161"/>
        <v>0</v>
      </c>
      <c r="CH134" s="64">
        <f t="shared" si="162"/>
        <v>1.9661100000000715</v>
      </c>
      <c r="CI134" s="64">
        <f t="shared" si="163"/>
        <v>0</v>
      </c>
      <c r="CJ134" s="64">
        <f t="shared" si="283"/>
        <v>0</v>
      </c>
      <c r="CK134" s="66"/>
      <c r="CL134" s="67"/>
      <c r="CM134" s="67"/>
      <c r="CN134" s="64">
        <f t="shared" si="284"/>
        <v>0</v>
      </c>
      <c r="CO134" s="64"/>
      <c r="CP134" s="73"/>
      <c r="CQ134" s="64"/>
      <c r="CR134" s="64"/>
      <c r="CS134" s="64">
        <f t="shared" si="285"/>
        <v>0</v>
      </c>
      <c r="CT134" s="64"/>
      <c r="CU134" s="73"/>
      <c r="CV134" s="64"/>
      <c r="CW134" s="64"/>
      <c r="CX134" s="64">
        <f t="shared" si="286"/>
        <v>0</v>
      </c>
      <c r="CY134" s="64">
        <f t="shared" si="287"/>
        <v>0</v>
      </c>
      <c r="CZ134" s="64">
        <f t="shared" si="287"/>
        <v>0</v>
      </c>
      <c r="DA134" s="64">
        <f t="shared" si="287"/>
        <v>0</v>
      </c>
      <c r="DB134" s="64">
        <f t="shared" si="287"/>
        <v>0</v>
      </c>
      <c r="DC134" s="64"/>
      <c r="DD134" s="64"/>
      <c r="DE134" s="64"/>
      <c r="DF134" s="64">
        <f t="shared" si="288"/>
        <v>1.9661100000000715</v>
      </c>
      <c r="DH134" s="64">
        <f t="shared" si="289"/>
        <v>792.6</v>
      </c>
      <c r="DI134" s="64">
        <f t="shared" si="290"/>
        <v>790.63388999999995</v>
      </c>
      <c r="DK134" s="64"/>
      <c r="DL134" s="64"/>
      <c r="DN134" s="64"/>
      <c r="DQ134" s="64">
        <f t="shared" si="292"/>
        <v>790.63388999999995</v>
      </c>
      <c r="DR134" s="64"/>
      <c r="DS134" s="74">
        <f>395.03389+172+223.6</f>
        <v>790.63388999999995</v>
      </c>
      <c r="DT134" s="64"/>
      <c r="DU134" s="64"/>
      <c r="DV134" s="64">
        <f t="shared" si="291"/>
        <v>132.31077999999999</v>
      </c>
      <c r="DW134" s="64"/>
      <c r="DX134" s="64">
        <v>132.31077999999999</v>
      </c>
      <c r="DY134" s="64"/>
      <c r="DZ134" s="64"/>
      <c r="EA134" s="375"/>
      <c r="EB134" s="375"/>
      <c r="EC134" s="375"/>
      <c r="ED134" s="375"/>
      <c r="EE134" s="375"/>
      <c r="EF134" s="375"/>
      <c r="EG134" s="375"/>
      <c r="EH134" s="375"/>
      <c r="EI134" s="375"/>
      <c r="EJ134" s="375"/>
      <c r="EK134" s="375"/>
      <c r="EL134" s="375"/>
      <c r="EM134" s="375"/>
      <c r="EN134" s="375"/>
      <c r="EO134" s="375"/>
      <c r="EP134" s="375"/>
      <c r="EQ134" s="375"/>
      <c r="ER134" s="375"/>
      <c r="ES134" s="375"/>
      <c r="ET134" s="375"/>
      <c r="EU134" s="375"/>
      <c r="EV134" s="375"/>
      <c r="EW134" s="375"/>
      <c r="EX134" s="375"/>
      <c r="EY134" s="375"/>
      <c r="EZ134" s="375"/>
      <c r="FA134" s="375"/>
      <c r="FB134" s="375"/>
      <c r="FC134" s="375"/>
      <c r="FD134" s="375"/>
      <c r="FE134" s="375"/>
      <c r="FF134" s="375"/>
      <c r="FG134" s="375"/>
      <c r="FH134" s="375"/>
      <c r="FI134" s="375"/>
      <c r="FJ134" s="375"/>
      <c r="FK134" s="375"/>
      <c r="FL134" s="375"/>
      <c r="FM134" s="375"/>
      <c r="FN134" s="375"/>
      <c r="FO134" s="375"/>
      <c r="FP134" s="375"/>
      <c r="FQ134" s="375"/>
      <c r="FR134" s="375"/>
      <c r="FS134" s="375"/>
      <c r="FT134" s="375"/>
      <c r="FU134" s="375"/>
      <c r="FV134" s="375"/>
      <c r="FW134" s="375"/>
      <c r="FX134" s="375"/>
      <c r="FY134" s="375"/>
      <c r="FZ134" s="375"/>
      <c r="GA134" s="375"/>
      <c r="GB134" s="375"/>
      <c r="GC134" s="375"/>
      <c r="GD134" s="375"/>
      <c r="GE134" s="375"/>
      <c r="GF134" s="375"/>
      <c r="GG134" s="375"/>
      <c r="GH134" s="375"/>
      <c r="GI134" s="375"/>
      <c r="GJ134" s="375"/>
      <c r="GK134" s="375"/>
      <c r="GL134" s="375"/>
      <c r="GM134" s="375"/>
      <c r="GN134" s="375"/>
      <c r="GO134" s="375"/>
      <c r="GP134" s="375"/>
      <c r="GQ134" s="375"/>
      <c r="GR134" s="375"/>
    </row>
    <row r="135" spans="1:200" s="61" customFormat="1" ht="16.2" customHeight="1" x14ac:dyDescent="0.3">
      <c r="A135" s="280"/>
      <c r="B135" s="281"/>
      <c r="C135" s="282"/>
      <c r="D135" s="282">
        <v>1</v>
      </c>
      <c r="E135" s="4">
        <v>113</v>
      </c>
      <c r="F135" s="281"/>
      <c r="G135" s="282"/>
      <c r="H135" s="282">
        <v>1</v>
      </c>
      <c r="I135" s="280"/>
      <c r="J135" s="280"/>
      <c r="K135" s="280"/>
      <c r="L135" s="280"/>
      <c r="M135" s="4">
        <v>110</v>
      </c>
      <c r="N135" s="62" t="s">
        <v>109</v>
      </c>
      <c r="O135" s="62" t="s">
        <v>450</v>
      </c>
      <c r="P135" s="62" t="s">
        <v>450</v>
      </c>
      <c r="Q135" s="60">
        <f t="shared" si="164"/>
        <v>0</v>
      </c>
      <c r="R135" s="60">
        <f t="shared" si="165"/>
        <v>5.5190999999999804</v>
      </c>
      <c r="S135" s="60">
        <f t="shared" si="166"/>
        <v>0</v>
      </c>
      <c r="T135" s="60">
        <v>1</v>
      </c>
      <c r="U135" s="60">
        <v>2</v>
      </c>
      <c r="V135" s="64">
        <f t="shared" si="271"/>
        <v>1104.9000000000001</v>
      </c>
      <c r="W135" s="64"/>
      <c r="X135" s="65">
        <v>1104.9000000000001</v>
      </c>
      <c r="Y135" s="64"/>
      <c r="Z135" s="60"/>
      <c r="AA135" s="64">
        <f t="shared" si="272"/>
        <v>1104.9000000000001</v>
      </c>
      <c r="AB135" s="64"/>
      <c r="AC135" s="65">
        <v>1104.9000000000001</v>
      </c>
      <c r="AD135" s="64"/>
      <c r="AE135" s="60"/>
      <c r="AF135" s="64">
        <f t="shared" si="273"/>
        <v>1104.9000000000001</v>
      </c>
      <c r="AG135" s="64"/>
      <c r="AH135" s="65">
        <v>1104.9000000000001</v>
      </c>
      <c r="AI135" s="64"/>
      <c r="AJ135" s="60"/>
      <c r="AK135" s="64">
        <f t="shared" si="274"/>
        <v>256</v>
      </c>
      <c r="AL135" s="64"/>
      <c r="AM135" s="65">
        <v>256</v>
      </c>
      <c r="AN135" s="64"/>
      <c r="AO135" s="64"/>
      <c r="AP135" s="64" t="s">
        <v>499</v>
      </c>
      <c r="AQ135" s="64">
        <f t="shared" si="275"/>
        <v>1104.9000000000001</v>
      </c>
      <c r="AR135" s="64"/>
      <c r="AS135" s="65">
        <f>256+848.9</f>
        <v>1104.9000000000001</v>
      </c>
      <c r="AT135" s="64"/>
      <c r="AU135" s="64"/>
      <c r="AV135" s="64">
        <f t="shared" ref="AV135:AV198" si="293">AW135+AX135+AY135</f>
        <v>0</v>
      </c>
      <c r="AW135" s="64">
        <f t="shared" ref="AW135:AW198" si="294">W135-AR135</f>
        <v>0</v>
      </c>
      <c r="AX135" s="64">
        <f t="shared" ref="AX135:AX198" si="295">X135-AS135</f>
        <v>0</v>
      </c>
      <c r="AY135" s="64">
        <f t="shared" ref="AY135:AY198" si="296">Y135-AT135</f>
        <v>0</v>
      </c>
      <c r="AZ135" s="64" t="e">
        <f>#REF!-AU135</f>
        <v>#REF!</v>
      </c>
      <c r="BA135" s="64">
        <f t="shared" si="276"/>
        <v>1104.9000000000001</v>
      </c>
      <c r="BB135" s="64"/>
      <c r="BC135" s="65">
        <f>256+848.9</f>
        <v>1104.9000000000001</v>
      </c>
      <c r="BD135" s="64"/>
      <c r="BE135" s="64"/>
      <c r="BF135" s="64">
        <f t="shared" si="277"/>
        <v>0</v>
      </c>
      <c r="BG135" s="64"/>
      <c r="BH135" s="64"/>
      <c r="BI135" s="64"/>
      <c r="BJ135" s="64"/>
      <c r="BK135" s="64">
        <f t="shared" si="278"/>
        <v>1104.9000000000001</v>
      </c>
      <c r="BL135" s="64"/>
      <c r="BM135" s="65">
        <f>256+848.9</f>
        <v>1104.9000000000001</v>
      </c>
      <c r="BN135" s="64"/>
      <c r="BO135" s="64"/>
      <c r="BP135" s="64">
        <f t="shared" si="279"/>
        <v>1099.3809000000001</v>
      </c>
      <c r="BQ135" s="64"/>
      <c r="BR135" s="64">
        <f>585.861+513.5199</f>
        <v>1099.3809000000001</v>
      </c>
      <c r="BS135" s="64"/>
      <c r="BT135" s="64"/>
      <c r="BU135" s="64">
        <f t="shared" si="280"/>
        <v>366.46105999999997</v>
      </c>
      <c r="BV135" s="64"/>
      <c r="BW135" s="64">
        <f>195.28763+171.17343</f>
        <v>366.46105999999997</v>
      </c>
      <c r="BX135" s="64"/>
      <c r="BY135" s="64"/>
      <c r="BZ135" s="60">
        <f t="shared" si="281"/>
        <v>1465.8419600000002</v>
      </c>
      <c r="CA135" s="64">
        <f t="shared" ref="CA135:CA198" si="297">CB135+CC135+CD135</f>
        <v>1465.8419600000002</v>
      </c>
      <c r="CB135" s="64">
        <f t="shared" ref="CB135:CB198" si="298">BQ135+BV135</f>
        <v>0</v>
      </c>
      <c r="CC135" s="64">
        <f t="shared" ref="CC135:CC198" si="299">BR135+BW135</f>
        <v>1465.8419600000002</v>
      </c>
      <c r="CD135" s="64">
        <f t="shared" ref="CD135:CD198" si="300">BS135+BX135</f>
        <v>0</v>
      </c>
      <c r="CE135" s="64">
        <f t="shared" si="282"/>
        <v>0</v>
      </c>
      <c r="CF135" s="64">
        <f t="shared" ref="CF135:CF198" si="301">CG135+CH135+CI135</f>
        <v>5.5190999999999804</v>
      </c>
      <c r="CG135" s="64">
        <f t="shared" ref="CG135:CG198" si="302">BL135-BQ135</f>
        <v>0</v>
      </c>
      <c r="CH135" s="64">
        <f t="shared" ref="CH135:CH198" si="303">BM135-BR135</f>
        <v>5.5190999999999804</v>
      </c>
      <c r="CI135" s="64">
        <f t="shared" ref="CI135:CI198" si="304">BN135-BS135</f>
        <v>0</v>
      </c>
      <c r="CJ135" s="64">
        <f t="shared" si="283"/>
        <v>0</v>
      </c>
      <c r="CK135" s="66"/>
      <c r="CL135" s="67"/>
      <c r="CM135" s="67"/>
      <c r="CN135" s="64">
        <f t="shared" si="284"/>
        <v>0</v>
      </c>
      <c r="CO135" s="64"/>
      <c r="CP135" s="64"/>
      <c r="CQ135" s="64"/>
      <c r="CR135" s="64"/>
      <c r="CS135" s="64">
        <f t="shared" si="285"/>
        <v>0</v>
      </c>
      <c r="CT135" s="64"/>
      <c r="CU135" s="64"/>
      <c r="CV135" s="64"/>
      <c r="CW135" s="64"/>
      <c r="CX135" s="64">
        <f t="shared" si="286"/>
        <v>0</v>
      </c>
      <c r="CY135" s="64">
        <f t="shared" si="287"/>
        <v>0</v>
      </c>
      <c r="CZ135" s="64">
        <f t="shared" si="287"/>
        <v>0</v>
      </c>
      <c r="DA135" s="64">
        <f t="shared" si="287"/>
        <v>0</v>
      </c>
      <c r="DB135" s="64">
        <f t="shared" si="287"/>
        <v>0</v>
      </c>
      <c r="DC135" s="64"/>
      <c r="DD135" s="64"/>
      <c r="DE135" s="64"/>
      <c r="DF135" s="64">
        <f t="shared" si="288"/>
        <v>5.5190999999999804</v>
      </c>
      <c r="DH135" s="64">
        <f t="shared" si="289"/>
        <v>1104.9000000000001</v>
      </c>
      <c r="DI135" s="64">
        <f t="shared" si="290"/>
        <v>1099.3809000000001</v>
      </c>
      <c r="DK135" s="64"/>
      <c r="DL135" s="64"/>
      <c r="DN135" s="64"/>
      <c r="DQ135" s="64">
        <f t="shared" si="292"/>
        <v>1099.3809000000001</v>
      </c>
      <c r="DR135" s="64"/>
      <c r="DS135" s="64">
        <f>585.861+513.5199</f>
        <v>1099.3809000000001</v>
      </c>
      <c r="DT135" s="64"/>
      <c r="DU135" s="64"/>
      <c r="DV135" s="64">
        <f t="shared" si="291"/>
        <v>366.46105999999997</v>
      </c>
      <c r="DW135" s="64"/>
      <c r="DX135" s="64">
        <v>366.46105999999997</v>
      </c>
      <c r="DY135" s="64"/>
      <c r="DZ135" s="64"/>
      <c r="EA135" s="375"/>
      <c r="EB135" s="375"/>
      <c r="EC135" s="375"/>
      <c r="ED135" s="375"/>
      <c r="EE135" s="375"/>
      <c r="EF135" s="375"/>
      <c r="EG135" s="375"/>
      <c r="EH135" s="375"/>
      <c r="EI135" s="375"/>
      <c r="EJ135" s="375"/>
      <c r="EK135" s="375"/>
      <c r="EL135" s="375"/>
      <c r="EM135" s="375"/>
      <c r="EN135" s="375"/>
      <c r="EO135" s="375"/>
      <c r="EP135" s="375"/>
      <c r="EQ135" s="375"/>
      <c r="ER135" s="375"/>
      <c r="ES135" s="375"/>
      <c r="ET135" s="375"/>
      <c r="EU135" s="375"/>
      <c r="EV135" s="375"/>
      <c r="EW135" s="375"/>
      <c r="EX135" s="375"/>
      <c r="EY135" s="375"/>
      <c r="EZ135" s="375"/>
      <c r="FA135" s="375"/>
      <c r="FB135" s="375"/>
      <c r="FC135" s="375"/>
      <c r="FD135" s="375"/>
      <c r="FE135" s="375"/>
      <c r="FF135" s="375"/>
      <c r="FG135" s="375"/>
      <c r="FH135" s="375"/>
      <c r="FI135" s="375"/>
      <c r="FJ135" s="375"/>
      <c r="FK135" s="375"/>
      <c r="FL135" s="375"/>
      <c r="FM135" s="375"/>
      <c r="FN135" s="375"/>
      <c r="FO135" s="375"/>
      <c r="FP135" s="375"/>
      <c r="FQ135" s="375"/>
      <c r="FR135" s="375"/>
      <c r="FS135" s="375"/>
      <c r="FT135" s="375"/>
      <c r="FU135" s="375"/>
      <c r="FV135" s="375"/>
      <c r="FW135" s="375"/>
      <c r="FX135" s="375"/>
      <c r="FY135" s="375"/>
      <c r="FZ135" s="375"/>
      <c r="GA135" s="375"/>
      <c r="GB135" s="375"/>
      <c r="GC135" s="375"/>
      <c r="GD135" s="375"/>
      <c r="GE135" s="375"/>
      <c r="GF135" s="375"/>
      <c r="GG135" s="375"/>
      <c r="GH135" s="375"/>
      <c r="GI135" s="375"/>
      <c r="GJ135" s="375"/>
      <c r="GK135" s="375"/>
      <c r="GL135" s="375"/>
      <c r="GM135" s="375"/>
      <c r="GN135" s="375"/>
      <c r="GO135" s="375"/>
      <c r="GP135" s="375"/>
      <c r="GQ135" s="375"/>
      <c r="GR135" s="375"/>
    </row>
    <row r="136" spans="1:200" s="61" customFormat="1" ht="16.2" customHeight="1" x14ac:dyDescent="0.3">
      <c r="A136" s="280"/>
      <c r="B136" s="281"/>
      <c r="C136" s="282"/>
      <c r="D136" s="282">
        <v>1</v>
      </c>
      <c r="E136" s="4">
        <v>114</v>
      </c>
      <c r="F136" s="281"/>
      <c r="G136" s="282"/>
      <c r="H136" s="282"/>
      <c r="I136" s="280"/>
      <c r="J136" s="280"/>
      <c r="K136" s="280"/>
      <c r="L136" s="280"/>
      <c r="M136" s="4">
        <v>111</v>
      </c>
      <c r="N136" s="62" t="s">
        <v>223</v>
      </c>
      <c r="O136" s="62" t="s">
        <v>448</v>
      </c>
      <c r="P136" s="62" t="s">
        <v>450</v>
      </c>
      <c r="Q136" s="60">
        <f t="shared" ref="Q136:Q199" si="305">BL136-BQ136</f>
        <v>0</v>
      </c>
      <c r="R136" s="60">
        <f t="shared" ref="R136:R199" si="306">BM136-BR136</f>
        <v>0</v>
      </c>
      <c r="S136" s="60">
        <f t="shared" ref="S136:S199" si="307">BN136-BS136</f>
        <v>0</v>
      </c>
      <c r="T136" s="60">
        <v>1</v>
      </c>
      <c r="U136" s="60">
        <v>1</v>
      </c>
      <c r="V136" s="64">
        <f t="shared" si="271"/>
        <v>519.79999999999995</v>
      </c>
      <c r="W136" s="64"/>
      <c r="X136" s="65">
        <v>519.79999999999995</v>
      </c>
      <c r="Y136" s="64"/>
      <c r="Z136" s="60"/>
      <c r="AA136" s="64">
        <f t="shared" si="272"/>
        <v>519.79999999999995</v>
      </c>
      <c r="AB136" s="64"/>
      <c r="AC136" s="65">
        <v>519.79999999999995</v>
      </c>
      <c r="AD136" s="64"/>
      <c r="AE136" s="60"/>
      <c r="AF136" s="64">
        <f t="shared" si="273"/>
        <v>519.79999999999995</v>
      </c>
      <c r="AG136" s="64"/>
      <c r="AH136" s="65">
        <v>519.79999999999995</v>
      </c>
      <c r="AI136" s="64"/>
      <c r="AJ136" s="60"/>
      <c r="AK136" s="64">
        <f t="shared" si="274"/>
        <v>226</v>
      </c>
      <c r="AL136" s="64"/>
      <c r="AM136" s="65">
        <v>226</v>
      </c>
      <c r="AN136" s="64"/>
      <c r="AO136" s="64"/>
      <c r="AP136" s="64" t="s">
        <v>381</v>
      </c>
      <c r="AQ136" s="64">
        <f t="shared" si="275"/>
        <v>519.79999999999995</v>
      </c>
      <c r="AR136" s="64"/>
      <c r="AS136" s="65">
        <f>226+293.8</f>
        <v>519.79999999999995</v>
      </c>
      <c r="AT136" s="64"/>
      <c r="AU136" s="64"/>
      <c r="AV136" s="64">
        <f t="shared" si="293"/>
        <v>0</v>
      </c>
      <c r="AW136" s="64">
        <f t="shared" si="294"/>
        <v>0</v>
      </c>
      <c r="AX136" s="64">
        <f t="shared" si="295"/>
        <v>0</v>
      </c>
      <c r="AY136" s="64">
        <f t="shared" si="296"/>
        <v>0</v>
      </c>
      <c r="AZ136" s="64" t="e">
        <f>#REF!-AU136</f>
        <v>#REF!</v>
      </c>
      <c r="BA136" s="64">
        <f t="shared" si="276"/>
        <v>519.79999999999995</v>
      </c>
      <c r="BB136" s="64"/>
      <c r="BC136" s="65">
        <f>226+293.8</f>
        <v>519.79999999999995</v>
      </c>
      <c r="BD136" s="64"/>
      <c r="BE136" s="64"/>
      <c r="BF136" s="64">
        <f t="shared" si="277"/>
        <v>0</v>
      </c>
      <c r="BG136" s="64"/>
      <c r="BH136" s="64"/>
      <c r="BI136" s="64"/>
      <c r="BJ136" s="64"/>
      <c r="BK136" s="64">
        <f t="shared" si="278"/>
        <v>519.79999999999995</v>
      </c>
      <c r="BL136" s="64"/>
      <c r="BM136" s="65">
        <f>226+293.8</f>
        <v>519.79999999999995</v>
      </c>
      <c r="BN136" s="64"/>
      <c r="BO136" s="64"/>
      <c r="BP136" s="64">
        <f t="shared" si="279"/>
        <v>519.79999999999995</v>
      </c>
      <c r="BQ136" s="64"/>
      <c r="BR136" s="64">
        <f>293.8+226</f>
        <v>519.79999999999995</v>
      </c>
      <c r="BS136" s="64"/>
      <c r="BT136" s="64"/>
      <c r="BU136" s="64">
        <f t="shared" si="280"/>
        <v>202.92872</v>
      </c>
      <c r="BV136" s="64"/>
      <c r="BW136" s="64">
        <f>97.934+104.99472</f>
        <v>202.92872</v>
      </c>
      <c r="BX136" s="64"/>
      <c r="BY136" s="64"/>
      <c r="BZ136" s="60">
        <f t="shared" si="281"/>
        <v>722.72871999999995</v>
      </c>
      <c r="CA136" s="64">
        <f t="shared" si="297"/>
        <v>722.72871999999995</v>
      </c>
      <c r="CB136" s="64">
        <f t="shared" si="298"/>
        <v>0</v>
      </c>
      <c r="CC136" s="64">
        <f t="shared" si="299"/>
        <v>722.72871999999995</v>
      </c>
      <c r="CD136" s="64">
        <f t="shared" si="300"/>
        <v>0</v>
      </c>
      <c r="CE136" s="64">
        <f t="shared" si="282"/>
        <v>0</v>
      </c>
      <c r="CF136" s="64">
        <f t="shared" si="301"/>
        <v>0</v>
      </c>
      <c r="CG136" s="64">
        <f t="shared" si="302"/>
        <v>0</v>
      </c>
      <c r="CH136" s="64">
        <f t="shared" si="303"/>
        <v>0</v>
      </c>
      <c r="CI136" s="64">
        <f t="shared" si="304"/>
        <v>0</v>
      </c>
      <c r="CJ136" s="64">
        <f t="shared" si="283"/>
        <v>0</v>
      </c>
      <c r="CK136" s="66"/>
      <c r="CL136" s="67"/>
      <c r="CM136" s="67"/>
      <c r="CN136" s="64">
        <f t="shared" si="284"/>
        <v>0</v>
      </c>
      <c r="CO136" s="64"/>
      <c r="CP136" s="64"/>
      <c r="CQ136" s="64"/>
      <c r="CR136" s="64"/>
      <c r="CS136" s="64">
        <f t="shared" si="285"/>
        <v>0</v>
      </c>
      <c r="CT136" s="64"/>
      <c r="CU136" s="64"/>
      <c r="CV136" s="64"/>
      <c r="CW136" s="64"/>
      <c r="CX136" s="64">
        <f t="shared" si="286"/>
        <v>0</v>
      </c>
      <c r="CY136" s="64">
        <f t="shared" si="287"/>
        <v>0</v>
      </c>
      <c r="CZ136" s="64">
        <f t="shared" si="287"/>
        <v>0</v>
      </c>
      <c r="DA136" s="64">
        <f t="shared" si="287"/>
        <v>0</v>
      </c>
      <c r="DB136" s="64">
        <f t="shared" si="287"/>
        <v>0</v>
      </c>
      <c r="DC136" s="64"/>
      <c r="DD136" s="64"/>
      <c r="DE136" s="64"/>
      <c r="DF136" s="64">
        <f t="shared" si="288"/>
        <v>0</v>
      </c>
      <c r="DH136" s="64">
        <f t="shared" si="289"/>
        <v>519.79999999999995</v>
      </c>
      <c r="DI136" s="64">
        <f t="shared" si="290"/>
        <v>519.79999999999995</v>
      </c>
      <c r="DK136" s="64"/>
      <c r="DL136" s="64"/>
      <c r="DN136" s="64"/>
      <c r="DQ136" s="64">
        <f t="shared" si="292"/>
        <v>519.79999999999995</v>
      </c>
      <c r="DR136" s="64"/>
      <c r="DS136" s="64">
        <f>293.8+226</f>
        <v>519.79999999999995</v>
      </c>
      <c r="DT136" s="64"/>
      <c r="DU136" s="64"/>
      <c r="DV136" s="64">
        <f t="shared" si="291"/>
        <v>0</v>
      </c>
      <c r="DW136" s="64"/>
      <c r="DX136" s="64"/>
      <c r="DY136" s="64"/>
      <c r="DZ136" s="64"/>
      <c r="EA136" s="375"/>
      <c r="EB136" s="375"/>
      <c r="EC136" s="375"/>
      <c r="ED136" s="375"/>
      <c r="EE136" s="375"/>
      <c r="EF136" s="375"/>
      <c r="EG136" s="375"/>
      <c r="EH136" s="375"/>
      <c r="EI136" s="375"/>
      <c r="EJ136" s="375"/>
      <c r="EK136" s="375"/>
      <c r="EL136" s="375"/>
      <c r="EM136" s="375"/>
      <c r="EN136" s="375"/>
      <c r="EO136" s="375"/>
      <c r="EP136" s="375"/>
      <c r="EQ136" s="375"/>
      <c r="ER136" s="375"/>
      <c r="ES136" s="375"/>
      <c r="ET136" s="375"/>
      <c r="EU136" s="375"/>
      <c r="EV136" s="375"/>
      <c r="EW136" s="375"/>
      <c r="EX136" s="375"/>
      <c r="EY136" s="375"/>
      <c r="EZ136" s="375"/>
      <c r="FA136" s="375"/>
      <c r="FB136" s="375"/>
      <c r="FC136" s="375"/>
      <c r="FD136" s="375"/>
      <c r="FE136" s="375"/>
      <c r="FF136" s="375"/>
      <c r="FG136" s="375"/>
      <c r="FH136" s="375"/>
      <c r="FI136" s="375"/>
      <c r="FJ136" s="375"/>
      <c r="FK136" s="375"/>
      <c r="FL136" s="375"/>
      <c r="FM136" s="375"/>
      <c r="FN136" s="375"/>
      <c r="FO136" s="375"/>
      <c r="FP136" s="375"/>
      <c r="FQ136" s="375"/>
      <c r="FR136" s="375"/>
      <c r="FS136" s="375"/>
      <c r="FT136" s="375"/>
      <c r="FU136" s="375"/>
      <c r="FV136" s="375"/>
      <c r="FW136" s="375"/>
      <c r="FX136" s="375"/>
      <c r="FY136" s="375"/>
      <c r="FZ136" s="375"/>
      <c r="GA136" s="375"/>
      <c r="GB136" s="375"/>
      <c r="GC136" s="375"/>
      <c r="GD136" s="375"/>
      <c r="GE136" s="375"/>
      <c r="GF136" s="375"/>
      <c r="GG136" s="375"/>
      <c r="GH136" s="375"/>
      <c r="GI136" s="375"/>
      <c r="GJ136" s="375"/>
      <c r="GK136" s="375"/>
      <c r="GL136" s="375"/>
      <c r="GM136" s="375"/>
      <c r="GN136" s="375"/>
      <c r="GO136" s="375"/>
      <c r="GP136" s="375"/>
      <c r="GQ136" s="375"/>
      <c r="GR136" s="375"/>
    </row>
    <row r="137" spans="1:200" s="48" customFormat="1" ht="22.5" customHeight="1" x14ac:dyDescent="0.3">
      <c r="A137" s="276"/>
      <c r="B137" s="277"/>
      <c r="C137" s="278"/>
      <c r="D137" s="278"/>
      <c r="E137" s="279"/>
      <c r="F137" s="277"/>
      <c r="G137" s="278"/>
      <c r="H137" s="278"/>
      <c r="I137" s="276"/>
      <c r="J137" s="276"/>
      <c r="K137" s="276"/>
      <c r="L137" s="276"/>
      <c r="M137" s="279"/>
      <c r="N137" s="42" t="s">
        <v>5</v>
      </c>
      <c r="O137" s="42"/>
      <c r="P137" s="42"/>
      <c r="Q137" s="43">
        <f t="shared" si="305"/>
        <v>0</v>
      </c>
      <c r="R137" s="43">
        <f t="shared" si="306"/>
        <v>132.13899999999921</v>
      </c>
      <c r="S137" s="43">
        <f t="shared" si="307"/>
        <v>11.363999999999578</v>
      </c>
      <c r="T137" s="43">
        <f>T138+T139+T140+T141+T142+T143+T144+T145+T146+T147+T148+T149+T150</f>
        <v>10</v>
      </c>
      <c r="U137" s="43">
        <f>U138+U139+U140+U141+U142+U143+U144+U145+U146+U147+U148+U149+U150</f>
        <v>12</v>
      </c>
      <c r="V137" s="43">
        <f t="shared" ref="V137:Z137" si="308">SUM(V138:V150)-V139</f>
        <v>33126.6</v>
      </c>
      <c r="W137" s="43">
        <f t="shared" si="308"/>
        <v>12500</v>
      </c>
      <c r="X137" s="43">
        <f t="shared" si="308"/>
        <v>12585.6</v>
      </c>
      <c r="Y137" s="43">
        <f t="shared" si="308"/>
        <v>8041</v>
      </c>
      <c r="Z137" s="43">
        <f t="shared" si="308"/>
        <v>0</v>
      </c>
      <c r="AA137" s="43">
        <f t="shared" ref="AA137:AE137" si="309">SUM(AA138:AA150)-AA139</f>
        <v>30826.6</v>
      </c>
      <c r="AB137" s="43">
        <f t="shared" si="309"/>
        <v>12500</v>
      </c>
      <c r="AC137" s="43">
        <f t="shared" si="309"/>
        <v>12585.6</v>
      </c>
      <c r="AD137" s="43">
        <f t="shared" si="309"/>
        <v>5741</v>
      </c>
      <c r="AE137" s="43">
        <f t="shared" si="309"/>
        <v>0</v>
      </c>
      <c r="AF137" s="43">
        <f t="shared" ref="AF137:AJ137" si="310">SUM(AF138:AF150)-AF139</f>
        <v>18626.600000000002</v>
      </c>
      <c r="AG137" s="43">
        <f t="shared" si="310"/>
        <v>0</v>
      </c>
      <c r="AH137" s="43">
        <f t="shared" si="310"/>
        <v>12585.6</v>
      </c>
      <c r="AI137" s="43">
        <f t="shared" si="310"/>
        <v>6041</v>
      </c>
      <c r="AJ137" s="43">
        <f t="shared" si="310"/>
        <v>0</v>
      </c>
      <c r="AK137" s="45">
        <f t="shared" ref="AK137:AO137" si="311">SUM(AK138:AK150)-AK139</f>
        <v>11513</v>
      </c>
      <c r="AL137" s="43">
        <f t="shared" si="311"/>
        <v>0</v>
      </c>
      <c r="AM137" s="43">
        <f t="shared" si="311"/>
        <v>5472</v>
      </c>
      <c r="AN137" s="43">
        <f t="shared" si="311"/>
        <v>6041</v>
      </c>
      <c r="AO137" s="43">
        <f t="shared" si="311"/>
        <v>0</v>
      </c>
      <c r="AP137" s="44"/>
      <c r="AQ137" s="43">
        <f>SUM(AQ138:AQ150)-AQ139</f>
        <v>33126.6</v>
      </c>
      <c r="AR137" s="43">
        <f>SUM(AR138:AR150)-AR139</f>
        <v>12500</v>
      </c>
      <c r="AS137" s="43">
        <f>SUM(AS138:AS150)-AS139</f>
        <v>12585.6</v>
      </c>
      <c r="AT137" s="43">
        <f>SUM(AT138:AT150)-AT139</f>
        <v>8041</v>
      </c>
      <c r="AU137" s="43">
        <f>SUM(AU138:AU150)-AU139</f>
        <v>0</v>
      </c>
      <c r="AV137" s="43">
        <f t="shared" si="293"/>
        <v>0</v>
      </c>
      <c r="AW137" s="43">
        <f t="shared" si="294"/>
        <v>0</v>
      </c>
      <c r="AX137" s="43">
        <f t="shared" si="295"/>
        <v>0</v>
      </c>
      <c r="AY137" s="43">
        <f t="shared" si="296"/>
        <v>0</v>
      </c>
      <c r="AZ137" s="43" t="e">
        <f t="shared" ref="AZ137:BE137" si="312">SUM(AZ138:AZ150)-AZ139</f>
        <v>#REF!</v>
      </c>
      <c r="BA137" s="43">
        <f t="shared" si="312"/>
        <v>20626.600000000002</v>
      </c>
      <c r="BB137" s="43">
        <f t="shared" si="312"/>
        <v>0</v>
      </c>
      <c r="BC137" s="43">
        <f t="shared" si="312"/>
        <v>12585.6</v>
      </c>
      <c r="BD137" s="43">
        <f t="shared" si="312"/>
        <v>8041</v>
      </c>
      <c r="BE137" s="43">
        <f t="shared" si="312"/>
        <v>0</v>
      </c>
      <c r="BF137" s="43">
        <f t="shared" ref="BF137:CJ137" si="313">SUM(BF138:BF150)-BF139</f>
        <v>0</v>
      </c>
      <c r="BG137" s="43">
        <f t="shared" si="313"/>
        <v>0</v>
      </c>
      <c r="BH137" s="43">
        <f t="shared" si="313"/>
        <v>0</v>
      </c>
      <c r="BI137" s="43">
        <f t="shared" si="313"/>
        <v>0</v>
      </c>
      <c r="BJ137" s="43">
        <f t="shared" si="313"/>
        <v>0</v>
      </c>
      <c r="BK137" s="43">
        <f t="shared" si="313"/>
        <v>20626.600000000002</v>
      </c>
      <c r="BL137" s="43">
        <f t="shared" si="313"/>
        <v>0</v>
      </c>
      <c r="BM137" s="43">
        <f t="shared" si="313"/>
        <v>12585.6</v>
      </c>
      <c r="BN137" s="43">
        <f t="shared" si="313"/>
        <v>8041</v>
      </c>
      <c r="BO137" s="43">
        <f t="shared" si="313"/>
        <v>0</v>
      </c>
      <c r="BP137" s="43">
        <f t="shared" si="313"/>
        <v>20483.097000000002</v>
      </c>
      <c r="BQ137" s="43">
        <f t="shared" si="313"/>
        <v>0</v>
      </c>
      <c r="BR137" s="43">
        <f t="shared" si="313"/>
        <v>12453.461000000001</v>
      </c>
      <c r="BS137" s="43">
        <f t="shared" si="313"/>
        <v>8029.6360000000004</v>
      </c>
      <c r="BT137" s="43">
        <f t="shared" si="313"/>
        <v>0</v>
      </c>
      <c r="BU137" s="45">
        <f t="shared" si="313"/>
        <v>10252.137850000001</v>
      </c>
      <c r="BV137" s="304">
        <f t="shared" si="313"/>
        <v>0</v>
      </c>
      <c r="BW137" s="304">
        <f t="shared" si="313"/>
        <v>7563.7152000000006</v>
      </c>
      <c r="BX137" s="304">
        <f t="shared" si="313"/>
        <v>2688.42265</v>
      </c>
      <c r="BY137" s="43">
        <f t="shared" si="313"/>
        <v>0</v>
      </c>
      <c r="BZ137" s="43">
        <f t="shared" si="313"/>
        <v>30735.234850000001</v>
      </c>
      <c r="CA137" s="43">
        <f t="shared" si="297"/>
        <v>30735.234850000001</v>
      </c>
      <c r="CB137" s="43">
        <f t="shared" si="298"/>
        <v>0</v>
      </c>
      <c r="CC137" s="43">
        <f t="shared" si="299"/>
        <v>20017.176200000002</v>
      </c>
      <c r="CD137" s="43">
        <f t="shared" si="300"/>
        <v>10718.058650000001</v>
      </c>
      <c r="CE137" s="43">
        <f t="shared" si="313"/>
        <v>0</v>
      </c>
      <c r="CF137" s="43">
        <f t="shared" si="301"/>
        <v>143.50299999999879</v>
      </c>
      <c r="CG137" s="43">
        <f t="shared" si="302"/>
        <v>0</v>
      </c>
      <c r="CH137" s="43">
        <f t="shared" si="303"/>
        <v>132.13899999999921</v>
      </c>
      <c r="CI137" s="43">
        <f t="shared" si="304"/>
        <v>11.363999999999578</v>
      </c>
      <c r="CJ137" s="43">
        <f t="shared" si="313"/>
        <v>0</v>
      </c>
      <c r="CK137" s="46">
        <f>CL137+CN137-BF137</f>
        <v>20626.600000000006</v>
      </c>
      <c r="CL137" s="47">
        <f t="shared" ref="CL137:DF137" si="314">SUM(CL138:CL150)-CL139</f>
        <v>20626.600000000006</v>
      </c>
      <c r="CM137" s="47">
        <f t="shared" si="314"/>
        <v>20626.600000000006</v>
      </c>
      <c r="CN137" s="43">
        <f t="shared" si="314"/>
        <v>0</v>
      </c>
      <c r="CO137" s="43">
        <f t="shared" si="314"/>
        <v>0</v>
      </c>
      <c r="CP137" s="43">
        <f t="shared" si="314"/>
        <v>0</v>
      </c>
      <c r="CQ137" s="43">
        <f t="shared" si="314"/>
        <v>0</v>
      </c>
      <c r="CR137" s="43">
        <f t="shared" si="314"/>
        <v>0</v>
      </c>
      <c r="CS137" s="43">
        <f t="shared" si="314"/>
        <v>0</v>
      </c>
      <c r="CT137" s="43">
        <f t="shared" si="314"/>
        <v>0</v>
      </c>
      <c r="CU137" s="43">
        <f t="shared" si="314"/>
        <v>0</v>
      </c>
      <c r="CV137" s="43">
        <f t="shared" si="314"/>
        <v>0</v>
      </c>
      <c r="CW137" s="43">
        <f t="shared" si="314"/>
        <v>0</v>
      </c>
      <c r="CX137" s="43">
        <f t="shared" si="314"/>
        <v>0</v>
      </c>
      <c r="CY137" s="43">
        <f t="shared" si="314"/>
        <v>0</v>
      </c>
      <c r="CZ137" s="43">
        <f t="shared" si="314"/>
        <v>0</v>
      </c>
      <c r="DA137" s="43">
        <f t="shared" si="314"/>
        <v>0</v>
      </c>
      <c r="DB137" s="43">
        <f t="shared" si="314"/>
        <v>0</v>
      </c>
      <c r="DC137" s="43">
        <f t="shared" si="314"/>
        <v>0</v>
      </c>
      <c r="DD137" s="43">
        <f t="shared" si="314"/>
        <v>0</v>
      </c>
      <c r="DE137" s="43">
        <f t="shared" si="314"/>
        <v>0</v>
      </c>
      <c r="DF137" s="43">
        <f t="shared" si="314"/>
        <v>143.50300000000004</v>
      </c>
      <c r="DH137" s="43">
        <f>SUM(DH138:DH150)-DH139</f>
        <v>20626.600000000002</v>
      </c>
      <c r="DI137" s="43">
        <f>SUM(DI138:DI150)-DI139</f>
        <v>20483.097000000002</v>
      </c>
      <c r="DK137" s="43">
        <f>SUM(DK138:DK150)-DK139</f>
        <v>20483.097000000002</v>
      </c>
      <c r="DL137" s="43">
        <f>SUM(DL138:DL150)-DL139</f>
        <v>143.50300000000004</v>
      </c>
      <c r="DN137" s="43">
        <f>SUM(DN138:DN150)-DN139</f>
        <v>143.50300000000198</v>
      </c>
      <c r="DO137" s="49">
        <f>DF137-DN137</f>
        <v>-1.9326762412674725E-12</v>
      </c>
      <c r="DP137" s="49"/>
      <c r="DQ137" s="43">
        <f>SUM(DQ138:DQ150)-DQ139</f>
        <v>18194.461000000003</v>
      </c>
      <c r="DR137" s="43">
        <f t="shared" ref="DR137:DU137" si="315">SUM(DR138:DR150)-DR139</f>
        <v>0</v>
      </c>
      <c r="DS137" s="43">
        <f t="shared" si="315"/>
        <v>12453.461000000001</v>
      </c>
      <c r="DT137" s="43">
        <f t="shared" si="315"/>
        <v>5741</v>
      </c>
      <c r="DU137" s="43">
        <f t="shared" si="315"/>
        <v>0</v>
      </c>
      <c r="DV137" s="43">
        <f>SUM(DV138:DV150)-DV139</f>
        <v>8827.6846600000008</v>
      </c>
      <c r="DW137" s="43">
        <f t="shared" ref="DW137:DZ137" si="316">SUM(DW138:DW150)-DW139</f>
        <v>0</v>
      </c>
      <c r="DX137" s="43">
        <f t="shared" si="316"/>
        <v>6901.9626600000011</v>
      </c>
      <c r="DY137" s="43">
        <f t="shared" si="316"/>
        <v>1925.722</v>
      </c>
      <c r="DZ137" s="43">
        <f t="shared" si="316"/>
        <v>0</v>
      </c>
      <c r="EA137" s="372"/>
      <c r="EB137" s="372"/>
      <c r="EC137" s="372"/>
      <c r="ED137" s="372"/>
      <c r="EE137" s="372"/>
      <c r="EF137" s="372"/>
      <c r="EG137" s="372"/>
      <c r="EH137" s="372"/>
      <c r="EI137" s="372"/>
      <c r="EJ137" s="372"/>
      <c r="EK137" s="372"/>
      <c r="EL137" s="372"/>
      <c r="EM137" s="372"/>
      <c r="EN137" s="372"/>
      <c r="EO137" s="372"/>
      <c r="EP137" s="372"/>
      <c r="EQ137" s="372"/>
      <c r="ER137" s="372"/>
      <c r="ES137" s="372"/>
      <c r="ET137" s="372"/>
      <c r="EU137" s="372"/>
      <c r="EV137" s="372"/>
      <c r="EW137" s="372"/>
      <c r="EX137" s="372"/>
      <c r="EY137" s="372"/>
      <c r="EZ137" s="372"/>
      <c r="FA137" s="372"/>
      <c r="FB137" s="372"/>
      <c r="FC137" s="372"/>
      <c r="FD137" s="372"/>
      <c r="FE137" s="372"/>
      <c r="FF137" s="372"/>
      <c r="FG137" s="372"/>
      <c r="FH137" s="372"/>
      <c r="FI137" s="372"/>
      <c r="FJ137" s="372"/>
      <c r="FK137" s="372"/>
      <c r="FL137" s="372"/>
      <c r="FM137" s="372"/>
      <c r="FN137" s="372"/>
      <c r="FO137" s="372"/>
      <c r="FP137" s="372"/>
      <c r="FQ137" s="372"/>
      <c r="FR137" s="372"/>
      <c r="FS137" s="372"/>
      <c r="FT137" s="372"/>
      <c r="FU137" s="372"/>
      <c r="FV137" s="372"/>
      <c r="FW137" s="372"/>
      <c r="FX137" s="372"/>
      <c r="FY137" s="372"/>
      <c r="FZ137" s="372"/>
      <c r="GA137" s="372"/>
      <c r="GB137" s="372"/>
      <c r="GC137" s="372"/>
      <c r="GD137" s="372"/>
      <c r="GE137" s="372"/>
      <c r="GF137" s="372"/>
      <c r="GG137" s="372"/>
      <c r="GH137" s="372"/>
      <c r="GI137" s="372"/>
      <c r="GJ137" s="372"/>
      <c r="GK137" s="372"/>
      <c r="GL137" s="372"/>
      <c r="GM137" s="372"/>
      <c r="GN137" s="372"/>
      <c r="GO137" s="372"/>
      <c r="GP137" s="372"/>
      <c r="GQ137" s="372"/>
      <c r="GR137" s="372"/>
    </row>
    <row r="138" spans="1:200" s="96" customFormat="1" ht="13.5" customHeight="1" x14ac:dyDescent="0.3">
      <c r="A138" s="289"/>
      <c r="B138" s="290">
        <v>1</v>
      </c>
      <c r="C138" s="282"/>
      <c r="D138" s="282"/>
      <c r="E138" s="4">
        <v>115</v>
      </c>
      <c r="F138" s="290">
        <v>1</v>
      </c>
      <c r="G138" s="282"/>
      <c r="H138" s="282"/>
      <c r="I138" s="289"/>
      <c r="J138" s="289"/>
      <c r="K138" s="289"/>
      <c r="L138" s="289"/>
      <c r="M138" s="4">
        <v>112</v>
      </c>
      <c r="N138" s="68" t="s">
        <v>227</v>
      </c>
      <c r="O138" s="68" t="s">
        <v>448</v>
      </c>
      <c r="P138" s="68" t="s">
        <v>448</v>
      </c>
      <c r="Q138" s="100">
        <f t="shared" si="305"/>
        <v>0</v>
      </c>
      <c r="R138" s="100">
        <f t="shared" si="306"/>
        <v>0</v>
      </c>
      <c r="S138" s="100">
        <f t="shared" si="307"/>
        <v>0</v>
      </c>
      <c r="T138" s="60">
        <v>1</v>
      </c>
      <c r="U138" s="60"/>
      <c r="V138" s="64">
        <f t="shared" ref="V138:V150" si="317">W138+X138+Y138+Z138</f>
        <v>2150.5</v>
      </c>
      <c r="W138" s="70"/>
      <c r="X138" s="65">
        <v>2150.5</v>
      </c>
      <c r="Y138" s="70"/>
      <c r="Z138" s="100"/>
      <c r="AA138" s="64">
        <f t="shared" ref="AA138:AA150" si="318">AB138+AC138+AD138+AE138</f>
        <v>2150.5</v>
      </c>
      <c r="AB138" s="70"/>
      <c r="AC138" s="65">
        <v>2150.5</v>
      </c>
      <c r="AD138" s="70"/>
      <c r="AE138" s="100"/>
      <c r="AF138" s="64">
        <f t="shared" ref="AF138:AF150" si="319">AG138+AH138+AI138+AJ138</f>
        <v>2150.5</v>
      </c>
      <c r="AG138" s="70"/>
      <c r="AH138" s="65">
        <v>2150.5</v>
      </c>
      <c r="AI138" s="70"/>
      <c r="AJ138" s="100"/>
      <c r="AK138" s="64">
        <f t="shared" ref="AK138:AK150" si="320">AL138+AM138+AN138+AO138</f>
        <v>935</v>
      </c>
      <c r="AL138" s="70"/>
      <c r="AM138" s="65">
        <v>935</v>
      </c>
      <c r="AN138" s="70"/>
      <c r="AO138" s="70"/>
      <c r="AP138" s="64" t="s">
        <v>339</v>
      </c>
      <c r="AQ138" s="64">
        <f t="shared" ref="AQ138:AQ150" si="321">AR138+AS138+AT138+AU138</f>
        <v>2150.5</v>
      </c>
      <c r="AR138" s="70"/>
      <c r="AS138" s="65">
        <v>2150.5</v>
      </c>
      <c r="AT138" s="70"/>
      <c r="AU138" s="70"/>
      <c r="AV138" s="64">
        <f t="shared" si="293"/>
        <v>0</v>
      </c>
      <c r="AW138" s="64">
        <f t="shared" si="294"/>
        <v>0</v>
      </c>
      <c r="AX138" s="64">
        <f t="shared" si="295"/>
        <v>0</v>
      </c>
      <c r="AY138" s="64">
        <f t="shared" si="296"/>
        <v>0</v>
      </c>
      <c r="AZ138" s="64" t="e">
        <f>#REF!-AU138</f>
        <v>#REF!</v>
      </c>
      <c r="BA138" s="64">
        <f t="shared" ref="BA138:BA150" si="322">BB138+BC138+BD138+BE138</f>
        <v>2150.5</v>
      </c>
      <c r="BB138" s="70"/>
      <c r="BC138" s="65">
        <v>2150.5</v>
      </c>
      <c r="BD138" s="70"/>
      <c r="BE138" s="70"/>
      <c r="BF138" s="64">
        <f t="shared" ref="BF138:BF150" si="323">BG138+BH138+BI138+BJ138</f>
        <v>0</v>
      </c>
      <c r="BG138" s="70"/>
      <c r="BH138" s="70"/>
      <c r="BI138" s="70"/>
      <c r="BJ138" s="70"/>
      <c r="BK138" s="64">
        <f t="shared" ref="BK138:BK150" si="324">BL138+BM138+BN138+BO138</f>
        <v>2150.5</v>
      </c>
      <c r="BL138" s="70"/>
      <c r="BM138" s="65">
        <v>2150.5</v>
      </c>
      <c r="BN138" s="70"/>
      <c r="BO138" s="70"/>
      <c r="BP138" s="64">
        <f t="shared" ref="BP138:BP150" si="325">BQ138+BR138+BS138+BT138</f>
        <v>2150.5</v>
      </c>
      <c r="BQ138" s="70"/>
      <c r="BR138" s="64">
        <v>2150.5</v>
      </c>
      <c r="BS138" s="70"/>
      <c r="BT138" s="70"/>
      <c r="BU138" s="64">
        <f t="shared" ref="BU138:BU150" si="326">BV138+BW138+BX138+BY138</f>
        <v>3070.89651</v>
      </c>
      <c r="BV138" s="70"/>
      <c r="BW138" s="64">
        <v>3070.89651</v>
      </c>
      <c r="BX138" s="70"/>
      <c r="BY138" s="70"/>
      <c r="BZ138" s="60">
        <f t="shared" ref="BZ138:BZ150" si="327">CA138</f>
        <v>5221.3965100000005</v>
      </c>
      <c r="CA138" s="64">
        <f t="shared" si="297"/>
        <v>5221.3965100000005</v>
      </c>
      <c r="CB138" s="64">
        <f t="shared" si="298"/>
        <v>0</v>
      </c>
      <c r="CC138" s="64">
        <f t="shared" si="299"/>
        <v>5221.3965100000005</v>
      </c>
      <c r="CD138" s="64">
        <f t="shared" si="300"/>
        <v>0</v>
      </c>
      <c r="CE138" s="64">
        <f t="shared" ref="CE138:CE150" si="328">BT138+BY138</f>
        <v>0</v>
      </c>
      <c r="CF138" s="64">
        <f t="shared" si="301"/>
        <v>0</v>
      </c>
      <c r="CG138" s="64">
        <f t="shared" si="302"/>
        <v>0</v>
      </c>
      <c r="CH138" s="64">
        <f t="shared" si="303"/>
        <v>0</v>
      </c>
      <c r="CI138" s="64">
        <f t="shared" si="304"/>
        <v>0</v>
      </c>
      <c r="CJ138" s="64">
        <f t="shared" ref="CJ138:CJ150" si="329">BO138-BT138</f>
        <v>0</v>
      </c>
      <c r="CK138" s="94"/>
      <c r="CL138" s="102">
        <f>BA138</f>
        <v>2150.5</v>
      </c>
      <c r="CM138" s="102">
        <f>CL138</f>
        <v>2150.5</v>
      </c>
      <c r="CN138" s="64">
        <f t="shared" ref="CN138:CN150" si="330">CO138+CP138+CQ138+CR138</f>
        <v>0</v>
      </c>
      <c r="CO138" s="70"/>
      <c r="CP138" s="70"/>
      <c r="CQ138" s="70"/>
      <c r="CR138" s="70"/>
      <c r="CS138" s="64">
        <f t="shared" ref="CS138:CS150" si="331">CT138+CU138+CV138+CW138</f>
        <v>0</v>
      </c>
      <c r="CT138" s="70"/>
      <c r="CU138" s="70"/>
      <c r="CV138" s="70"/>
      <c r="CW138" s="70"/>
      <c r="CX138" s="64">
        <f t="shared" ref="CX138:CX150" si="332">CY138+CZ138+DA138+DB138</f>
        <v>0</v>
      </c>
      <c r="CY138" s="64">
        <f t="shared" ref="CY138:DB150" si="333">CO138-CT138</f>
        <v>0</v>
      </c>
      <c r="CZ138" s="64">
        <f t="shared" si="333"/>
        <v>0</v>
      </c>
      <c r="DA138" s="64">
        <f t="shared" si="333"/>
        <v>0</v>
      </c>
      <c r="DB138" s="64">
        <f t="shared" si="333"/>
        <v>0</v>
      </c>
      <c r="DC138" s="70"/>
      <c r="DD138" s="70"/>
      <c r="DE138" s="70"/>
      <c r="DF138" s="64">
        <f t="shared" ref="DF138:DF150" si="334">CF138+CX138+DE138</f>
        <v>0</v>
      </c>
      <c r="DG138" s="61"/>
      <c r="DH138" s="64">
        <f t="shared" ref="DH138:DH150" si="335">BK138+CN138+DC138</f>
        <v>2150.5</v>
      </c>
      <c r="DI138" s="64">
        <f t="shared" ref="DI138:DI150" si="336">BP138+CS138+DD138</f>
        <v>2150.5</v>
      </c>
      <c r="DK138" s="64">
        <f t="shared" ref="DK138:DK139" si="337">DI138</f>
        <v>2150.5</v>
      </c>
      <c r="DL138" s="64">
        <f t="shared" ref="DL138:DL139" si="338">DF138</f>
        <v>0</v>
      </c>
      <c r="DN138" s="64">
        <f>CM138-DK138</f>
        <v>0</v>
      </c>
      <c r="DQ138" s="64">
        <f t="shared" ref="DQ138:DQ150" si="339">DR138+DS138+DT138+DU138</f>
        <v>2150.5</v>
      </c>
      <c r="DR138" s="70"/>
      <c r="DS138" s="64">
        <v>2150.5</v>
      </c>
      <c r="DT138" s="70"/>
      <c r="DU138" s="70"/>
      <c r="DV138" s="64">
        <f t="shared" ref="DV138:DV150" si="340">DW138+DX138+DY138+DZ138</f>
        <v>3070.89651</v>
      </c>
      <c r="DW138" s="70"/>
      <c r="DX138" s="64">
        <v>3070.89651</v>
      </c>
      <c r="DY138" s="70"/>
      <c r="DZ138" s="70"/>
      <c r="EA138" s="376"/>
      <c r="EB138" s="376"/>
      <c r="EC138" s="376"/>
      <c r="ED138" s="376"/>
      <c r="EE138" s="376"/>
      <c r="EF138" s="376"/>
      <c r="EG138" s="376"/>
      <c r="EH138" s="376"/>
      <c r="EI138" s="376"/>
      <c r="EJ138" s="376"/>
      <c r="EK138" s="376"/>
      <c r="EL138" s="376"/>
      <c r="EM138" s="376"/>
      <c r="EN138" s="376"/>
      <c r="EO138" s="376"/>
      <c r="EP138" s="376"/>
      <c r="EQ138" s="376"/>
      <c r="ER138" s="376"/>
      <c r="ES138" s="376"/>
      <c r="ET138" s="376"/>
      <c r="EU138" s="376"/>
      <c r="EV138" s="376"/>
      <c r="EW138" s="376"/>
      <c r="EX138" s="376"/>
      <c r="EY138" s="376"/>
      <c r="EZ138" s="376"/>
      <c r="FA138" s="376"/>
      <c r="FB138" s="376"/>
      <c r="FC138" s="376"/>
      <c r="FD138" s="376"/>
      <c r="FE138" s="376"/>
      <c r="FF138" s="376"/>
      <c r="FG138" s="376"/>
      <c r="FH138" s="376"/>
      <c r="FI138" s="376"/>
      <c r="FJ138" s="376"/>
      <c r="FK138" s="376"/>
      <c r="FL138" s="376"/>
      <c r="FM138" s="376"/>
      <c r="FN138" s="376"/>
      <c r="FO138" s="376"/>
      <c r="FP138" s="376"/>
      <c r="FQ138" s="376"/>
      <c r="FR138" s="376"/>
      <c r="FS138" s="376"/>
      <c r="FT138" s="376"/>
      <c r="FU138" s="376"/>
      <c r="FV138" s="376"/>
      <c r="FW138" s="376"/>
      <c r="FX138" s="376"/>
      <c r="FY138" s="376"/>
      <c r="FZ138" s="376"/>
      <c r="GA138" s="376"/>
      <c r="GB138" s="376"/>
      <c r="GC138" s="376"/>
      <c r="GD138" s="376"/>
      <c r="GE138" s="376"/>
      <c r="GF138" s="376"/>
      <c r="GG138" s="376"/>
      <c r="GH138" s="376"/>
      <c r="GI138" s="376"/>
      <c r="GJ138" s="376"/>
      <c r="GK138" s="376"/>
      <c r="GL138" s="376"/>
      <c r="GM138" s="376"/>
      <c r="GN138" s="376"/>
      <c r="GO138" s="376"/>
      <c r="GP138" s="376"/>
      <c r="GQ138" s="376"/>
      <c r="GR138" s="376"/>
    </row>
    <row r="139" spans="1:200" s="61" customFormat="1" ht="12" hidden="1" customHeight="1" x14ac:dyDescent="0.3">
      <c r="A139" s="280"/>
      <c r="B139" s="281"/>
      <c r="C139" s="282"/>
      <c r="D139" s="282"/>
      <c r="E139" s="4"/>
      <c r="F139" s="281"/>
      <c r="G139" s="282"/>
      <c r="H139" s="282"/>
      <c r="I139" s="280"/>
      <c r="J139" s="280"/>
      <c r="K139" s="280"/>
      <c r="L139" s="280"/>
      <c r="M139" s="4"/>
      <c r="N139" s="371" t="s">
        <v>249</v>
      </c>
      <c r="O139" s="69"/>
      <c r="P139" s="69"/>
      <c r="Q139" s="70">
        <f t="shared" si="305"/>
        <v>0</v>
      </c>
      <c r="R139" s="70">
        <f t="shared" si="306"/>
        <v>0</v>
      </c>
      <c r="S139" s="70">
        <f t="shared" si="307"/>
        <v>0</v>
      </c>
      <c r="T139" s="69"/>
      <c r="U139" s="69"/>
      <c r="V139" s="64">
        <f t="shared" si="317"/>
        <v>0</v>
      </c>
      <c r="W139" s="64"/>
      <c r="X139" s="71"/>
      <c r="Y139" s="64"/>
      <c r="Z139" s="60"/>
      <c r="AA139" s="64">
        <f t="shared" si="318"/>
        <v>0</v>
      </c>
      <c r="AB139" s="64"/>
      <c r="AC139" s="71"/>
      <c r="AD139" s="64"/>
      <c r="AE139" s="60"/>
      <c r="AF139" s="64">
        <f t="shared" si="319"/>
        <v>0</v>
      </c>
      <c r="AG139" s="64"/>
      <c r="AH139" s="71"/>
      <c r="AI139" s="64"/>
      <c r="AJ139" s="60"/>
      <c r="AK139" s="64">
        <f t="shared" si="320"/>
        <v>0</v>
      </c>
      <c r="AL139" s="64"/>
      <c r="AM139" s="71"/>
      <c r="AN139" s="64"/>
      <c r="AO139" s="64"/>
      <c r="AP139" s="64"/>
      <c r="AQ139" s="64">
        <f t="shared" si="321"/>
        <v>0</v>
      </c>
      <c r="AR139" s="64"/>
      <c r="AS139" s="64"/>
      <c r="AT139" s="64"/>
      <c r="AU139" s="64"/>
      <c r="AV139" s="64">
        <f t="shared" si="293"/>
        <v>0</v>
      </c>
      <c r="AW139" s="64">
        <f t="shared" si="294"/>
        <v>0</v>
      </c>
      <c r="AX139" s="64">
        <f t="shared" si="295"/>
        <v>0</v>
      </c>
      <c r="AY139" s="64">
        <f t="shared" si="296"/>
        <v>0</v>
      </c>
      <c r="AZ139" s="64" t="e">
        <f>#REF!-AU139</f>
        <v>#REF!</v>
      </c>
      <c r="BA139" s="64">
        <f t="shared" si="322"/>
        <v>0</v>
      </c>
      <c r="BB139" s="64"/>
      <c r="BC139" s="64"/>
      <c r="BD139" s="64"/>
      <c r="BE139" s="64"/>
      <c r="BF139" s="64">
        <f t="shared" si="323"/>
        <v>0</v>
      </c>
      <c r="BG139" s="64"/>
      <c r="BH139" s="64"/>
      <c r="BI139" s="64"/>
      <c r="BJ139" s="64"/>
      <c r="BK139" s="64">
        <f t="shared" si="324"/>
        <v>0</v>
      </c>
      <c r="BL139" s="64"/>
      <c r="BM139" s="64"/>
      <c r="BN139" s="64"/>
      <c r="BO139" s="64"/>
      <c r="BP139" s="64">
        <f t="shared" si="325"/>
        <v>0</v>
      </c>
      <c r="BQ139" s="64"/>
      <c r="BR139" s="64"/>
      <c r="BS139" s="64"/>
      <c r="BT139" s="64"/>
      <c r="BU139" s="64">
        <f t="shared" si="326"/>
        <v>0</v>
      </c>
      <c r="BV139" s="64"/>
      <c r="BW139" s="64"/>
      <c r="BX139" s="64"/>
      <c r="BY139" s="64"/>
      <c r="BZ139" s="60">
        <f t="shared" si="327"/>
        <v>0</v>
      </c>
      <c r="CA139" s="64">
        <f t="shared" si="297"/>
        <v>0</v>
      </c>
      <c r="CB139" s="64">
        <f t="shared" si="298"/>
        <v>0</v>
      </c>
      <c r="CC139" s="64">
        <f t="shared" si="299"/>
        <v>0</v>
      </c>
      <c r="CD139" s="64">
        <f t="shared" si="300"/>
        <v>0</v>
      </c>
      <c r="CE139" s="64">
        <f t="shared" si="328"/>
        <v>0</v>
      </c>
      <c r="CF139" s="64">
        <f t="shared" si="301"/>
        <v>0</v>
      </c>
      <c r="CG139" s="64">
        <f t="shared" si="302"/>
        <v>0</v>
      </c>
      <c r="CH139" s="64">
        <f t="shared" si="303"/>
        <v>0</v>
      </c>
      <c r="CI139" s="64">
        <f t="shared" si="304"/>
        <v>0</v>
      </c>
      <c r="CJ139" s="64">
        <f t="shared" si="329"/>
        <v>0</v>
      </c>
      <c r="CK139" s="66"/>
      <c r="CL139" s="67"/>
      <c r="CM139" s="67"/>
      <c r="CN139" s="64">
        <f t="shared" si="330"/>
        <v>0</v>
      </c>
      <c r="CO139" s="64"/>
      <c r="CP139" s="64"/>
      <c r="CQ139" s="64"/>
      <c r="CR139" s="64"/>
      <c r="CS139" s="64">
        <f t="shared" si="331"/>
        <v>0</v>
      </c>
      <c r="CT139" s="64"/>
      <c r="CU139" s="64"/>
      <c r="CV139" s="64"/>
      <c r="CW139" s="64"/>
      <c r="CX139" s="64">
        <f t="shared" si="332"/>
        <v>0</v>
      </c>
      <c r="CY139" s="64">
        <f t="shared" si="333"/>
        <v>0</v>
      </c>
      <c r="CZ139" s="64">
        <f t="shared" si="333"/>
        <v>0</v>
      </c>
      <c r="DA139" s="64">
        <f t="shared" si="333"/>
        <v>0</v>
      </c>
      <c r="DB139" s="64">
        <f t="shared" si="333"/>
        <v>0</v>
      </c>
      <c r="DC139" s="64"/>
      <c r="DD139" s="64"/>
      <c r="DE139" s="64"/>
      <c r="DF139" s="64">
        <f t="shared" si="334"/>
        <v>0</v>
      </c>
      <c r="DH139" s="64">
        <f t="shared" si="335"/>
        <v>0</v>
      </c>
      <c r="DI139" s="64">
        <f t="shared" si="336"/>
        <v>0</v>
      </c>
      <c r="DK139" s="64">
        <f t="shared" si="337"/>
        <v>0</v>
      </c>
      <c r="DL139" s="64">
        <f t="shared" si="338"/>
        <v>0</v>
      </c>
      <c r="DN139" s="64"/>
      <c r="DQ139" s="64">
        <f t="shared" si="339"/>
        <v>0</v>
      </c>
      <c r="DR139" s="64"/>
      <c r="DS139" s="64"/>
      <c r="DT139" s="64"/>
      <c r="DU139" s="64"/>
      <c r="DV139" s="64">
        <f t="shared" si="340"/>
        <v>0</v>
      </c>
      <c r="DW139" s="64"/>
      <c r="DX139" s="64"/>
      <c r="DY139" s="64"/>
      <c r="DZ139" s="64"/>
      <c r="EA139" s="375"/>
      <c r="EB139" s="375"/>
      <c r="EC139" s="375"/>
      <c r="ED139" s="375"/>
      <c r="EE139" s="375"/>
      <c r="EF139" s="375"/>
      <c r="EG139" s="375"/>
      <c r="EH139" s="375"/>
      <c r="EI139" s="375"/>
      <c r="EJ139" s="375"/>
      <c r="EK139" s="375"/>
      <c r="EL139" s="375"/>
      <c r="EM139" s="375"/>
      <c r="EN139" s="375"/>
      <c r="EO139" s="375"/>
      <c r="EP139" s="375"/>
      <c r="EQ139" s="375"/>
      <c r="ER139" s="375"/>
      <c r="ES139" s="375"/>
      <c r="ET139" s="375"/>
      <c r="EU139" s="375"/>
      <c r="EV139" s="375"/>
      <c r="EW139" s="375"/>
      <c r="EX139" s="375"/>
      <c r="EY139" s="375"/>
      <c r="EZ139" s="375"/>
      <c r="FA139" s="375"/>
      <c r="FB139" s="375"/>
      <c r="FC139" s="375"/>
      <c r="FD139" s="375"/>
      <c r="FE139" s="375"/>
      <c r="FF139" s="375"/>
      <c r="FG139" s="375"/>
      <c r="FH139" s="375"/>
      <c r="FI139" s="375"/>
      <c r="FJ139" s="375"/>
      <c r="FK139" s="375"/>
      <c r="FL139" s="375"/>
      <c r="FM139" s="375"/>
      <c r="FN139" s="375"/>
      <c r="FO139" s="375"/>
      <c r="FP139" s="375"/>
      <c r="FQ139" s="375"/>
      <c r="FR139" s="375"/>
      <c r="FS139" s="375"/>
      <c r="FT139" s="375"/>
      <c r="FU139" s="375"/>
      <c r="FV139" s="375"/>
      <c r="FW139" s="375"/>
      <c r="FX139" s="375"/>
      <c r="FY139" s="375"/>
      <c r="FZ139" s="375"/>
      <c r="GA139" s="375"/>
      <c r="GB139" s="375"/>
      <c r="GC139" s="375"/>
      <c r="GD139" s="375"/>
      <c r="GE139" s="375"/>
      <c r="GF139" s="375"/>
      <c r="GG139" s="375"/>
      <c r="GH139" s="375"/>
      <c r="GI139" s="375"/>
      <c r="GJ139" s="375"/>
      <c r="GK139" s="375"/>
      <c r="GL139" s="375"/>
      <c r="GM139" s="375"/>
      <c r="GN139" s="375"/>
      <c r="GO139" s="375"/>
      <c r="GP139" s="375"/>
      <c r="GQ139" s="375"/>
      <c r="GR139" s="375"/>
    </row>
    <row r="140" spans="1:200" s="61" customFormat="1" ht="15.75" customHeight="1" x14ac:dyDescent="0.3">
      <c r="A140" s="280"/>
      <c r="B140" s="281"/>
      <c r="C140" s="282">
        <v>1</v>
      </c>
      <c r="D140" s="282"/>
      <c r="E140" s="4">
        <v>116</v>
      </c>
      <c r="F140" s="281"/>
      <c r="G140" s="282">
        <v>1</v>
      </c>
      <c r="H140" s="282">
        <v>1</v>
      </c>
      <c r="I140" s="280"/>
      <c r="J140" s="280"/>
      <c r="K140" s="280"/>
      <c r="L140" s="280"/>
      <c r="M140" s="4">
        <v>113</v>
      </c>
      <c r="N140" s="62" t="s">
        <v>228</v>
      </c>
      <c r="O140" s="62" t="s">
        <v>448</v>
      </c>
      <c r="P140" s="62" t="s">
        <v>450</v>
      </c>
      <c r="Q140" s="60">
        <f t="shared" si="305"/>
        <v>0</v>
      </c>
      <c r="R140" s="60">
        <f t="shared" si="306"/>
        <v>0</v>
      </c>
      <c r="S140" s="60">
        <f t="shared" si="307"/>
        <v>11.364000000000033</v>
      </c>
      <c r="T140" s="60">
        <v>1</v>
      </c>
      <c r="U140" s="60">
        <v>3</v>
      </c>
      <c r="V140" s="64">
        <f t="shared" si="317"/>
        <v>3880.1</v>
      </c>
      <c r="W140" s="64"/>
      <c r="X140" s="65">
        <v>1580.1</v>
      </c>
      <c r="Y140" s="64">
        <v>2300</v>
      </c>
      <c r="Z140" s="73"/>
      <c r="AA140" s="64">
        <f t="shared" si="318"/>
        <v>1580.1</v>
      </c>
      <c r="AB140" s="64"/>
      <c r="AC140" s="65">
        <v>1580.1</v>
      </c>
      <c r="AD140" s="64"/>
      <c r="AE140" s="73"/>
      <c r="AF140" s="64">
        <f t="shared" si="319"/>
        <v>1580.1</v>
      </c>
      <c r="AG140" s="64"/>
      <c r="AH140" s="65">
        <v>1580.1</v>
      </c>
      <c r="AI140" s="64"/>
      <c r="AJ140" s="73"/>
      <c r="AK140" s="64">
        <f t="shared" si="320"/>
        <v>687</v>
      </c>
      <c r="AL140" s="64"/>
      <c r="AM140" s="65">
        <v>687</v>
      </c>
      <c r="AN140" s="64"/>
      <c r="AO140" s="73"/>
      <c r="AP140" s="64" t="s">
        <v>520</v>
      </c>
      <c r="AQ140" s="64">
        <f t="shared" si="321"/>
        <v>3880.1</v>
      </c>
      <c r="AR140" s="64"/>
      <c r="AS140" s="65">
        <f>687+893.1</f>
        <v>1580.1</v>
      </c>
      <c r="AT140" s="64">
        <v>2300</v>
      </c>
      <c r="AU140" s="73"/>
      <c r="AV140" s="64">
        <f t="shared" si="293"/>
        <v>0</v>
      </c>
      <c r="AW140" s="64">
        <f t="shared" si="294"/>
        <v>0</v>
      </c>
      <c r="AX140" s="64">
        <f t="shared" si="295"/>
        <v>0</v>
      </c>
      <c r="AY140" s="64">
        <f t="shared" si="296"/>
        <v>0</v>
      </c>
      <c r="AZ140" s="64" t="e">
        <f>#REF!-AU140</f>
        <v>#REF!</v>
      </c>
      <c r="BA140" s="64">
        <f t="shared" si="322"/>
        <v>3880.1</v>
      </c>
      <c r="BB140" s="64"/>
      <c r="BC140" s="65">
        <f>687+893.1</f>
        <v>1580.1</v>
      </c>
      <c r="BD140" s="64">
        <v>2300</v>
      </c>
      <c r="BE140" s="73"/>
      <c r="BF140" s="64">
        <f t="shared" si="323"/>
        <v>0</v>
      </c>
      <c r="BG140" s="64"/>
      <c r="BH140" s="65"/>
      <c r="BI140" s="64"/>
      <c r="BJ140" s="73"/>
      <c r="BK140" s="64">
        <f t="shared" si="324"/>
        <v>3880.1</v>
      </c>
      <c r="BL140" s="64"/>
      <c r="BM140" s="65">
        <f>687+893.1</f>
        <v>1580.1</v>
      </c>
      <c r="BN140" s="64">
        <v>2300</v>
      </c>
      <c r="BO140" s="74"/>
      <c r="BP140" s="64">
        <f t="shared" si="325"/>
        <v>3868.7359999999999</v>
      </c>
      <c r="BQ140" s="64"/>
      <c r="BR140" s="74">
        <f>687+893.1</f>
        <v>1580.1</v>
      </c>
      <c r="BS140" s="64">
        <v>2288.636</v>
      </c>
      <c r="BT140" s="73"/>
      <c r="BU140" s="64">
        <f t="shared" si="326"/>
        <v>1570.7369100000001</v>
      </c>
      <c r="BV140" s="64"/>
      <c r="BW140" s="64">
        <f>240.30032+567.73594</f>
        <v>808.03626000000008</v>
      </c>
      <c r="BX140" s="64">
        <v>762.70065</v>
      </c>
      <c r="BY140" s="64"/>
      <c r="BZ140" s="60">
        <f t="shared" si="327"/>
        <v>5439.4729100000004</v>
      </c>
      <c r="CA140" s="64">
        <f t="shared" si="297"/>
        <v>5439.4729100000004</v>
      </c>
      <c r="CB140" s="64">
        <f t="shared" si="298"/>
        <v>0</v>
      </c>
      <c r="CC140" s="64">
        <f t="shared" si="299"/>
        <v>2388.1362600000002</v>
      </c>
      <c r="CD140" s="64">
        <f t="shared" si="300"/>
        <v>3051.3366500000002</v>
      </c>
      <c r="CE140" s="64">
        <f t="shared" si="328"/>
        <v>0</v>
      </c>
      <c r="CF140" s="64">
        <f t="shared" si="301"/>
        <v>11.364000000000033</v>
      </c>
      <c r="CG140" s="64">
        <f t="shared" si="302"/>
        <v>0</v>
      </c>
      <c r="CH140" s="64">
        <f t="shared" si="303"/>
        <v>0</v>
      </c>
      <c r="CI140" s="64">
        <f t="shared" si="304"/>
        <v>11.364000000000033</v>
      </c>
      <c r="CJ140" s="64">
        <f t="shared" si="329"/>
        <v>0</v>
      </c>
      <c r="CK140" s="66"/>
      <c r="CL140" s="76">
        <f>BA140+BA141+BA142+BA143+BA144+BA145+BA147+BA149</f>
        <v>15943.800000000001</v>
      </c>
      <c r="CM140" s="76">
        <f>CL140-BF137</f>
        <v>15943.800000000001</v>
      </c>
      <c r="CN140" s="64">
        <f t="shared" si="330"/>
        <v>0</v>
      </c>
      <c r="CO140" s="64"/>
      <c r="CP140" s="65"/>
      <c r="CQ140" s="64"/>
      <c r="CR140" s="73"/>
      <c r="CS140" s="64">
        <f t="shared" si="331"/>
        <v>0</v>
      </c>
      <c r="CT140" s="64"/>
      <c r="CU140" s="65"/>
      <c r="CV140" s="64"/>
      <c r="CW140" s="73"/>
      <c r="CX140" s="64">
        <f t="shared" si="332"/>
        <v>0</v>
      </c>
      <c r="CY140" s="64">
        <f t="shared" si="333"/>
        <v>0</v>
      </c>
      <c r="CZ140" s="64">
        <f t="shared" si="333"/>
        <v>0</v>
      </c>
      <c r="DA140" s="64">
        <f t="shared" si="333"/>
        <v>0</v>
      </c>
      <c r="DB140" s="64">
        <f t="shared" si="333"/>
        <v>0</v>
      </c>
      <c r="DC140" s="64"/>
      <c r="DD140" s="64"/>
      <c r="DE140" s="64"/>
      <c r="DF140" s="64">
        <f t="shared" si="334"/>
        <v>11.364000000000033</v>
      </c>
      <c r="DH140" s="64">
        <f t="shared" si="335"/>
        <v>3880.1</v>
      </c>
      <c r="DI140" s="64">
        <f t="shared" si="336"/>
        <v>3868.7359999999999</v>
      </c>
      <c r="DK140" s="77">
        <f>DI140+DI141+DI142+DI143+DI144+DI145+DI147+DI149</f>
        <v>15837.23459</v>
      </c>
      <c r="DL140" s="77">
        <f>DF140+DF141+DF142+DF143+DF144+DF145+DF147+DF149</f>
        <v>106.56541000000004</v>
      </c>
      <c r="DN140" s="64">
        <f>CM140-DK140</f>
        <v>106.56541000000107</v>
      </c>
      <c r="DQ140" s="64">
        <f t="shared" si="339"/>
        <v>1580.1</v>
      </c>
      <c r="DR140" s="64"/>
      <c r="DS140" s="74">
        <f>687+893.1</f>
        <v>1580.1</v>
      </c>
      <c r="DT140" s="64"/>
      <c r="DU140" s="73"/>
      <c r="DV140" s="64">
        <f t="shared" si="340"/>
        <v>808.03625999999997</v>
      </c>
      <c r="DW140" s="64"/>
      <c r="DX140" s="64">
        <v>808.03625999999997</v>
      </c>
      <c r="DY140" s="64"/>
      <c r="DZ140" s="64"/>
      <c r="EA140" s="375"/>
      <c r="EB140" s="375"/>
      <c r="EC140" s="375"/>
      <c r="ED140" s="375"/>
      <c r="EE140" s="375"/>
      <c r="EF140" s="375"/>
      <c r="EG140" s="375"/>
      <c r="EH140" s="375"/>
      <c r="EI140" s="375"/>
      <c r="EJ140" s="375"/>
      <c r="EK140" s="375"/>
      <c r="EL140" s="375"/>
      <c r="EM140" s="375"/>
      <c r="EN140" s="375"/>
      <c r="EO140" s="375"/>
      <c r="EP140" s="375"/>
      <c r="EQ140" s="375"/>
      <c r="ER140" s="375"/>
      <c r="ES140" s="375"/>
      <c r="ET140" s="375"/>
      <c r="EU140" s="375"/>
      <c r="EV140" s="375"/>
      <c r="EW140" s="375"/>
      <c r="EX140" s="375"/>
      <c r="EY140" s="375"/>
      <c r="EZ140" s="375"/>
      <c r="FA140" s="375"/>
      <c r="FB140" s="375"/>
      <c r="FC140" s="375"/>
      <c r="FD140" s="375"/>
      <c r="FE140" s="375"/>
      <c r="FF140" s="375"/>
      <c r="FG140" s="375"/>
      <c r="FH140" s="375"/>
      <c r="FI140" s="375"/>
      <c r="FJ140" s="375"/>
      <c r="FK140" s="375"/>
      <c r="FL140" s="375"/>
      <c r="FM140" s="375"/>
      <c r="FN140" s="375"/>
      <c r="FO140" s="375"/>
      <c r="FP140" s="375"/>
      <c r="FQ140" s="375"/>
      <c r="FR140" s="375"/>
      <c r="FS140" s="375"/>
      <c r="FT140" s="375"/>
      <c r="FU140" s="375"/>
      <c r="FV140" s="375"/>
      <c r="FW140" s="375"/>
      <c r="FX140" s="375"/>
      <c r="FY140" s="375"/>
      <c r="FZ140" s="375"/>
      <c r="GA140" s="375"/>
      <c r="GB140" s="375"/>
      <c r="GC140" s="375"/>
      <c r="GD140" s="375"/>
      <c r="GE140" s="375"/>
      <c r="GF140" s="375"/>
      <c r="GG140" s="375"/>
      <c r="GH140" s="375"/>
      <c r="GI140" s="375"/>
      <c r="GJ140" s="375"/>
      <c r="GK140" s="375"/>
      <c r="GL140" s="375"/>
      <c r="GM140" s="375"/>
      <c r="GN140" s="375"/>
      <c r="GO140" s="375"/>
      <c r="GP140" s="375"/>
      <c r="GQ140" s="375"/>
      <c r="GR140" s="375"/>
    </row>
    <row r="141" spans="1:200" s="61" customFormat="1" ht="15.75" customHeight="1" x14ac:dyDescent="0.3">
      <c r="A141" s="280"/>
      <c r="B141" s="281"/>
      <c r="C141" s="282">
        <v>1</v>
      </c>
      <c r="D141" s="282"/>
      <c r="E141" s="4">
        <v>117</v>
      </c>
      <c r="F141" s="281"/>
      <c r="G141" s="282">
        <v>1</v>
      </c>
      <c r="H141" s="282">
        <v>1</v>
      </c>
      <c r="I141" s="280"/>
      <c r="J141" s="280"/>
      <c r="K141" s="280"/>
      <c r="L141" s="280"/>
      <c r="M141" s="4">
        <v>114</v>
      </c>
      <c r="N141" s="62" t="s">
        <v>49</v>
      </c>
      <c r="O141" s="62" t="s">
        <v>450</v>
      </c>
      <c r="P141" s="62" t="s">
        <v>450</v>
      </c>
      <c r="Q141" s="60">
        <f t="shared" si="305"/>
        <v>0</v>
      </c>
      <c r="R141" s="60">
        <f t="shared" si="306"/>
        <v>0</v>
      </c>
      <c r="S141" s="60">
        <f t="shared" si="307"/>
        <v>0</v>
      </c>
      <c r="T141" s="60">
        <v>1</v>
      </c>
      <c r="U141" s="60">
        <v>2</v>
      </c>
      <c r="V141" s="64">
        <f t="shared" si="317"/>
        <v>7311.9</v>
      </c>
      <c r="W141" s="64"/>
      <c r="X141" s="65">
        <v>1570.9</v>
      </c>
      <c r="Y141" s="64">
        <v>5741</v>
      </c>
      <c r="Z141" s="73"/>
      <c r="AA141" s="64">
        <f t="shared" si="318"/>
        <v>7311.9</v>
      </c>
      <c r="AB141" s="64"/>
      <c r="AC141" s="65">
        <v>1570.9</v>
      </c>
      <c r="AD141" s="64">
        <v>5741</v>
      </c>
      <c r="AE141" s="73"/>
      <c r="AF141" s="64">
        <f t="shared" si="319"/>
        <v>7611.9</v>
      </c>
      <c r="AG141" s="64"/>
      <c r="AH141" s="65">
        <v>1570.9</v>
      </c>
      <c r="AI141" s="64">
        <v>6041</v>
      </c>
      <c r="AJ141" s="73"/>
      <c r="AK141" s="64">
        <f t="shared" si="320"/>
        <v>6724</v>
      </c>
      <c r="AL141" s="64"/>
      <c r="AM141" s="65">
        <v>683</v>
      </c>
      <c r="AN141" s="64">
        <v>6041</v>
      </c>
      <c r="AO141" s="73"/>
      <c r="AP141" s="64" t="s">
        <v>354</v>
      </c>
      <c r="AQ141" s="64">
        <f t="shared" si="321"/>
        <v>7311.9</v>
      </c>
      <c r="AR141" s="64"/>
      <c r="AS141" s="65">
        <f>683+887.9</f>
        <v>1570.9</v>
      </c>
      <c r="AT141" s="64">
        <v>5741</v>
      </c>
      <c r="AU141" s="73"/>
      <c r="AV141" s="64">
        <f t="shared" si="293"/>
        <v>0</v>
      </c>
      <c r="AW141" s="64">
        <f t="shared" si="294"/>
        <v>0</v>
      </c>
      <c r="AX141" s="64">
        <f t="shared" si="295"/>
        <v>0</v>
      </c>
      <c r="AY141" s="64">
        <f t="shared" si="296"/>
        <v>0</v>
      </c>
      <c r="AZ141" s="64" t="e">
        <f>#REF!-AU141</f>
        <v>#REF!</v>
      </c>
      <c r="BA141" s="64">
        <f t="shared" si="322"/>
        <v>7311.9</v>
      </c>
      <c r="BB141" s="64"/>
      <c r="BC141" s="65">
        <f>683+887.9</f>
        <v>1570.9</v>
      </c>
      <c r="BD141" s="64">
        <v>5741</v>
      </c>
      <c r="BE141" s="73"/>
      <c r="BF141" s="64">
        <f t="shared" si="323"/>
        <v>0</v>
      </c>
      <c r="BG141" s="64"/>
      <c r="BH141" s="65"/>
      <c r="BI141" s="64"/>
      <c r="BJ141" s="73"/>
      <c r="BK141" s="64">
        <f t="shared" si="324"/>
        <v>7311.9</v>
      </c>
      <c r="BL141" s="64"/>
      <c r="BM141" s="65">
        <f>683+887.9</f>
        <v>1570.9</v>
      </c>
      <c r="BN141" s="64">
        <v>5741</v>
      </c>
      <c r="BO141" s="74"/>
      <c r="BP141" s="64">
        <f t="shared" si="325"/>
        <v>7311.9</v>
      </c>
      <c r="BQ141" s="64"/>
      <c r="BR141" s="74">
        <f>887.9+683</f>
        <v>1570.9</v>
      </c>
      <c r="BS141" s="64">
        <f>2921+2820</f>
        <v>5741</v>
      </c>
      <c r="BT141" s="73"/>
      <c r="BU141" s="64">
        <f t="shared" si="326"/>
        <v>2494.0209999999997</v>
      </c>
      <c r="BV141" s="64"/>
      <c r="BW141" s="64">
        <f>313.659+254.64</f>
        <v>568.29899999999998</v>
      </c>
      <c r="BX141" s="64">
        <f>985.47+940.252</f>
        <v>1925.722</v>
      </c>
      <c r="BY141" s="64"/>
      <c r="BZ141" s="60">
        <f t="shared" si="327"/>
        <v>9805.9210000000003</v>
      </c>
      <c r="CA141" s="64">
        <f t="shared" si="297"/>
        <v>9805.9210000000003</v>
      </c>
      <c r="CB141" s="64">
        <f t="shared" si="298"/>
        <v>0</v>
      </c>
      <c r="CC141" s="64">
        <f t="shared" si="299"/>
        <v>2139.1990000000001</v>
      </c>
      <c r="CD141" s="64">
        <f t="shared" si="300"/>
        <v>7666.7219999999998</v>
      </c>
      <c r="CE141" s="64">
        <f t="shared" si="328"/>
        <v>0</v>
      </c>
      <c r="CF141" s="64">
        <f t="shared" si="301"/>
        <v>0</v>
      </c>
      <c r="CG141" s="64">
        <f t="shared" si="302"/>
        <v>0</v>
      </c>
      <c r="CH141" s="64">
        <f t="shared" si="303"/>
        <v>0</v>
      </c>
      <c r="CI141" s="64">
        <f t="shared" si="304"/>
        <v>0</v>
      </c>
      <c r="CJ141" s="64">
        <f t="shared" si="329"/>
        <v>0</v>
      </c>
      <c r="CK141" s="66"/>
      <c r="CL141" s="67"/>
      <c r="CM141" s="67"/>
      <c r="CN141" s="64">
        <f t="shared" si="330"/>
        <v>0</v>
      </c>
      <c r="CO141" s="64"/>
      <c r="CP141" s="65"/>
      <c r="CQ141" s="64"/>
      <c r="CR141" s="73"/>
      <c r="CS141" s="64">
        <f t="shared" si="331"/>
        <v>0</v>
      </c>
      <c r="CT141" s="64"/>
      <c r="CU141" s="65"/>
      <c r="CV141" s="64"/>
      <c r="CW141" s="73"/>
      <c r="CX141" s="64">
        <f t="shared" si="332"/>
        <v>0</v>
      </c>
      <c r="CY141" s="64">
        <f t="shared" si="333"/>
        <v>0</v>
      </c>
      <c r="CZ141" s="64">
        <f t="shared" si="333"/>
        <v>0</v>
      </c>
      <c r="DA141" s="64">
        <f t="shared" si="333"/>
        <v>0</v>
      </c>
      <c r="DB141" s="64">
        <f t="shared" si="333"/>
        <v>0</v>
      </c>
      <c r="DC141" s="64"/>
      <c r="DD141" s="64"/>
      <c r="DE141" s="64"/>
      <c r="DF141" s="64">
        <f t="shared" si="334"/>
        <v>0</v>
      </c>
      <c r="DH141" s="64">
        <f t="shared" si="335"/>
        <v>7311.9</v>
      </c>
      <c r="DI141" s="64">
        <f t="shared" si="336"/>
        <v>7311.9</v>
      </c>
      <c r="DK141" s="64"/>
      <c r="DL141" s="64"/>
      <c r="DN141" s="64"/>
      <c r="DQ141" s="64">
        <f t="shared" si="339"/>
        <v>7311.9</v>
      </c>
      <c r="DR141" s="64"/>
      <c r="DS141" s="74">
        <f>887.9+683</f>
        <v>1570.9</v>
      </c>
      <c r="DT141" s="64">
        <f>2921+2820</f>
        <v>5741</v>
      </c>
      <c r="DU141" s="73"/>
      <c r="DV141" s="64">
        <f t="shared" si="340"/>
        <v>2494.0209999999997</v>
      </c>
      <c r="DW141" s="64"/>
      <c r="DX141" s="64">
        <v>568.29899999999998</v>
      </c>
      <c r="DY141" s="64">
        <v>1925.722</v>
      </c>
      <c r="DZ141" s="64"/>
      <c r="EA141" s="375"/>
      <c r="EB141" s="375"/>
      <c r="EC141" s="375"/>
      <c r="ED141" s="375"/>
      <c r="EE141" s="375"/>
      <c r="EF141" s="375"/>
      <c r="EG141" s="375"/>
      <c r="EH141" s="375"/>
      <c r="EI141" s="375"/>
      <c r="EJ141" s="375"/>
      <c r="EK141" s="375"/>
      <c r="EL141" s="375"/>
      <c r="EM141" s="375"/>
      <c r="EN141" s="375"/>
      <c r="EO141" s="375"/>
      <c r="EP141" s="375"/>
      <c r="EQ141" s="375"/>
      <c r="ER141" s="375"/>
      <c r="ES141" s="375"/>
      <c r="ET141" s="375"/>
      <c r="EU141" s="375"/>
      <c r="EV141" s="375"/>
      <c r="EW141" s="375"/>
      <c r="EX141" s="375"/>
      <c r="EY141" s="375"/>
      <c r="EZ141" s="375"/>
      <c r="FA141" s="375"/>
      <c r="FB141" s="375"/>
      <c r="FC141" s="375"/>
      <c r="FD141" s="375"/>
      <c r="FE141" s="375"/>
      <c r="FF141" s="375"/>
      <c r="FG141" s="375"/>
      <c r="FH141" s="375"/>
      <c r="FI141" s="375"/>
      <c r="FJ141" s="375"/>
      <c r="FK141" s="375"/>
      <c r="FL141" s="375"/>
      <c r="FM141" s="375"/>
      <c r="FN141" s="375"/>
      <c r="FO141" s="375"/>
      <c r="FP141" s="375"/>
      <c r="FQ141" s="375"/>
      <c r="FR141" s="375"/>
      <c r="FS141" s="375"/>
      <c r="FT141" s="375"/>
      <c r="FU141" s="375"/>
      <c r="FV141" s="375"/>
      <c r="FW141" s="375"/>
      <c r="FX141" s="375"/>
      <c r="FY141" s="375"/>
      <c r="FZ141" s="375"/>
      <c r="GA141" s="375"/>
      <c r="GB141" s="375"/>
      <c r="GC141" s="375"/>
      <c r="GD141" s="375"/>
      <c r="GE141" s="375"/>
      <c r="GF141" s="375"/>
      <c r="GG141" s="375"/>
      <c r="GH141" s="375"/>
      <c r="GI141" s="375"/>
      <c r="GJ141" s="375"/>
      <c r="GK141" s="375"/>
      <c r="GL141" s="375"/>
      <c r="GM141" s="375"/>
      <c r="GN141" s="375"/>
      <c r="GO141" s="375"/>
      <c r="GP141" s="375"/>
      <c r="GQ141" s="375"/>
      <c r="GR141" s="375"/>
    </row>
    <row r="142" spans="1:200" s="61" customFormat="1" ht="15.75" customHeight="1" x14ac:dyDescent="0.3">
      <c r="A142" s="280"/>
      <c r="B142" s="281"/>
      <c r="C142" s="282">
        <v>1</v>
      </c>
      <c r="D142" s="282"/>
      <c r="E142" s="4">
        <v>118</v>
      </c>
      <c r="F142" s="281"/>
      <c r="G142" s="282">
        <v>1</v>
      </c>
      <c r="H142" s="282">
        <v>1</v>
      </c>
      <c r="I142" s="280"/>
      <c r="J142" s="280"/>
      <c r="K142" s="280"/>
      <c r="L142" s="280"/>
      <c r="M142" s="4">
        <v>115</v>
      </c>
      <c r="N142" s="62" t="s">
        <v>50</v>
      </c>
      <c r="O142" s="62" t="s">
        <v>448</v>
      </c>
      <c r="P142" s="62" t="s">
        <v>450</v>
      </c>
      <c r="Q142" s="60">
        <f t="shared" si="305"/>
        <v>0</v>
      </c>
      <c r="R142" s="60">
        <f t="shared" si="306"/>
        <v>0</v>
      </c>
      <c r="S142" s="60">
        <f t="shared" si="307"/>
        <v>0</v>
      </c>
      <c r="T142" s="60">
        <v>1</v>
      </c>
      <c r="U142" s="60"/>
      <c r="V142" s="64">
        <f t="shared" si="317"/>
        <v>2189.6</v>
      </c>
      <c r="W142" s="64"/>
      <c r="X142" s="65">
        <v>2189.6</v>
      </c>
      <c r="Y142" s="64"/>
      <c r="Z142" s="73"/>
      <c r="AA142" s="64">
        <f t="shared" si="318"/>
        <v>2189.6</v>
      </c>
      <c r="AB142" s="64"/>
      <c r="AC142" s="65">
        <v>2189.6</v>
      </c>
      <c r="AD142" s="64"/>
      <c r="AE142" s="73"/>
      <c r="AF142" s="64">
        <f t="shared" si="319"/>
        <v>2189.6</v>
      </c>
      <c r="AG142" s="64"/>
      <c r="AH142" s="65">
        <v>2189.6</v>
      </c>
      <c r="AI142" s="64"/>
      <c r="AJ142" s="73"/>
      <c r="AK142" s="64">
        <f t="shared" si="320"/>
        <v>728</v>
      </c>
      <c r="AL142" s="64"/>
      <c r="AM142" s="65">
        <v>728</v>
      </c>
      <c r="AN142" s="64"/>
      <c r="AO142" s="73"/>
      <c r="AP142" s="64" t="s">
        <v>387</v>
      </c>
      <c r="AQ142" s="64">
        <f t="shared" si="321"/>
        <v>2189.6</v>
      </c>
      <c r="AR142" s="64"/>
      <c r="AS142" s="65">
        <v>2189.6</v>
      </c>
      <c r="AT142" s="64"/>
      <c r="AU142" s="73"/>
      <c r="AV142" s="64">
        <f t="shared" si="293"/>
        <v>0</v>
      </c>
      <c r="AW142" s="64">
        <f t="shared" si="294"/>
        <v>0</v>
      </c>
      <c r="AX142" s="64">
        <f t="shared" si="295"/>
        <v>0</v>
      </c>
      <c r="AY142" s="64">
        <f t="shared" si="296"/>
        <v>0</v>
      </c>
      <c r="AZ142" s="64" t="e">
        <f>#REF!-AU142</f>
        <v>#REF!</v>
      </c>
      <c r="BA142" s="64">
        <f t="shared" si="322"/>
        <v>2189.6</v>
      </c>
      <c r="BB142" s="64"/>
      <c r="BC142" s="65">
        <v>2189.6</v>
      </c>
      <c r="BD142" s="64"/>
      <c r="BE142" s="73"/>
      <c r="BF142" s="64">
        <f t="shared" si="323"/>
        <v>0</v>
      </c>
      <c r="BG142" s="64"/>
      <c r="BH142" s="65"/>
      <c r="BI142" s="64"/>
      <c r="BJ142" s="73"/>
      <c r="BK142" s="64">
        <f t="shared" si="324"/>
        <v>2189.6</v>
      </c>
      <c r="BL142" s="64"/>
      <c r="BM142" s="65">
        <v>2189.6</v>
      </c>
      <c r="BN142" s="64"/>
      <c r="BO142" s="74"/>
      <c r="BP142" s="64">
        <f t="shared" si="325"/>
        <v>2189.6000000000004</v>
      </c>
      <c r="BQ142" s="64"/>
      <c r="BR142" s="74">
        <f>1028.409+1161.191</f>
        <v>2189.6000000000004</v>
      </c>
      <c r="BS142" s="64"/>
      <c r="BT142" s="73"/>
      <c r="BU142" s="64">
        <f t="shared" si="326"/>
        <v>1246.672</v>
      </c>
      <c r="BV142" s="64"/>
      <c r="BW142" s="64">
        <f>661.137+585.535</f>
        <v>1246.672</v>
      </c>
      <c r="BX142" s="64"/>
      <c r="BY142" s="64"/>
      <c r="BZ142" s="60">
        <f t="shared" si="327"/>
        <v>3436.2720000000004</v>
      </c>
      <c r="CA142" s="64">
        <f t="shared" si="297"/>
        <v>3436.2720000000004</v>
      </c>
      <c r="CB142" s="64">
        <f t="shared" si="298"/>
        <v>0</v>
      </c>
      <c r="CC142" s="64">
        <f t="shared" si="299"/>
        <v>3436.2720000000004</v>
      </c>
      <c r="CD142" s="64">
        <f t="shared" si="300"/>
        <v>0</v>
      </c>
      <c r="CE142" s="64">
        <f t="shared" si="328"/>
        <v>0</v>
      </c>
      <c r="CF142" s="64">
        <f t="shared" si="301"/>
        <v>0</v>
      </c>
      <c r="CG142" s="64">
        <f t="shared" si="302"/>
        <v>0</v>
      </c>
      <c r="CH142" s="64">
        <f t="shared" si="303"/>
        <v>0</v>
      </c>
      <c r="CI142" s="64">
        <f t="shared" si="304"/>
        <v>0</v>
      </c>
      <c r="CJ142" s="64">
        <f t="shared" si="329"/>
        <v>0</v>
      </c>
      <c r="CK142" s="66"/>
      <c r="CL142" s="67"/>
      <c r="CM142" s="67"/>
      <c r="CN142" s="64">
        <f t="shared" si="330"/>
        <v>0</v>
      </c>
      <c r="CO142" s="64"/>
      <c r="CP142" s="65"/>
      <c r="CQ142" s="64"/>
      <c r="CR142" s="73"/>
      <c r="CS142" s="64">
        <f t="shared" si="331"/>
        <v>0</v>
      </c>
      <c r="CT142" s="64"/>
      <c r="CU142" s="65"/>
      <c r="CV142" s="64"/>
      <c r="CW142" s="73"/>
      <c r="CX142" s="64">
        <f t="shared" si="332"/>
        <v>0</v>
      </c>
      <c r="CY142" s="64">
        <f t="shared" si="333"/>
        <v>0</v>
      </c>
      <c r="CZ142" s="64">
        <f t="shared" si="333"/>
        <v>0</v>
      </c>
      <c r="DA142" s="64">
        <f t="shared" si="333"/>
        <v>0</v>
      </c>
      <c r="DB142" s="64">
        <f t="shared" si="333"/>
        <v>0</v>
      </c>
      <c r="DC142" s="64"/>
      <c r="DD142" s="64"/>
      <c r="DE142" s="64"/>
      <c r="DF142" s="64">
        <f t="shared" si="334"/>
        <v>0</v>
      </c>
      <c r="DH142" s="64">
        <f t="shared" si="335"/>
        <v>2189.6</v>
      </c>
      <c r="DI142" s="64">
        <f t="shared" si="336"/>
        <v>2189.6000000000004</v>
      </c>
      <c r="DK142" s="64"/>
      <c r="DL142" s="64"/>
      <c r="DN142" s="64"/>
      <c r="DQ142" s="64">
        <f t="shared" si="339"/>
        <v>2189.6000000000004</v>
      </c>
      <c r="DR142" s="64"/>
      <c r="DS142" s="74">
        <f>1028.409+1161.191</f>
        <v>2189.6000000000004</v>
      </c>
      <c r="DT142" s="64"/>
      <c r="DU142" s="73"/>
      <c r="DV142" s="64">
        <f t="shared" si="340"/>
        <v>1246.672</v>
      </c>
      <c r="DW142" s="64"/>
      <c r="DX142" s="64">
        <v>1246.672</v>
      </c>
      <c r="DY142" s="64"/>
      <c r="DZ142" s="64"/>
      <c r="EA142" s="375"/>
      <c r="EB142" s="375"/>
      <c r="EC142" s="375"/>
      <c r="ED142" s="375"/>
      <c r="EE142" s="375"/>
      <c r="EF142" s="375"/>
      <c r="EG142" s="375"/>
      <c r="EH142" s="375"/>
      <c r="EI142" s="375"/>
      <c r="EJ142" s="375"/>
      <c r="EK142" s="375"/>
      <c r="EL142" s="375"/>
      <c r="EM142" s="375"/>
      <c r="EN142" s="375"/>
      <c r="EO142" s="375"/>
      <c r="EP142" s="375"/>
      <c r="EQ142" s="375"/>
      <c r="ER142" s="375"/>
      <c r="ES142" s="375"/>
      <c r="ET142" s="375"/>
      <c r="EU142" s="375"/>
      <c r="EV142" s="375"/>
      <c r="EW142" s="375"/>
      <c r="EX142" s="375"/>
      <c r="EY142" s="375"/>
      <c r="EZ142" s="375"/>
      <c r="FA142" s="375"/>
      <c r="FB142" s="375"/>
      <c r="FC142" s="375"/>
      <c r="FD142" s="375"/>
      <c r="FE142" s="375"/>
      <c r="FF142" s="375"/>
      <c r="FG142" s="375"/>
      <c r="FH142" s="375"/>
      <c r="FI142" s="375"/>
      <c r="FJ142" s="375"/>
      <c r="FK142" s="375"/>
      <c r="FL142" s="375"/>
      <c r="FM142" s="375"/>
      <c r="FN142" s="375"/>
      <c r="FO142" s="375"/>
      <c r="FP142" s="375"/>
      <c r="FQ142" s="375"/>
      <c r="FR142" s="375"/>
      <c r="FS142" s="375"/>
      <c r="FT142" s="375"/>
      <c r="FU142" s="375"/>
      <c r="FV142" s="375"/>
      <c r="FW142" s="375"/>
      <c r="FX142" s="375"/>
      <c r="FY142" s="375"/>
      <c r="FZ142" s="375"/>
      <c r="GA142" s="375"/>
      <c r="GB142" s="375"/>
      <c r="GC142" s="375"/>
      <c r="GD142" s="375"/>
      <c r="GE142" s="375"/>
      <c r="GF142" s="375"/>
      <c r="GG142" s="375"/>
      <c r="GH142" s="375"/>
      <c r="GI142" s="375"/>
      <c r="GJ142" s="375"/>
      <c r="GK142" s="375"/>
      <c r="GL142" s="375"/>
      <c r="GM142" s="375"/>
      <c r="GN142" s="375"/>
      <c r="GO142" s="375"/>
      <c r="GP142" s="375"/>
      <c r="GQ142" s="375"/>
      <c r="GR142" s="375"/>
    </row>
    <row r="143" spans="1:200" s="61" customFormat="1" ht="15.75" customHeight="1" x14ac:dyDescent="0.3">
      <c r="A143" s="280"/>
      <c r="B143" s="281"/>
      <c r="C143" s="282">
        <v>1</v>
      </c>
      <c r="D143" s="282"/>
      <c r="E143" s="4">
        <v>119</v>
      </c>
      <c r="F143" s="281"/>
      <c r="G143" s="282">
        <v>1</v>
      </c>
      <c r="H143" s="282">
        <v>1</v>
      </c>
      <c r="I143" s="4"/>
      <c r="J143" s="283"/>
      <c r="K143" s="283"/>
      <c r="L143" s="286"/>
      <c r="M143" s="4">
        <v>116</v>
      </c>
      <c r="N143" s="62" t="s">
        <v>229</v>
      </c>
      <c r="O143" s="62" t="s">
        <v>450</v>
      </c>
      <c r="P143" s="62" t="s">
        <v>449</v>
      </c>
      <c r="Q143" s="60">
        <f t="shared" si="305"/>
        <v>0</v>
      </c>
      <c r="R143" s="60">
        <f t="shared" si="306"/>
        <v>0</v>
      </c>
      <c r="S143" s="60">
        <f t="shared" si="307"/>
        <v>0</v>
      </c>
      <c r="T143" s="60">
        <v>1</v>
      </c>
      <c r="U143" s="60">
        <v>1</v>
      </c>
      <c r="V143" s="64">
        <f t="shared" si="317"/>
        <v>1419.1</v>
      </c>
      <c r="W143" s="64"/>
      <c r="X143" s="65">
        <v>1419.1</v>
      </c>
      <c r="Y143" s="99"/>
      <c r="Z143" s="73"/>
      <c r="AA143" s="64">
        <f t="shared" si="318"/>
        <v>1419.1</v>
      </c>
      <c r="AB143" s="64"/>
      <c r="AC143" s="65">
        <v>1419.1</v>
      </c>
      <c r="AD143" s="99"/>
      <c r="AE143" s="73"/>
      <c r="AF143" s="64">
        <f t="shared" si="319"/>
        <v>1419.1</v>
      </c>
      <c r="AG143" s="64"/>
      <c r="AH143" s="65">
        <v>1419.1</v>
      </c>
      <c r="AI143" s="99"/>
      <c r="AJ143" s="73"/>
      <c r="AK143" s="64">
        <f t="shared" si="320"/>
        <v>617</v>
      </c>
      <c r="AL143" s="64"/>
      <c r="AM143" s="65">
        <v>617</v>
      </c>
      <c r="AN143" s="99"/>
      <c r="AO143" s="73"/>
      <c r="AP143" s="64" t="s">
        <v>343</v>
      </c>
      <c r="AQ143" s="64">
        <f t="shared" si="321"/>
        <v>1419.1</v>
      </c>
      <c r="AR143" s="64"/>
      <c r="AS143" s="65">
        <f>617+802.1</f>
        <v>1419.1</v>
      </c>
      <c r="AT143" s="99"/>
      <c r="AU143" s="73"/>
      <c r="AV143" s="64">
        <f t="shared" si="293"/>
        <v>0</v>
      </c>
      <c r="AW143" s="64">
        <f t="shared" si="294"/>
        <v>0</v>
      </c>
      <c r="AX143" s="64">
        <f t="shared" si="295"/>
        <v>0</v>
      </c>
      <c r="AY143" s="64">
        <f t="shared" si="296"/>
        <v>0</v>
      </c>
      <c r="AZ143" s="64" t="e">
        <f>#REF!-AU143</f>
        <v>#REF!</v>
      </c>
      <c r="BA143" s="64">
        <f t="shared" si="322"/>
        <v>1419.1</v>
      </c>
      <c r="BB143" s="64"/>
      <c r="BC143" s="65">
        <f>617+802.1</f>
        <v>1419.1</v>
      </c>
      <c r="BD143" s="99"/>
      <c r="BE143" s="73"/>
      <c r="BF143" s="64">
        <f t="shared" si="323"/>
        <v>0</v>
      </c>
      <c r="BG143" s="64"/>
      <c r="BH143" s="65"/>
      <c r="BI143" s="99"/>
      <c r="BJ143" s="73"/>
      <c r="BK143" s="64">
        <f t="shared" si="324"/>
        <v>1419.1</v>
      </c>
      <c r="BL143" s="64"/>
      <c r="BM143" s="65">
        <f>617+802.1</f>
        <v>1419.1</v>
      </c>
      <c r="BN143" s="104"/>
      <c r="BO143" s="74"/>
      <c r="BP143" s="64">
        <f t="shared" si="325"/>
        <v>1419.1</v>
      </c>
      <c r="BQ143" s="64"/>
      <c r="BR143" s="74">
        <v>1419.1</v>
      </c>
      <c r="BS143" s="104"/>
      <c r="BT143" s="73"/>
      <c r="BU143" s="64">
        <f t="shared" si="326"/>
        <v>478.64699999999999</v>
      </c>
      <c r="BV143" s="64"/>
      <c r="BW143" s="64">
        <v>478.64699999999999</v>
      </c>
      <c r="BX143" s="64"/>
      <c r="BY143" s="64"/>
      <c r="BZ143" s="60">
        <f t="shared" si="327"/>
        <v>1897.7469999999998</v>
      </c>
      <c r="CA143" s="64">
        <f t="shared" si="297"/>
        <v>1897.7469999999998</v>
      </c>
      <c r="CB143" s="64">
        <f t="shared" si="298"/>
        <v>0</v>
      </c>
      <c r="CC143" s="64">
        <f t="shared" si="299"/>
        <v>1897.7469999999998</v>
      </c>
      <c r="CD143" s="64">
        <f t="shared" si="300"/>
        <v>0</v>
      </c>
      <c r="CE143" s="64">
        <f t="shared" si="328"/>
        <v>0</v>
      </c>
      <c r="CF143" s="64">
        <f t="shared" si="301"/>
        <v>0</v>
      </c>
      <c r="CG143" s="64">
        <f t="shared" si="302"/>
        <v>0</v>
      </c>
      <c r="CH143" s="64">
        <f t="shared" si="303"/>
        <v>0</v>
      </c>
      <c r="CI143" s="64">
        <f t="shared" si="304"/>
        <v>0</v>
      </c>
      <c r="CJ143" s="64">
        <f t="shared" si="329"/>
        <v>0</v>
      </c>
      <c r="CK143" s="66"/>
      <c r="CL143" s="67"/>
      <c r="CM143" s="67"/>
      <c r="CN143" s="64">
        <f t="shared" si="330"/>
        <v>0</v>
      </c>
      <c r="CO143" s="64"/>
      <c r="CP143" s="65"/>
      <c r="CQ143" s="99"/>
      <c r="CR143" s="73"/>
      <c r="CS143" s="64">
        <f t="shared" si="331"/>
        <v>0</v>
      </c>
      <c r="CT143" s="64"/>
      <c r="CU143" s="65"/>
      <c r="CV143" s="99"/>
      <c r="CW143" s="73"/>
      <c r="CX143" s="64">
        <f t="shared" si="332"/>
        <v>0</v>
      </c>
      <c r="CY143" s="64">
        <f t="shared" si="333"/>
        <v>0</v>
      </c>
      <c r="CZ143" s="64">
        <f t="shared" si="333"/>
        <v>0</v>
      </c>
      <c r="DA143" s="64">
        <f t="shared" si="333"/>
        <v>0</v>
      </c>
      <c r="DB143" s="64">
        <f t="shared" si="333"/>
        <v>0</v>
      </c>
      <c r="DC143" s="64"/>
      <c r="DD143" s="64"/>
      <c r="DE143" s="64"/>
      <c r="DF143" s="64">
        <f t="shared" si="334"/>
        <v>0</v>
      </c>
      <c r="DH143" s="64">
        <f t="shared" si="335"/>
        <v>1419.1</v>
      </c>
      <c r="DI143" s="64">
        <f t="shared" si="336"/>
        <v>1419.1</v>
      </c>
      <c r="DK143" s="64"/>
      <c r="DL143" s="64"/>
      <c r="DN143" s="64"/>
      <c r="DQ143" s="64">
        <f t="shared" si="339"/>
        <v>1419.1</v>
      </c>
      <c r="DR143" s="64"/>
      <c r="DS143" s="74">
        <v>1419.1</v>
      </c>
      <c r="DT143" s="104"/>
      <c r="DU143" s="73"/>
      <c r="DV143" s="64">
        <f t="shared" si="340"/>
        <v>478.64699999999999</v>
      </c>
      <c r="DW143" s="64"/>
      <c r="DX143" s="64">
        <v>478.64699999999999</v>
      </c>
      <c r="DY143" s="64"/>
      <c r="DZ143" s="64"/>
      <c r="EA143" s="375"/>
      <c r="EB143" s="375"/>
      <c r="EC143" s="375"/>
      <c r="ED143" s="375"/>
      <c r="EE143" s="375"/>
      <c r="EF143" s="375"/>
      <c r="EG143" s="375"/>
      <c r="EH143" s="375"/>
      <c r="EI143" s="375"/>
      <c r="EJ143" s="375"/>
      <c r="EK143" s="375"/>
      <c r="EL143" s="375"/>
      <c r="EM143" s="375"/>
      <c r="EN143" s="375"/>
      <c r="EO143" s="375"/>
      <c r="EP143" s="375"/>
      <c r="EQ143" s="375"/>
      <c r="ER143" s="375"/>
      <c r="ES143" s="375"/>
      <c r="ET143" s="375"/>
      <c r="EU143" s="375"/>
      <c r="EV143" s="375"/>
      <c r="EW143" s="375"/>
      <c r="EX143" s="375"/>
      <c r="EY143" s="375"/>
      <c r="EZ143" s="375"/>
      <c r="FA143" s="375"/>
      <c r="FB143" s="375"/>
      <c r="FC143" s="375"/>
      <c r="FD143" s="375"/>
      <c r="FE143" s="375"/>
      <c r="FF143" s="375"/>
      <c r="FG143" s="375"/>
      <c r="FH143" s="375"/>
      <c r="FI143" s="375"/>
      <c r="FJ143" s="375"/>
      <c r="FK143" s="375"/>
      <c r="FL143" s="375"/>
      <c r="FM143" s="375"/>
      <c r="FN143" s="375"/>
      <c r="FO143" s="375"/>
      <c r="FP143" s="375"/>
      <c r="FQ143" s="375"/>
      <c r="FR143" s="375"/>
      <c r="FS143" s="375"/>
      <c r="FT143" s="375"/>
      <c r="FU143" s="375"/>
      <c r="FV143" s="375"/>
      <c r="FW143" s="375"/>
      <c r="FX143" s="375"/>
      <c r="FY143" s="375"/>
      <c r="FZ143" s="375"/>
      <c r="GA143" s="375"/>
      <c r="GB143" s="375"/>
      <c r="GC143" s="375"/>
      <c r="GD143" s="375"/>
      <c r="GE143" s="375"/>
      <c r="GF143" s="375"/>
      <c r="GG143" s="375"/>
      <c r="GH143" s="375"/>
      <c r="GI143" s="375"/>
      <c r="GJ143" s="375"/>
      <c r="GK143" s="375"/>
      <c r="GL143" s="375"/>
      <c r="GM143" s="375"/>
      <c r="GN143" s="375"/>
      <c r="GO143" s="375"/>
      <c r="GP143" s="375"/>
      <c r="GQ143" s="375"/>
      <c r="GR143" s="375"/>
    </row>
    <row r="144" spans="1:200" s="61" customFormat="1" ht="15.75" customHeight="1" x14ac:dyDescent="0.3">
      <c r="A144" s="280"/>
      <c r="B144" s="281"/>
      <c r="C144" s="282">
        <v>1</v>
      </c>
      <c r="D144" s="282"/>
      <c r="E144" s="4">
        <v>120</v>
      </c>
      <c r="F144" s="281"/>
      <c r="G144" s="282">
        <v>1</v>
      </c>
      <c r="H144" s="282">
        <v>1</v>
      </c>
      <c r="I144" s="280"/>
      <c r="J144" s="280"/>
      <c r="K144" s="280"/>
      <c r="L144" s="280"/>
      <c r="M144" s="4">
        <v>117</v>
      </c>
      <c r="N144" s="62" t="s">
        <v>51</v>
      </c>
      <c r="O144" s="62" t="s">
        <v>450</v>
      </c>
      <c r="P144" s="62" t="s">
        <v>450</v>
      </c>
      <c r="Q144" s="60">
        <f t="shared" si="305"/>
        <v>0</v>
      </c>
      <c r="R144" s="60">
        <f t="shared" si="306"/>
        <v>0</v>
      </c>
      <c r="S144" s="60">
        <f t="shared" si="307"/>
        <v>0</v>
      </c>
      <c r="T144" s="60">
        <v>1</v>
      </c>
      <c r="U144" s="60">
        <v>1</v>
      </c>
      <c r="V144" s="64">
        <f t="shared" si="317"/>
        <v>526.70000000000005</v>
      </c>
      <c r="W144" s="64"/>
      <c r="X144" s="65">
        <v>526.70000000000005</v>
      </c>
      <c r="Y144" s="64"/>
      <c r="Z144" s="78"/>
      <c r="AA144" s="64">
        <f t="shared" si="318"/>
        <v>526.70000000000005</v>
      </c>
      <c r="AB144" s="64"/>
      <c r="AC144" s="65">
        <v>526.70000000000005</v>
      </c>
      <c r="AD144" s="64"/>
      <c r="AE144" s="78"/>
      <c r="AF144" s="64">
        <f t="shared" si="319"/>
        <v>526.70000000000005</v>
      </c>
      <c r="AG144" s="64"/>
      <c r="AH144" s="65">
        <v>526.70000000000005</v>
      </c>
      <c r="AI144" s="64"/>
      <c r="AJ144" s="78"/>
      <c r="AK144" s="64">
        <f t="shared" si="320"/>
        <v>229</v>
      </c>
      <c r="AL144" s="64"/>
      <c r="AM144" s="65">
        <v>229</v>
      </c>
      <c r="AN144" s="64"/>
      <c r="AP144" s="60" t="s">
        <v>372</v>
      </c>
      <c r="AQ144" s="64">
        <f t="shared" si="321"/>
        <v>526.70000000000005</v>
      </c>
      <c r="AR144" s="64"/>
      <c r="AS144" s="65">
        <f>171.75+354.95</f>
        <v>526.70000000000005</v>
      </c>
      <c r="AT144" s="64"/>
      <c r="AU144" s="64"/>
      <c r="AV144" s="64">
        <f t="shared" si="293"/>
        <v>0</v>
      </c>
      <c r="AW144" s="64">
        <f t="shared" si="294"/>
        <v>0</v>
      </c>
      <c r="AX144" s="64">
        <f t="shared" si="295"/>
        <v>0</v>
      </c>
      <c r="AY144" s="64">
        <f t="shared" si="296"/>
        <v>0</v>
      </c>
      <c r="AZ144" s="64" t="e">
        <f>#REF!-AU144</f>
        <v>#REF!</v>
      </c>
      <c r="BA144" s="64">
        <f t="shared" si="322"/>
        <v>526.70000000000005</v>
      </c>
      <c r="BB144" s="64"/>
      <c r="BC144" s="65">
        <f>171.75+354.95</f>
        <v>526.70000000000005</v>
      </c>
      <c r="BD144" s="64"/>
      <c r="BE144" s="64"/>
      <c r="BF144" s="64">
        <f t="shared" si="323"/>
        <v>0</v>
      </c>
      <c r="BG144" s="64"/>
      <c r="BH144" s="73"/>
      <c r="BI144" s="64"/>
      <c r="BJ144" s="64"/>
      <c r="BK144" s="64">
        <f t="shared" si="324"/>
        <v>526.70000000000005</v>
      </c>
      <c r="BL144" s="64"/>
      <c r="BM144" s="65">
        <f>171.75+354.95</f>
        <v>526.70000000000005</v>
      </c>
      <c r="BN144" s="64"/>
      <c r="BO144" s="64"/>
      <c r="BP144" s="64">
        <f t="shared" si="325"/>
        <v>526.70000000000005</v>
      </c>
      <c r="BQ144" s="64"/>
      <c r="BR144" s="74">
        <f>171.75+354.95</f>
        <v>526.70000000000005</v>
      </c>
      <c r="BS144" s="64"/>
      <c r="BT144" s="64"/>
      <c r="BU144" s="64">
        <f t="shared" si="326"/>
        <v>175.703</v>
      </c>
      <c r="BV144" s="64"/>
      <c r="BW144" s="64">
        <f>57.25+118.453</f>
        <v>175.703</v>
      </c>
      <c r="BX144" s="64"/>
      <c r="BY144" s="64"/>
      <c r="BZ144" s="60">
        <f t="shared" si="327"/>
        <v>702.40300000000002</v>
      </c>
      <c r="CA144" s="64">
        <f t="shared" si="297"/>
        <v>702.40300000000002</v>
      </c>
      <c r="CB144" s="64">
        <f t="shared" si="298"/>
        <v>0</v>
      </c>
      <c r="CC144" s="64">
        <f t="shared" si="299"/>
        <v>702.40300000000002</v>
      </c>
      <c r="CD144" s="64">
        <f t="shared" si="300"/>
        <v>0</v>
      </c>
      <c r="CE144" s="64">
        <f t="shared" si="328"/>
        <v>0</v>
      </c>
      <c r="CF144" s="64">
        <f t="shared" si="301"/>
        <v>0</v>
      </c>
      <c r="CG144" s="64">
        <f t="shared" si="302"/>
        <v>0</v>
      </c>
      <c r="CH144" s="64">
        <f t="shared" si="303"/>
        <v>0</v>
      </c>
      <c r="CI144" s="64">
        <f t="shared" si="304"/>
        <v>0</v>
      </c>
      <c r="CJ144" s="64">
        <f t="shared" si="329"/>
        <v>0</v>
      </c>
      <c r="CK144" s="66"/>
      <c r="CL144" s="67"/>
      <c r="CM144" s="67"/>
      <c r="CN144" s="64">
        <f t="shared" si="330"/>
        <v>0</v>
      </c>
      <c r="CO144" s="64"/>
      <c r="CP144" s="73"/>
      <c r="CQ144" s="64"/>
      <c r="CR144" s="64"/>
      <c r="CS144" s="64">
        <f t="shared" si="331"/>
        <v>0</v>
      </c>
      <c r="CT144" s="64"/>
      <c r="CU144" s="73"/>
      <c r="CV144" s="64"/>
      <c r="CW144" s="64"/>
      <c r="CX144" s="64">
        <f t="shared" si="332"/>
        <v>0</v>
      </c>
      <c r="CY144" s="64">
        <f t="shared" si="333"/>
        <v>0</v>
      </c>
      <c r="CZ144" s="64">
        <f t="shared" si="333"/>
        <v>0</v>
      </c>
      <c r="DA144" s="64">
        <f t="shared" si="333"/>
        <v>0</v>
      </c>
      <c r="DB144" s="64">
        <f t="shared" si="333"/>
        <v>0</v>
      </c>
      <c r="DC144" s="64"/>
      <c r="DD144" s="64"/>
      <c r="DE144" s="64"/>
      <c r="DF144" s="64">
        <f t="shared" si="334"/>
        <v>0</v>
      </c>
      <c r="DH144" s="64">
        <f t="shared" si="335"/>
        <v>526.70000000000005</v>
      </c>
      <c r="DI144" s="64">
        <f t="shared" si="336"/>
        <v>526.70000000000005</v>
      </c>
      <c r="DK144" s="64"/>
      <c r="DL144" s="64"/>
      <c r="DN144" s="64"/>
      <c r="DQ144" s="64">
        <f t="shared" si="339"/>
        <v>526.70000000000005</v>
      </c>
      <c r="DR144" s="64"/>
      <c r="DS144" s="74">
        <f>171.75+354.95</f>
        <v>526.70000000000005</v>
      </c>
      <c r="DT144" s="64"/>
      <c r="DU144" s="64"/>
      <c r="DV144" s="64">
        <f t="shared" si="340"/>
        <v>175.703</v>
      </c>
      <c r="DW144" s="64"/>
      <c r="DX144" s="64">
        <v>175.703</v>
      </c>
      <c r="DY144" s="64"/>
      <c r="DZ144" s="64"/>
      <c r="EA144" s="375"/>
      <c r="EB144" s="375"/>
      <c r="EC144" s="375"/>
      <c r="ED144" s="375"/>
      <c r="EE144" s="375"/>
      <c r="EF144" s="375"/>
      <c r="EG144" s="375"/>
      <c r="EH144" s="375"/>
      <c r="EI144" s="375"/>
      <c r="EJ144" s="375"/>
      <c r="EK144" s="375"/>
      <c r="EL144" s="375"/>
      <c r="EM144" s="375"/>
      <c r="EN144" s="375"/>
      <c r="EO144" s="375"/>
      <c r="EP144" s="375"/>
      <c r="EQ144" s="375"/>
      <c r="ER144" s="375"/>
      <c r="ES144" s="375"/>
      <c r="ET144" s="375"/>
      <c r="EU144" s="375"/>
      <c r="EV144" s="375"/>
      <c r="EW144" s="375"/>
      <c r="EX144" s="375"/>
      <c r="EY144" s="375"/>
      <c r="EZ144" s="375"/>
      <c r="FA144" s="375"/>
      <c r="FB144" s="375"/>
      <c r="FC144" s="375"/>
      <c r="FD144" s="375"/>
      <c r="FE144" s="375"/>
      <c r="FF144" s="375"/>
      <c r="FG144" s="375"/>
      <c r="FH144" s="375"/>
      <c r="FI144" s="375"/>
      <c r="FJ144" s="375"/>
      <c r="FK144" s="375"/>
      <c r="FL144" s="375"/>
      <c r="FM144" s="375"/>
      <c r="FN144" s="375"/>
      <c r="FO144" s="375"/>
      <c r="FP144" s="375"/>
      <c r="FQ144" s="375"/>
      <c r="FR144" s="375"/>
      <c r="FS144" s="375"/>
      <c r="FT144" s="375"/>
      <c r="FU144" s="375"/>
      <c r="FV144" s="375"/>
      <c r="FW144" s="375"/>
      <c r="FX144" s="375"/>
      <c r="FY144" s="375"/>
      <c r="FZ144" s="375"/>
      <c r="GA144" s="375"/>
      <c r="GB144" s="375"/>
      <c r="GC144" s="375"/>
      <c r="GD144" s="375"/>
      <c r="GE144" s="375"/>
      <c r="GF144" s="375"/>
      <c r="GG144" s="375"/>
      <c r="GH144" s="375"/>
      <c r="GI144" s="375"/>
      <c r="GJ144" s="375"/>
      <c r="GK144" s="375"/>
      <c r="GL144" s="375"/>
      <c r="GM144" s="375"/>
      <c r="GN144" s="375"/>
      <c r="GO144" s="375"/>
      <c r="GP144" s="375"/>
      <c r="GQ144" s="375"/>
      <c r="GR144" s="375"/>
    </row>
    <row r="145" spans="1:200" s="61" customFormat="1" ht="15.75" customHeight="1" x14ac:dyDescent="0.3">
      <c r="A145" s="280"/>
      <c r="B145" s="281"/>
      <c r="C145" s="282">
        <v>1</v>
      </c>
      <c r="D145" s="282"/>
      <c r="E145" s="4">
        <v>121</v>
      </c>
      <c r="F145" s="281"/>
      <c r="G145" s="282">
        <v>1</v>
      </c>
      <c r="H145" s="282">
        <v>1</v>
      </c>
      <c r="I145" s="4"/>
      <c r="J145" s="283"/>
      <c r="K145" s="283"/>
      <c r="L145" s="286"/>
      <c r="M145" s="4">
        <v>118</v>
      </c>
      <c r="N145" s="62" t="s">
        <v>52</v>
      </c>
      <c r="O145" s="62">
        <v>0</v>
      </c>
      <c r="P145" s="62">
        <v>0</v>
      </c>
      <c r="Q145" s="60">
        <f t="shared" si="305"/>
        <v>0</v>
      </c>
      <c r="R145" s="60">
        <f t="shared" si="306"/>
        <v>0</v>
      </c>
      <c r="S145" s="60">
        <f t="shared" si="307"/>
        <v>0</v>
      </c>
      <c r="T145" s="60"/>
      <c r="U145" s="60"/>
      <c r="V145" s="64">
        <f t="shared" si="317"/>
        <v>0</v>
      </c>
      <c r="W145" s="64"/>
      <c r="X145" s="65">
        <v>0</v>
      </c>
      <c r="Y145" s="64"/>
      <c r="Z145" s="73"/>
      <c r="AA145" s="64">
        <f t="shared" si="318"/>
        <v>0</v>
      </c>
      <c r="AB145" s="64"/>
      <c r="AC145" s="65">
        <v>0</v>
      </c>
      <c r="AD145" s="64"/>
      <c r="AE145" s="73"/>
      <c r="AF145" s="64">
        <f t="shared" si="319"/>
        <v>0</v>
      </c>
      <c r="AG145" s="64"/>
      <c r="AH145" s="65">
        <v>0</v>
      </c>
      <c r="AI145" s="64"/>
      <c r="AJ145" s="73"/>
      <c r="AK145" s="64">
        <f t="shared" si="320"/>
        <v>125</v>
      </c>
      <c r="AL145" s="64"/>
      <c r="AM145" s="65">
        <v>125</v>
      </c>
      <c r="AN145" s="64"/>
      <c r="AO145" s="73"/>
      <c r="AP145" s="64"/>
      <c r="AQ145" s="64">
        <f t="shared" si="321"/>
        <v>0</v>
      </c>
      <c r="AR145" s="64"/>
      <c r="AS145" s="65"/>
      <c r="AT145" s="64"/>
      <c r="AU145" s="64"/>
      <c r="AV145" s="64">
        <f t="shared" si="293"/>
        <v>0</v>
      </c>
      <c r="AW145" s="64">
        <f t="shared" si="294"/>
        <v>0</v>
      </c>
      <c r="AX145" s="64">
        <f t="shared" si="295"/>
        <v>0</v>
      </c>
      <c r="AY145" s="64">
        <f t="shared" si="296"/>
        <v>0</v>
      </c>
      <c r="AZ145" s="64" t="e">
        <f>#REF!-AU145</f>
        <v>#REF!</v>
      </c>
      <c r="BA145" s="64">
        <f t="shared" si="322"/>
        <v>0</v>
      </c>
      <c r="BB145" s="64"/>
      <c r="BC145" s="73"/>
      <c r="BD145" s="64"/>
      <c r="BE145" s="64"/>
      <c r="BF145" s="64">
        <f t="shared" si="323"/>
        <v>0</v>
      </c>
      <c r="BG145" s="64"/>
      <c r="BH145" s="65"/>
      <c r="BI145" s="64"/>
      <c r="BJ145" s="64"/>
      <c r="BK145" s="64">
        <f t="shared" si="324"/>
        <v>0</v>
      </c>
      <c r="BL145" s="64"/>
      <c r="BM145" s="74"/>
      <c r="BN145" s="64"/>
      <c r="BO145" s="64"/>
      <c r="BP145" s="64">
        <f t="shared" si="325"/>
        <v>0</v>
      </c>
      <c r="BQ145" s="64"/>
      <c r="BR145" s="74"/>
      <c r="BS145" s="64"/>
      <c r="BT145" s="64"/>
      <c r="BU145" s="64">
        <f t="shared" si="326"/>
        <v>0</v>
      </c>
      <c r="BV145" s="64"/>
      <c r="BW145" s="64"/>
      <c r="BX145" s="64"/>
      <c r="BY145" s="64"/>
      <c r="BZ145" s="60">
        <f t="shared" si="327"/>
        <v>0</v>
      </c>
      <c r="CA145" s="64">
        <f t="shared" si="297"/>
        <v>0</v>
      </c>
      <c r="CB145" s="64">
        <f t="shared" si="298"/>
        <v>0</v>
      </c>
      <c r="CC145" s="64">
        <f t="shared" si="299"/>
        <v>0</v>
      </c>
      <c r="CD145" s="64">
        <f t="shared" si="300"/>
        <v>0</v>
      </c>
      <c r="CE145" s="64">
        <f t="shared" si="328"/>
        <v>0</v>
      </c>
      <c r="CF145" s="64">
        <f t="shared" si="301"/>
        <v>0</v>
      </c>
      <c r="CG145" s="64">
        <f t="shared" si="302"/>
        <v>0</v>
      </c>
      <c r="CH145" s="64">
        <f t="shared" si="303"/>
        <v>0</v>
      </c>
      <c r="CI145" s="64">
        <f t="shared" si="304"/>
        <v>0</v>
      </c>
      <c r="CJ145" s="64">
        <f t="shared" si="329"/>
        <v>0</v>
      </c>
      <c r="CK145" s="66"/>
      <c r="CL145" s="67"/>
      <c r="CM145" s="67"/>
      <c r="CN145" s="64">
        <f t="shared" si="330"/>
        <v>0</v>
      </c>
      <c r="CO145" s="64"/>
      <c r="CP145" s="65"/>
      <c r="CQ145" s="64"/>
      <c r="CR145" s="64"/>
      <c r="CS145" s="64">
        <f t="shared" si="331"/>
        <v>0</v>
      </c>
      <c r="CT145" s="64"/>
      <c r="CU145" s="65"/>
      <c r="CV145" s="64"/>
      <c r="CW145" s="64"/>
      <c r="CX145" s="64">
        <f t="shared" si="332"/>
        <v>0</v>
      </c>
      <c r="CY145" s="64">
        <f t="shared" si="333"/>
        <v>0</v>
      </c>
      <c r="CZ145" s="64">
        <f t="shared" si="333"/>
        <v>0</v>
      </c>
      <c r="DA145" s="64">
        <f t="shared" si="333"/>
        <v>0</v>
      </c>
      <c r="DB145" s="64">
        <f t="shared" si="333"/>
        <v>0</v>
      </c>
      <c r="DC145" s="64"/>
      <c r="DD145" s="64"/>
      <c r="DE145" s="64"/>
      <c r="DF145" s="64">
        <f t="shared" si="334"/>
        <v>0</v>
      </c>
      <c r="DH145" s="64">
        <f t="shared" si="335"/>
        <v>0</v>
      </c>
      <c r="DI145" s="64">
        <f t="shared" si="336"/>
        <v>0</v>
      </c>
      <c r="DK145" s="64"/>
      <c r="DL145" s="64"/>
      <c r="DN145" s="64"/>
      <c r="DQ145" s="64">
        <f t="shared" si="339"/>
        <v>0</v>
      </c>
      <c r="DR145" s="64"/>
      <c r="DS145" s="74"/>
      <c r="DT145" s="64"/>
      <c r="DU145" s="64"/>
      <c r="DV145" s="64">
        <f t="shared" si="340"/>
        <v>0</v>
      </c>
      <c r="DW145" s="64"/>
      <c r="DX145" s="64"/>
      <c r="DY145" s="64"/>
      <c r="DZ145" s="64"/>
      <c r="EA145" s="375"/>
      <c r="EB145" s="375"/>
      <c r="EC145" s="375"/>
      <c r="ED145" s="375"/>
      <c r="EE145" s="375"/>
      <c r="EF145" s="375"/>
      <c r="EG145" s="375"/>
      <c r="EH145" s="375"/>
      <c r="EI145" s="375"/>
      <c r="EJ145" s="375"/>
      <c r="EK145" s="375"/>
      <c r="EL145" s="375"/>
      <c r="EM145" s="375"/>
      <c r="EN145" s="375"/>
      <c r="EO145" s="375"/>
      <c r="EP145" s="375"/>
      <c r="EQ145" s="375"/>
      <c r="ER145" s="375"/>
      <c r="ES145" s="375"/>
      <c r="ET145" s="375"/>
      <c r="EU145" s="375"/>
      <c r="EV145" s="375"/>
      <c r="EW145" s="375"/>
      <c r="EX145" s="375"/>
      <c r="EY145" s="375"/>
      <c r="EZ145" s="375"/>
      <c r="FA145" s="375"/>
      <c r="FB145" s="375"/>
      <c r="FC145" s="375"/>
      <c r="FD145" s="375"/>
      <c r="FE145" s="375"/>
      <c r="FF145" s="375"/>
      <c r="FG145" s="375"/>
      <c r="FH145" s="375"/>
      <c r="FI145" s="375"/>
      <c r="FJ145" s="375"/>
      <c r="FK145" s="375"/>
      <c r="FL145" s="375"/>
      <c r="FM145" s="375"/>
      <c r="FN145" s="375"/>
      <c r="FO145" s="375"/>
      <c r="FP145" s="375"/>
      <c r="FQ145" s="375"/>
      <c r="FR145" s="375"/>
      <c r="FS145" s="375"/>
      <c r="FT145" s="375"/>
      <c r="FU145" s="375"/>
      <c r="FV145" s="375"/>
      <c r="FW145" s="375"/>
      <c r="FX145" s="375"/>
      <c r="FY145" s="375"/>
      <c r="FZ145" s="375"/>
      <c r="GA145" s="375"/>
      <c r="GB145" s="375"/>
      <c r="GC145" s="375"/>
      <c r="GD145" s="375"/>
      <c r="GE145" s="375"/>
      <c r="GF145" s="375"/>
      <c r="GG145" s="375"/>
      <c r="GH145" s="375"/>
      <c r="GI145" s="375"/>
      <c r="GJ145" s="375"/>
      <c r="GK145" s="375"/>
      <c r="GL145" s="375"/>
      <c r="GM145" s="375"/>
      <c r="GN145" s="375"/>
      <c r="GO145" s="375"/>
      <c r="GP145" s="375"/>
      <c r="GQ145" s="375"/>
      <c r="GR145" s="375"/>
    </row>
    <row r="146" spans="1:200" s="61" customFormat="1" ht="15.75" customHeight="1" x14ac:dyDescent="0.3">
      <c r="A146" s="280"/>
      <c r="B146" s="281"/>
      <c r="C146" s="282"/>
      <c r="D146" s="282">
        <v>1</v>
      </c>
      <c r="E146" s="4">
        <v>122</v>
      </c>
      <c r="F146" s="281"/>
      <c r="G146" s="282"/>
      <c r="H146" s="282">
        <v>1</v>
      </c>
      <c r="I146" s="4"/>
      <c r="J146" s="283"/>
      <c r="K146" s="283"/>
      <c r="L146" s="286"/>
      <c r="M146" s="4">
        <v>119</v>
      </c>
      <c r="N146" s="62" t="s">
        <v>110</v>
      </c>
      <c r="O146" s="62" t="s">
        <v>448</v>
      </c>
      <c r="P146" s="62" t="s">
        <v>450</v>
      </c>
      <c r="Q146" s="60">
        <f t="shared" si="305"/>
        <v>0</v>
      </c>
      <c r="R146" s="60">
        <f t="shared" si="306"/>
        <v>0</v>
      </c>
      <c r="S146" s="60">
        <f t="shared" si="307"/>
        <v>0</v>
      </c>
      <c r="T146" s="60">
        <v>1</v>
      </c>
      <c r="U146" s="60">
        <v>1</v>
      </c>
      <c r="V146" s="64">
        <f t="shared" si="317"/>
        <v>841.8</v>
      </c>
      <c r="W146" s="64"/>
      <c r="X146" s="65">
        <v>841.8</v>
      </c>
      <c r="Y146" s="64"/>
      <c r="Z146" s="73"/>
      <c r="AA146" s="64">
        <f t="shared" si="318"/>
        <v>841.8</v>
      </c>
      <c r="AB146" s="64"/>
      <c r="AC146" s="65">
        <v>841.8</v>
      </c>
      <c r="AD146" s="64"/>
      <c r="AE146" s="73"/>
      <c r="AF146" s="64">
        <f t="shared" si="319"/>
        <v>841.8</v>
      </c>
      <c r="AG146" s="64"/>
      <c r="AH146" s="65">
        <v>841.8</v>
      </c>
      <c r="AI146" s="64"/>
      <c r="AJ146" s="73"/>
      <c r="AK146" s="64">
        <f t="shared" si="320"/>
        <v>366</v>
      </c>
      <c r="AL146" s="64"/>
      <c r="AM146" s="65">
        <v>366</v>
      </c>
      <c r="AN146" s="64"/>
      <c r="AO146" s="73"/>
      <c r="AP146" s="64" t="s">
        <v>471</v>
      </c>
      <c r="AQ146" s="64">
        <f t="shared" si="321"/>
        <v>841.8</v>
      </c>
      <c r="AR146" s="64"/>
      <c r="AS146" s="65">
        <v>841.8</v>
      </c>
      <c r="AT146" s="64"/>
      <c r="AU146" s="73"/>
      <c r="AV146" s="64">
        <f t="shared" si="293"/>
        <v>0</v>
      </c>
      <c r="AW146" s="64">
        <f t="shared" si="294"/>
        <v>0</v>
      </c>
      <c r="AX146" s="64">
        <f t="shared" si="295"/>
        <v>0</v>
      </c>
      <c r="AY146" s="64">
        <f t="shared" si="296"/>
        <v>0</v>
      </c>
      <c r="AZ146" s="64" t="e">
        <f>#REF!-AU146</f>
        <v>#REF!</v>
      </c>
      <c r="BA146" s="64">
        <f t="shared" si="322"/>
        <v>841.8</v>
      </c>
      <c r="BB146" s="64"/>
      <c r="BC146" s="65">
        <v>841.8</v>
      </c>
      <c r="BD146" s="64"/>
      <c r="BE146" s="73"/>
      <c r="BF146" s="64">
        <f t="shared" si="323"/>
        <v>0</v>
      </c>
      <c r="BG146" s="64"/>
      <c r="BH146" s="73"/>
      <c r="BI146" s="64"/>
      <c r="BJ146" s="73"/>
      <c r="BK146" s="64">
        <f t="shared" si="324"/>
        <v>841.8</v>
      </c>
      <c r="BL146" s="64"/>
      <c r="BM146" s="65">
        <v>841.8</v>
      </c>
      <c r="BN146" s="64"/>
      <c r="BO146" s="74"/>
      <c r="BP146" s="64">
        <f t="shared" si="325"/>
        <v>841.8</v>
      </c>
      <c r="BQ146" s="64"/>
      <c r="BR146" s="74">
        <v>841.8</v>
      </c>
      <c r="BS146" s="64"/>
      <c r="BT146" s="73"/>
      <c r="BU146" s="64">
        <f t="shared" si="326"/>
        <v>427.59084000000001</v>
      </c>
      <c r="BV146" s="64"/>
      <c r="BW146" s="64">
        <v>427.59084000000001</v>
      </c>
      <c r="BX146" s="64"/>
      <c r="BY146" s="64"/>
      <c r="BZ146" s="60">
        <f t="shared" si="327"/>
        <v>1269.39084</v>
      </c>
      <c r="CA146" s="64">
        <f t="shared" si="297"/>
        <v>1269.39084</v>
      </c>
      <c r="CB146" s="64">
        <f t="shared" si="298"/>
        <v>0</v>
      </c>
      <c r="CC146" s="64">
        <f t="shared" si="299"/>
        <v>1269.39084</v>
      </c>
      <c r="CD146" s="64">
        <f t="shared" si="300"/>
        <v>0</v>
      </c>
      <c r="CE146" s="64">
        <f t="shared" si="328"/>
        <v>0</v>
      </c>
      <c r="CF146" s="64">
        <f t="shared" si="301"/>
        <v>0</v>
      </c>
      <c r="CG146" s="64">
        <f t="shared" si="302"/>
        <v>0</v>
      </c>
      <c r="CH146" s="64">
        <f t="shared" si="303"/>
        <v>0</v>
      </c>
      <c r="CI146" s="64">
        <f t="shared" si="304"/>
        <v>0</v>
      </c>
      <c r="CJ146" s="64">
        <f t="shared" si="329"/>
        <v>0</v>
      </c>
      <c r="CK146" s="66"/>
      <c r="CL146" s="67">
        <f>BA137-CL138-CL140</f>
        <v>2532.3000000000011</v>
      </c>
      <c r="CM146" s="67">
        <f>CL146</f>
        <v>2532.3000000000011</v>
      </c>
      <c r="CN146" s="64">
        <f t="shared" si="330"/>
        <v>0</v>
      </c>
      <c r="CO146" s="64"/>
      <c r="CP146" s="73"/>
      <c r="CQ146" s="64"/>
      <c r="CR146" s="73"/>
      <c r="CS146" s="64">
        <f t="shared" si="331"/>
        <v>0</v>
      </c>
      <c r="CT146" s="64"/>
      <c r="CU146" s="73"/>
      <c r="CV146" s="64"/>
      <c r="CW146" s="73"/>
      <c r="CX146" s="64">
        <f t="shared" si="332"/>
        <v>0</v>
      </c>
      <c r="CY146" s="64">
        <f t="shared" si="333"/>
        <v>0</v>
      </c>
      <c r="CZ146" s="64">
        <f t="shared" si="333"/>
        <v>0</v>
      </c>
      <c r="DA146" s="64">
        <f t="shared" si="333"/>
        <v>0</v>
      </c>
      <c r="DB146" s="64">
        <f t="shared" si="333"/>
        <v>0</v>
      </c>
      <c r="DC146" s="64"/>
      <c r="DD146" s="64"/>
      <c r="DE146" s="64"/>
      <c r="DF146" s="64">
        <f t="shared" si="334"/>
        <v>0</v>
      </c>
      <c r="DH146" s="64">
        <f t="shared" si="335"/>
        <v>841.8</v>
      </c>
      <c r="DI146" s="64">
        <f t="shared" si="336"/>
        <v>841.8</v>
      </c>
      <c r="DK146" s="64">
        <f>DI146+DI148+DI150</f>
        <v>2495.3624100000002</v>
      </c>
      <c r="DL146" s="64">
        <f>DF146+DF148+DF150</f>
        <v>36.93759</v>
      </c>
      <c r="DN146" s="64">
        <f>CM146-DK146</f>
        <v>36.93759000000091</v>
      </c>
      <c r="DQ146" s="64">
        <f t="shared" si="339"/>
        <v>841.8</v>
      </c>
      <c r="DR146" s="64"/>
      <c r="DS146" s="74">
        <v>841.8</v>
      </c>
      <c r="DT146" s="64"/>
      <c r="DU146" s="73"/>
      <c r="DV146" s="64">
        <f t="shared" si="340"/>
        <v>0</v>
      </c>
      <c r="DW146" s="64"/>
      <c r="DX146" s="64"/>
      <c r="DY146" s="64"/>
      <c r="DZ146" s="64"/>
      <c r="EA146" s="375"/>
      <c r="EB146" s="375"/>
      <c r="EC146" s="375"/>
      <c r="ED146" s="375"/>
      <c r="EE146" s="375"/>
      <c r="EF146" s="375"/>
      <c r="EG146" s="375"/>
      <c r="EH146" s="375"/>
      <c r="EI146" s="375"/>
      <c r="EJ146" s="375"/>
      <c r="EK146" s="375"/>
      <c r="EL146" s="375"/>
      <c r="EM146" s="375"/>
      <c r="EN146" s="375"/>
      <c r="EO146" s="375"/>
      <c r="EP146" s="375"/>
      <c r="EQ146" s="375"/>
      <c r="ER146" s="375"/>
      <c r="ES146" s="375"/>
      <c r="ET146" s="375"/>
      <c r="EU146" s="375"/>
      <c r="EV146" s="375"/>
      <c r="EW146" s="375"/>
      <c r="EX146" s="375"/>
      <c r="EY146" s="375"/>
      <c r="EZ146" s="375"/>
      <c r="FA146" s="375"/>
      <c r="FB146" s="375"/>
      <c r="FC146" s="375"/>
      <c r="FD146" s="375"/>
      <c r="FE146" s="375"/>
      <c r="FF146" s="375"/>
      <c r="FG146" s="375"/>
      <c r="FH146" s="375"/>
      <c r="FI146" s="375"/>
      <c r="FJ146" s="375"/>
      <c r="FK146" s="375"/>
      <c r="FL146" s="375"/>
      <c r="FM146" s="375"/>
      <c r="FN146" s="375"/>
      <c r="FO146" s="375"/>
      <c r="FP146" s="375"/>
      <c r="FQ146" s="375"/>
      <c r="FR146" s="375"/>
      <c r="FS146" s="375"/>
      <c r="FT146" s="375"/>
      <c r="FU146" s="375"/>
      <c r="FV146" s="375"/>
      <c r="FW146" s="375"/>
      <c r="FX146" s="375"/>
      <c r="FY146" s="375"/>
      <c r="FZ146" s="375"/>
      <c r="GA146" s="375"/>
      <c r="GB146" s="375"/>
      <c r="GC146" s="375"/>
      <c r="GD146" s="375"/>
      <c r="GE146" s="375"/>
      <c r="GF146" s="375"/>
      <c r="GG146" s="375"/>
      <c r="GH146" s="375"/>
      <c r="GI146" s="375"/>
      <c r="GJ146" s="375"/>
      <c r="GK146" s="375"/>
      <c r="GL146" s="375"/>
      <c r="GM146" s="375"/>
      <c r="GN146" s="375"/>
      <c r="GO146" s="375"/>
      <c r="GP146" s="375"/>
      <c r="GQ146" s="375"/>
      <c r="GR146" s="375"/>
    </row>
    <row r="147" spans="1:200" s="61" customFormat="1" ht="15.75" customHeight="1" x14ac:dyDescent="0.3">
      <c r="A147" s="280"/>
      <c r="B147" s="281"/>
      <c r="C147" s="282">
        <v>1</v>
      </c>
      <c r="D147" s="282"/>
      <c r="E147" s="4">
        <v>123</v>
      </c>
      <c r="F147" s="281"/>
      <c r="G147" s="282"/>
      <c r="H147" s="282"/>
      <c r="I147" s="280"/>
      <c r="J147" s="280"/>
      <c r="K147" s="280"/>
      <c r="L147" s="280"/>
      <c r="M147" s="4">
        <v>120</v>
      </c>
      <c r="N147" s="62" t="s">
        <v>230</v>
      </c>
      <c r="O147" s="62">
        <v>0</v>
      </c>
      <c r="P147" s="62">
        <v>0</v>
      </c>
      <c r="Q147" s="60">
        <f t="shared" si="305"/>
        <v>0</v>
      </c>
      <c r="R147" s="60">
        <f t="shared" si="306"/>
        <v>0</v>
      </c>
      <c r="S147" s="60">
        <f t="shared" si="307"/>
        <v>0</v>
      </c>
      <c r="T147" s="60"/>
      <c r="U147" s="60"/>
      <c r="V147" s="64">
        <f t="shared" si="317"/>
        <v>0</v>
      </c>
      <c r="W147" s="64"/>
      <c r="X147" s="65">
        <v>0</v>
      </c>
      <c r="Y147" s="64"/>
      <c r="Z147" s="78"/>
      <c r="AA147" s="64">
        <f t="shared" si="318"/>
        <v>0</v>
      </c>
      <c r="AB147" s="64"/>
      <c r="AC147" s="65">
        <v>0</v>
      </c>
      <c r="AD147" s="64"/>
      <c r="AE147" s="78"/>
      <c r="AF147" s="64">
        <f t="shared" si="319"/>
        <v>0</v>
      </c>
      <c r="AG147" s="64"/>
      <c r="AH147" s="65">
        <v>0</v>
      </c>
      <c r="AI147" s="64"/>
      <c r="AJ147" s="78"/>
      <c r="AK147" s="64">
        <f t="shared" si="320"/>
        <v>99</v>
      </c>
      <c r="AL147" s="64"/>
      <c r="AM147" s="65">
        <v>99</v>
      </c>
      <c r="AN147" s="64"/>
      <c r="AP147" s="60"/>
      <c r="AQ147" s="64">
        <f t="shared" si="321"/>
        <v>0</v>
      </c>
      <c r="AR147" s="64"/>
      <c r="AS147" s="64"/>
      <c r="AT147" s="64"/>
      <c r="AU147" s="64"/>
      <c r="AV147" s="64">
        <f t="shared" si="293"/>
        <v>0</v>
      </c>
      <c r="AW147" s="64">
        <f t="shared" si="294"/>
        <v>0</v>
      </c>
      <c r="AX147" s="64">
        <f t="shared" si="295"/>
        <v>0</v>
      </c>
      <c r="AY147" s="64">
        <f t="shared" si="296"/>
        <v>0</v>
      </c>
      <c r="AZ147" s="64" t="e">
        <f>#REF!-AU147</f>
        <v>#REF!</v>
      </c>
      <c r="BA147" s="64">
        <f t="shared" si="322"/>
        <v>0</v>
      </c>
      <c r="BB147" s="64"/>
      <c r="BC147" s="64"/>
      <c r="BD147" s="64"/>
      <c r="BE147" s="64"/>
      <c r="BF147" s="64">
        <f t="shared" si="323"/>
        <v>0</v>
      </c>
      <c r="BG147" s="64"/>
      <c r="BH147" s="64"/>
      <c r="BI147" s="64"/>
      <c r="BJ147" s="64"/>
      <c r="BK147" s="64">
        <f t="shared" si="324"/>
        <v>0</v>
      </c>
      <c r="BL147" s="64"/>
      <c r="BM147" s="64"/>
      <c r="BN147" s="64"/>
      <c r="BO147" s="64"/>
      <c r="BP147" s="64">
        <f t="shared" si="325"/>
        <v>0</v>
      </c>
      <c r="BQ147" s="64"/>
      <c r="BR147" s="64"/>
      <c r="BS147" s="64"/>
      <c r="BT147" s="64"/>
      <c r="BU147" s="64">
        <f t="shared" si="326"/>
        <v>0</v>
      </c>
      <c r="BV147" s="64"/>
      <c r="BW147" s="64"/>
      <c r="BX147" s="64"/>
      <c r="BY147" s="64"/>
      <c r="BZ147" s="60">
        <f t="shared" si="327"/>
        <v>0</v>
      </c>
      <c r="CA147" s="64">
        <f t="shared" si="297"/>
        <v>0</v>
      </c>
      <c r="CB147" s="64">
        <f t="shared" si="298"/>
        <v>0</v>
      </c>
      <c r="CC147" s="64">
        <f t="shared" si="299"/>
        <v>0</v>
      </c>
      <c r="CD147" s="64">
        <f t="shared" si="300"/>
        <v>0</v>
      </c>
      <c r="CE147" s="64">
        <f t="shared" si="328"/>
        <v>0</v>
      </c>
      <c r="CF147" s="64">
        <f t="shared" si="301"/>
        <v>0</v>
      </c>
      <c r="CG147" s="64">
        <f t="shared" si="302"/>
        <v>0</v>
      </c>
      <c r="CH147" s="64">
        <f t="shared" si="303"/>
        <v>0</v>
      </c>
      <c r="CI147" s="64">
        <f t="shared" si="304"/>
        <v>0</v>
      </c>
      <c r="CJ147" s="64">
        <f t="shared" si="329"/>
        <v>0</v>
      </c>
      <c r="CK147" s="66"/>
      <c r="CL147" s="67"/>
      <c r="CM147" s="67"/>
      <c r="CN147" s="64">
        <f t="shared" si="330"/>
        <v>0</v>
      </c>
      <c r="CO147" s="64"/>
      <c r="CP147" s="64"/>
      <c r="CQ147" s="64"/>
      <c r="CR147" s="64"/>
      <c r="CS147" s="64">
        <f t="shared" si="331"/>
        <v>0</v>
      </c>
      <c r="CT147" s="64"/>
      <c r="CU147" s="64"/>
      <c r="CV147" s="64"/>
      <c r="CW147" s="64"/>
      <c r="CX147" s="64">
        <f t="shared" si="332"/>
        <v>0</v>
      </c>
      <c r="CY147" s="64">
        <f t="shared" si="333"/>
        <v>0</v>
      </c>
      <c r="CZ147" s="64">
        <f t="shared" si="333"/>
        <v>0</v>
      </c>
      <c r="DA147" s="64">
        <f t="shared" si="333"/>
        <v>0</v>
      </c>
      <c r="DB147" s="64">
        <f t="shared" si="333"/>
        <v>0</v>
      </c>
      <c r="DC147" s="64"/>
      <c r="DD147" s="64"/>
      <c r="DE147" s="64"/>
      <c r="DF147" s="64">
        <f t="shared" si="334"/>
        <v>0</v>
      </c>
      <c r="DH147" s="64">
        <f t="shared" si="335"/>
        <v>0</v>
      </c>
      <c r="DI147" s="64">
        <f t="shared" si="336"/>
        <v>0</v>
      </c>
      <c r="DK147" s="64"/>
      <c r="DL147" s="64"/>
      <c r="DN147" s="64"/>
      <c r="DQ147" s="64">
        <f t="shared" si="339"/>
        <v>0</v>
      </c>
      <c r="DR147" s="64"/>
      <c r="DS147" s="64"/>
      <c r="DT147" s="64"/>
      <c r="DU147" s="64"/>
      <c r="DV147" s="64">
        <f t="shared" si="340"/>
        <v>0</v>
      </c>
      <c r="DW147" s="64"/>
      <c r="DX147" s="64"/>
      <c r="DY147" s="64"/>
      <c r="DZ147" s="64"/>
      <c r="EA147" s="375"/>
      <c r="EB147" s="375"/>
      <c r="EC147" s="375"/>
      <c r="ED147" s="375"/>
      <c r="EE147" s="375"/>
      <c r="EF147" s="375"/>
      <c r="EG147" s="375"/>
      <c r="EH147" s="375"/>
      <c r="EI147" s="375"/>
      <c r="EJ147" s="375"/>
      <c r="EK147" s="375"/>
      <c r="EL147" s="375"/>
      <c r="EM147" s="375"/>
      <c r="EN147" s="375"/>
      <c r="EO147" s="375"/>
      <c r="EP147" s="375"/>
      <c r="EQ147" s="375"/>
      <c r="ER147" s="375"/>
      <c r="ES147" s="375"/>
      <c r="ET147" s="375"/>
      <c r="EU147" s="375"/>
      <c r="EV147" s="375"/>
      <c r="EW147" s="375"/>
      <c r="EX147" s="375"/>
      <c r="EY147" s="375"/>
      <c r="EZ147" s="375"/>
      <c r="FA147" s="375"/>
      <c r="FB147" s="375"/>
      <c r="FC147" s="375"/>
      <c r="FD147" s="375"/>
      <c r="FE147" s="375"/>
      <c r="FF147" s="375"/>
      <c r="FG147" s="375"/>
      <c r="FH147" s="375"/>
      <c r="FI147" s="375"/>
      <c r="FJ147" s="375"/>
      <c r="FK147" s="375"/>
      <c r="FL147" s="375"/>
      <c r="FM147" s="375"/>
      <c r="FN147" s="375"/>
      <c r="FO147" s="375"/>
      <c r="FP147" s="375"/>
      <c r="FQ147" s="375"/>
      <c r="FR147" s="375"/>
      <c r="FS147" s="375"/>
      <c r="FT147" s="375"/>
      <c r="FU147" s="375"/>
      <c r="FV147" s="375"/>
      <c r="FW147" s="375"/>
      <c r="FX147" s="375"/>
      <c r="FY147" s="375"/>
      <c r="FZ147" s="375"/>
      <c r="GA147" s="375"/>
      <c r="GB147" s="375"/>
      <c r="GC147" s="375"/>
      <c r="GD147" s="375"/>
      <c r="GE147" s="375"/>
      <c r="GF147" s="375"/>
      <c r="GG147" s="375"/>
      <c r="GH147" s="375"/>
      <c r="GI147" s="375"/>
      <c r="GJ147" s="375"/>
      <c r="GK147" s="375"/>
      <c r="GL147" s="375"/>
      <c r="GM147" s="375"/>
      <c r="GN147" s="375"/>
      <c r="GO147" s="375"/>
      <c r="GP147" s="375"/>
      <c r="GQ147" s="375"/>
      <c r="GR147" s="375"/>
    </row>
    <row r="148" spans="1:200" s="61" customFormat="1" ht="14.4" customHeight="1" x14ac:dyDescent="0.3">
      <c r="A148" s="280"/>
      <c r="B148" s="281"/>
      <c r="C148" s="282"/>
      <c r="D148" s="282">
        <v>1</v>
      </c>
      <c r="E148" s="4">
        <v>124</v>
      </c>
      <c r="F148" s="281"/>
      <c r="G148" s="282"/>
      <c r="H148" s="282">
        <v>1</v>
      </c>
      <c r="I148" s="4"/>
      <c r="J148" s="283"/>
      <c r="K148" s="283"/>
      <c r="L148" s="286"/>
      <c r="M148" s="4">
        <v>121</v>
      </c>
      <c r="N148" s="62" t="s">
        <v>111</v>
      </c>
      <c r="O148" s="62" t="s">
        <v>448</v>
      </c>
      <c r="P148" s="62" t="s">
        <v>450</v>
      </c>
      <c r="Q148" s="60">
        <f t="shared" si="305"/>
        <v>0</v>
      </c>
      <c r="R148" s="60">
        <f t="shared" si="306"/>
        <v>36.93759</v>
      </c>
      <c r="S148" s="60">
        <f t="shared" si="307"/>
        <v>0</v>
      </c>
      <c r="T148" s="60">
        <v>1</v>
      </c>
      <c r="U148" s="60">
        <v>2</v>
      </c>
      <c r="V148" s="64">
        <f t="shared" si="317"/>
        <v>913.1</v>
      </c>
      <c r="W148" s="64"/>
      <c r="X148" s="65">
        <v>913.1</v>
      </c>
      <c r="Y148" s="64"/>
      <c r="Z148" s="73"/>
      <c r="AA148" s="64">
        <f t="shared" si="318"/>
        <v>913.1</v>
      </c>
      <c r="AB148" s="64"/>
      <c r="AC148" s="65">
        <v>913.1</v>
      </c>
      <c r="AD148" s="64"/>
      <c r="AE148" s="73"/>
      <c r="AF148" s="64">
        <f t="shared" si="319"/>
        <v>913.1</v>
      </c>
      <c r="AG148" s="64"/>
      <c r="AH148" s="65">
        <v>913.1</v>
      </c>
      <c r="AI148" s="64"/>
      <c r="AJ148" s="73"/>
      <c r="AK148" s="64">
        <f t="shared" si="320"/>
        <v>397</v>
      </c>
      <c r="AL148" s="64"/>
      <c r="AM148" s="65">
        <v>397</v>
      </c>
      <c r="AN148" s="64"/>
      <c r="AO148" s="73"/>
      <c r="AP148" s="64" t="s">
        <v>479</v>
      </c>
      <c r="AQ148" s="64">
        <f t="shared" si="321"/>
        <v>913.1</v>
      </c>
      <c r="AR148" s="64"/>
      <c r="AS148" s="65">
        <f>352.619+560.481</f>
        <v>913.1</v>
      </c>
      <c r="AT148" s="64"/>
      <c r="AU148" s="73"/>
      <c r="AV148" s="64">
        <f t="shared" si="293"/>
        <v>0</v>
      </c>
      <c r="AW148" s="64">
        <f t="shared" si="294"/>
        <v>0</v>
      </c>
      <c r="AX148" s="64">
        <f t="shared" si="295"/>
        <v>0</v>
      </c>
      <c r="AY148" s="64">
        <f t="shared" si="296"/>
        <v>0</v>
      </c>
      <c r="AZ148" s="64" t="e">
        <f>#REF!-AU148</f>
        <v>#REF!</v>
      </c>
      <c r="BA148" s="64">
        <f t="shared" si="322"/>
        <v>913.1</v>
      </c>
      <c r="BB148" s="64"/>
      <c r="BC148" s="65">
        <f>352.619+560.481</f>
        <v>913.1</v>
      </c>
      <c r="BD148" s="64"/>
      <c r="BE148" s="73"/>
      <c r="BF148" s="64">
        <f t="shared" si="323"/>
        <v>0</v>
      </c>
      <c r="BG148" s="64"/>
      <c r="BH148" s="65"/>
      <c r="BI148" s="64"/>
      <c r="BJ148" s="73"/>
      <c r="BK148" s="64">
        <f t="shared" si="324"/>
        <v>913.1</v>
      </c>
      <c r="BL148" s="64"/>
      <c r="BM148" s="65">
        <f>352.619+560.481</f>
        <v>913.1</v>
      </c>
      <c r="BN148" s="64"/>
      <c r="BO148" s="74"/>
      <c r="BP148" s="64">
        <f t="shared" si="325"/>
        <v>876.16241000000002</v>
      </c>
      <c r="BQ148" s="64"/>
      <c r="BR148" s="74">
        <f>169.3565+174.349+532.45691</f>
        <v>876.16241000000002</v>
      </c>
      <c r="BS148" s="64"/>
      <c r="BT148" s="73"/>
      <c r="BU148" s="64">
        <f t="shared" si="326"/>
        <v>293.70889</v>
      </c>
      <c r="BV148" s="64"/>
      <c r="BW148" s="64">
        <f>59+57+177.70889</f>
        <v>293.70889</v>
      </c>
      <c r="BX148" s="64"/>
      <c r="BY148" s="64"/>
      <c r="BZ148" s="60">
        <f t="shared" si="327"/>
        <v>1169.8713</v>
      </c>
      <c r="CA148" s="64">
        <f t="shared" si="297"/>
        <v>1169.8713</v>
      </c>
      <c r="CB148" s="64">
        <f t="shared" si="298"/>
        <v>0</v>
      </c>
      <c r="CC148" s="64">
        <f t="shared" si="299"/>
        <v>1169.8713</v>
      </c>
      <c r="CD148" s="64">
        <f t="shared" si="300"/>
        <v>0</v>
      </c>
      <c r="CE148" s="64">
        <f t="shared" si="328"/>
        <v>0</v>
      </c>
      <c r="CF148" s="64">
        <f t="shared" si="301"/>
        <v>36.93759</v>
      </c>
      <c r="CG148" s="64">
        <f t="shared" si="302"/>
        <v>0</v>
      </c>
      <c r="CH148" s="64">
        <f t="shared" si="303"/>
        <v>36.93759</v>
      </c>
      <c r="CI148" s="64">
        <f t="shared" si="304"/>
        <v>0</v>
      </c>
      <c r="CJ148" s="64">
        <f t="shared" si="329"/>
        <v>0</v>
      </c>
      <c r="CK148" s="66"/>
      <c r="CL148" s="67"/>
      <c r="CM148" s="67"/>
      <c r="CN148" s="64">
        <f t="shared" si="330"/>
        <v>0</v>
      </c>
      <c r="CO148" s="64"/>
      <c r="CP148" s="65"/>
      <c r="CQ148" s="64"/>
      <c r="CR148" s="73"/>
      <c r="CS148" s="64">
        <f t="shared" si="331"/>
        <v>0</v>
      </c>
      <c r="CT148" s="64"/>
      <c r="CU148" s="65"/>
      <c r="CV148" s="64"/>
      <c r="CW148" s="73"/>
      <c r="CX148" s="64">
        <f t="shared" si="332"/>
        <v>0</v>
      </c>
      <c r="CY148" s="64">
        <f t="shared" si="333"/>
        <v>0</v>
      </c>
      <c r="CZ148" s="64">
        <f t="shared" si="333"/>
        <v>0</v>
      </c>
      <c r="DA148" s="64">
        <f t="shared" si="333"/>
        <v>0</v>
      </c>
      <c r="DB148" s="64">
        <f t="shared" si="333"/>
        <v>0</v>
      </c>
      <c r="DC148" s="64"/>
      <c r="DD148" s="64"/>
      <c r="DE148" s="64"/>
      <c r="DF148" s="64">
        <f t="shared" si="334"/>
        <v>36.93759</v>
      </c>
      <c r="DH148" s="64">
        <f t="shared" si="335"/>
        <v>913.1</v>
      </c>
      <c r="DI148" s="64">
        <f t="shared" si="336"/>
        <v>876.16241000000002</v>
      </c>
      <c r="DK148" s="64"/>
      <c r="DL148" s="64"/>
      <c r="DN148" s="64"/>
      <c r="DQ148" s="64">
        <f t="shared" si="339"/>
        <v>876.16241000000002</v>
      </c>
      <c r="DR148" s="64"/>
      <c r="DS148" s="74">
        <f>169.3565+174.349+532.45691</f>
        <v>876.16241000000002</v>
      </c>
      <c r="DT148" s="64"/>
      <c r="DU148" s="73"/>
      <c r="DV148" s="64">
        <f t="shared" si="340"/>
        <v>293.70889</v>
      </c>
      <c r="DW148" s="64"/>
      <c r="DX148" s="64">
        <v>293.70889</v>
      </c>
      <c r="DY148" s="64"/>
      <c r="DZ148" s="64"/>
      <c r="EA148" s="375"/>
      <c r="EB148" s="375"/>
      <c r="EC148" s="375"/>
      <c r="ED148" s="375"/>
      <c r="EE148" s="375"/>
      <c r="EF148" s="375"/>
      <c r="EG148" s="375"/>
      <c r="EH148" s="375"/>
      <c r="EI148" s="375"/>
      <c r="EJ148" s="375"/>
      <c r="EK148" s="375"/>
      <c r="EL148" s="375"/>
      <c r="EM148" s="375"/>
      <c r="EN148" s="375"/>
      <c r="EO148" s="375"/>
      <c r="EP148" s="375"/>
      <c r="EQ148" s="375"/>
      <c r="ER148" s="375"/>
      <c r="ES148" s="375"/>
      <c r="ET148" s="375"/>
      <c r="EU148" s="375"/>
      <c r="EV148" s="375"/>
      <c r="EW148" s="375"/>
      <c r="EX148" s="375"/>
      <c r="EY148" s="375"/>
      <c r="EZ148" s="375"/>
      <c r="FA148" s="375"/>
      <c r="FB148" s="375"/>
      <c r="FC148" s="375"/>
      <c r="FD148" s="375"/>
      <c r="FE148" s="375"/>
      <c r="FF148" s="375"/>
      <c r="FG148" s="375"/>
      <c r="FH148" s="375"/>
      <c r="FI148" s="375"/>
      <c r="FJ148" s="375"/>
      <c r="FK148" s="375"/>
      <c r="FL148" s="375"/>
      <c r="FM148" s="375"/>
      <c r="FN148" s="375"/>
      <c r="FO148" s="375"/>
      <c r="FP148" s="375"/>
      <c r="FQ148" s="375"/>
      <c r="FR148" s="375"/>
      <c r="FS148" s="375"/>
      <c r="FT148" s="375"/>
      <c r="FU148" s="375"/>
      <c r="FV148" s="375"/>
      <c r="FW148" s="375"/>
      <c r="FX148" s="375"/>
      <c r="FY148" s="375"/>
      <c r="FZ148" s="375"/>
      <c r="GA148" s="375"/>
      <c r="GB148" s="375"/>
      <c r="GC148" s="375"/>
      <c r="GD148" s="375"/>
      <c r="GE148" s="375"/>
      <c r="GF148" s="375"/>
      <c r="GG148" s="375"/>
      <c r="GH148" s="375"/>
      <c r="GI148" s="375"/>
      <c r="GJ148" s="375"/>
      <c r="GK148" s="375"/>
      <c r="GL148" s="375"/>
      <c r="GM148" s="375"/>
      <c r="GN148" s="375"/>
      <c r="GO148" s="375"/>
      <c r="GP148" s="375"/>
      <c r="GQ148" s="375"/>
      <c r="GR148" s="375"/>
    </row>
    <row r="149" spans="1:200" s="61" customFormat="1" ht="15.75" customHeight="1" x14ac:dyDescent="0.3">
      <c r="A149" s="280"/>
      <c r="B149" s="281"/>
      <c r="C149" s="282">
        <v>1</v>
      </c>
      <c r="D149" s="282"/>
      <c r="E149" s="4">
        <v>125</v>
      </c>
      <c r="F149" s="281"/>
      <c r="G149" s="282">
        <v>1</v>
      </c>
      <c r="H149" s="282">
        <v>1</v>
      </c>
      <c r="I149" s="4"/>
      <c r="J149" s="283"/>
      <c r="K149" s="283"/>
      <c r="L149" s="286"/>
      <c r="M149" s="4">
        <v>122</v>
      </c>
      <c r="N149" s="62" t="s">
        <v>53</v>
      </c>
      <c r="O149" s="62" t="s">
        <v>450</v>
      </c>
      <c r="P149" s="62" t="s">
        <v>448</v>
      </c>
      <c r="Q149" s="60">
        <f t="shared" si="305"/>
        <v>0</v>
      </c>
      <c r="R149" s="60">
        <f t="shared" si="306"/>
        <v>95.20141000000001</v>
      </c>
      <c r="S149" s="60">
        <f t="shared" si="307"/>
        <v>0</v>
      </c>
      <c r="T149" s="60">
        <v>1</v>
      </c>
      <c r="U149" s="60">
        <v>2</v>
      </c>
      <c r="V149" s="64">
        <f t="shared" si="317"/>
        <v>13116.4</v>
      </c>
      <c r="W149" s="64">
        <v>12500</v>
      </c>
      <c r="X149" s="65">
        <v>616.4</v>
      </c>
      <c r="Y149" s="64"/>
      <c r="Z149" s="73"/>
      <c r="AA149" s="64">
        <f t="shared" si="318"/>
        <v>13116.4</v>
      </c>
      <c r="AB149" s="64">
        <v>12500</v>
      </c>
      <c r="AC149" s="65">
        <v>616.4</v>
      </c>
      <c r="AD149" s="64"/>
      <c r="AE149" s="73"/>
      <c r="AF149" s="64">
        <f t="shared" si="319"/>
        <v>616.4</v>
      </c>
      <c r="AG149" s="64"/>
      <c r="AH149" s="65">
        <v>616.4</v>
      </c>
      <c r="AI149" s="64"/>
      <c r="AJ149" s="73"/>
      <c r="AK149" s="64">
        <f t="shared" si="320"/>
        <v>268</v>
      </c>
      <c r="AL149" s="64"/>
      <c r="AM149" s="65">
        <v>268</v>
      </c>
      <c r="AN149" s="64"/>
      <c r="AO149" s="73"/>
      <c r="AP149" s="64" t="s">
        <v>439</v>
      </c>
      <c r="AQ149" s="64">
        <f t="shared" si="321"/>
        <v>13116.4</v>
      </c>
      <c r="AR149" s="64">
        <v>12500</v>
      </c>
      <c r="AS149" s="65">
        <v>616.4</v>
      </c>
      <c r="AT149" s="64"/>
      <c r="AU149" s="73"/>
      <c r="AV149" s="64">
        <f t="shared" si="293"/>
        <v>0</v>
      </c>
      <c r="AW149" s="64">
        <f t="shared" si="294"/>
        <v>0</v>
      </c>
      <c r="AX149" s="64">
        <f t="shared" si="295"/>
        <v>0</v>
      </c>
      <c r="AY149" s="64">
        <f t="shared" si="296"/>
        <v>0</v>
      </c>
      <c r="AZ149" s="64" t="e">
        <f>#REF!-AU149</f>
        <v>#REF!</v>
      </c>
      <c r="BA149" s="64">
        <f t="shared" si="322"/>
        <v>616.4</v>
      </c>
      <c r="BB149" s="64"/>
      <c r="BC149" s="65">
        <v>616.4</v>
      </c>
      <c r="BD149" s="64"/>
      <c r="BE149" s="73"/>
      <c r="BF149" s="64">
        <f t="shared" si="323"/>
        <v>0</v>
      </c>
      <c r="BG149" s="64"/>
      <c r="BH149" s="65"/>
      <c r="BI149" s="64"/>
      <c r="BJ149" s="73"/>
      <c r="BK149" s="64">
        <f t="shared" si="324"/>
        <v>616.4</v>
      </c>
      <c r="BL149" s="64"/>
      <c r="BM149" s="65">
        <v>616.4</v>
      </c>
      <c r="BN149" s="64"/>
      <c r="BO149" s="74"/>
      <c r="BP149" s="64">
        <f t="shared" si="325"/>
        <v>521.19858999999997</v>
      </c>
      <c r="BQ149" s="64"/>
      <c r="BR149" s="74">
        <v>521.19858999999997</v>
      </c>
      <c r="BS149" s="64"/>
      <c r="BT149" s="73"/>
      <c r="BU149" s="64">
        <f t="shared" si="326"/>
        <v>234.1617</v>
      </c>
      <c r="BV149" s="64"/>
      <c r="BW149" s="64">
        <v>234.1617</v>
      </c>
      <c r="BX149" s="64"/>
      <c r="BY149" s="64"/>
      <c r="BZ149" s="60">
        <f t="shared" si="327"/>
        <v>755.36028999999996</v>
      </c>
      <c r="CA149" s="64">
        <f t="shared" si="297"/>
        <v>755.36028999999996</v>
      </c>
      <c r="CB149" s="64">
        <f t="shared" si="298"/>
        <v>0</v>
      </c>
      <c r="CC149" s="64">
        <f t="shared" si="299"/>
        <v>755.36028999999996</v>
      </c>
      <c r="CD149" s="64">
        <f t="shared" si="300"/>
        <v>0</v>
      </c>
      <c r="CE149" s="64">
        <f t="shared" si="328"/>
        <v>0</v>
      </c>
      <c r="CF149" s="64">
        <f t="shared" si="301"/>
        <v>95.20141000000001</v>
      </c>
      <c r="CG149" s="64">
        <f t="shared" si="302"/>
        <v>0</v>
      </c>
      <c r="CH149" s="64">
        <f t="shared" si="303"/>
        <v>95.20141000000001</v>
      </c>
      <c r="CI149" s="64">
        <f t="shared" si="304"/>
        <v>0</v>
      </c>
      <c r="CJ149" s="64">
        <f t="shared" si="329"/>
        <v>0</v>
      </c>
      <c r="CK149" s="66"/>
      <c r="CL149" s="67"/>
      <c r="CM149" s="67"/>
      <c r="CN149" s="64">
        <f t="shared" si="330"/>
        <v>0</v>
      </c>
      <c r="CO149" s="64"/>
      <c r="CP149" s="65"/>
      <c r="CQ149" s="64"/>
      <c r="CR149" s="73"/>
      <c r="CS149" s="64">
        <f t="shared" si="331"/>
        <v>0</v>
      </c>
      <c r="CT149" s="64"/>
      <c r="CU149" s="65"/>
      <c r="CV149" s="64"/>
      <c r="CW149" s="73"/>
      <c r="CX149" s="64">
        <f t="shared" si="332"/>
        <v>0</v>
      </c>
      <c r="CY149" s="64">
        <f t="shared" si="333"/>
        <v>0</v>
      </c>
      <c r="CZ149" s="64">
        <f t="shared" si="333"/>
        <v>0</v>
      </c>
      <c r="DA149" s="64">
        <f t="shared" si="333"/>
        <v>0</v>
      </c>
      <c r="DB149" s="64">
        <f t="shared" si="333"/>
        <v>0</v>
      </c>
      <c r="DC149" s="64"/>
      <c r="DD149" s="64"/>
      <c r="DE149" s="64"/>
      <c r="DF149" s="64">
        <f t="shared" si="334"/>
        <v>95.20141000000001</v>
      </c>
      <c r="DH149" s="64">
        <f t="shared" si="335"/>
        <v>616.4</v>
      </c>
      <c r="DI149" s="64">
        <f t="shared" si="336"/>
        <v>521.19858999999997</v>
      </c>
      <c r="DK149" s="64"/>
      <c r="DL149" s="64"/>
      <c r="DN149" s="64"/>
      <c r="DQ149" s="64">
        <f t="shared" si="339"/>
        <v>521.19858999999997</v>
      </c>
      <c r="DR149" s="64"/>
      <c r="DS149" s="74">
        <v>521.19858999999997</v>
      </c>
      <c r="DT149" s="64"/>
      <c r="DU149" s="73"/>
      <c r="DV149" s="64">
        <f t="shared" si="340"/>
        <v>0</v>
      </c>
      <c r="DW149" s="64"/>
      <c r="DX149" s="64"/>
      <c r="DY149" s="64"/>
      <c r="DZ149" s="64"/>
      <c r="EA149" s="375"/>
      <c r="EB149" s="375"/>
      <c r="EC149" s="375"/>
      <c r="ED149" s="375"/>
      <c r="EE149" s="375"/>
      <c r="EF149" s="375"/>
      <c r="EG149" s="375"/>
      <c r="EH149" s="375"/>
      <c r="EI149" s="375"/>
      <c r="EJ149" s="375"/>
      <c r="EK149" s="375"/>
      <c r="EL149" s="375"/>
      <c r="EM149" s="375"/>
      <c r="EN149" s="375"/>
      <c r="EO149" s="375"/>
      <c r="EP149" s="375"/>
      <c r="EQ149" s="375"/>
      <c r="ER149" s="375"/>
      <c r="ES149" s="375"/>
      <c r="ET149" s="375"/>
      <c r="EU149" s="375"/>
      <c r="EV149" s="375"/>
      <c r="EW149" s="375"/>
      <c r="EX149" s="375"/>
      <c r="EY149" s="375"/>
      <c r="EZ149" s="375"/>
      <c r="FA149" s="375"/>
      <c r="FB149" s="375"/>
      <c r="FC149" s="375"/>
      <c r="FD149" s="375"/>
      <c r="FE149" s="375"/>
      <c r="FF149" s="375"/>
      <c r="FG149" s="375"/>
      <c r="FH149" s="375"/>
      <c r="FI149" s="375"/>
      <c r="FJ149" s="375"/>
      <c r="FK149" s="375"/>
      <c r="FL149" s="375"/>
      <c r="FM149" s="375"/>
      <c r="FN149" s="375"/>
      <c r="FO149" s="375"/>
      <c r="FP149" s="375"/>
      <c r="FQ149" s="375"/>
      <c r="FR149" s="375"/>
      <c r="FS149" s="375"/>
      <c r="FT149" s="375"/>
      <c r="FU149" s="375"/>
      <c r="FV149" s="375"/>
      <c r="FW149" s="375"/>
      <c r="FX149" s="375"/>
      <c r="FY149" s="375"/>
      <c r="FZ149" s="375"/>
      <c r="GA149" s="375"/>
      <c r="GB149" s="375"/>
      <c r="GC149" s="375"/>
      <c r="GD149" s="375"/>
      <c r="GE149" s="375"/>
      <c r="GF149" s="375"/>
      <c r="GG149" s="375"/>
      <c r="GH149" s="375"/>
      <c r="GI149" s="375"/>
      <c r="GJ149" s="375"/>
      <c r="GK149" s="375"/>
      <c r="GL149" s="375"/>
      <c r="GM149" s="375"/>
      <c r="GN149" s="375"/>
      <c r="GO149" s="375"/>
      <c r="GP149" s="375"/>
      <c r="GQ149" s="375"/>
      <c r="GR149" s="375"/>
    </row>
    <row r="150" spans="1:200" s="61" customFormat="1" ht="15.75" customHeight="1" x14ac:dyDescent="0.3">
      <c r="A150" s="280"/>
      <c r="B150" s="281"/>
      <c r="C150" s="282"/>
      <c r="D150" s="282">
        <v>1</v>
      </c>
      <c r="E150" s="4">
        <v>126</v>
      </c>
      <c r="F150" s="281"/>
      <c r="G150" s="282"/>
      <c r="H150" s="282">
        <v>1</v>
      </c>
      <c r="I150" s="4"/>
      <c r="J150" s="283"/>
      <c r="K150" s="283"/>
      <c r="L150" s="286"/>
      <c r="M150" s="4">
        <v>123</v>
      </c>
      <c r="N150" s="62" t="s">
        <v>112</v>
      </c>
      <c r="O150" s="62" t="s">
        <v>450</v>
      </c>
      <c r="P150" s="62" t="s">
        <v>450</v>
      </c>
      <c r="Q150" s="60">
        <f t="shared" si="305"/>
        <v>0</v>
      </c>
      <c r="R150" s="60">
        <f t="shared" si="306"/>
        <v>0</v>
      </c>
      <c r="S150" s="60">
        <f t="shared" si="307"/>
        <v>0</v>
      </c>
      <c r="T150" s="60">
        <v>1</v>
      </c>
      <c r="U150" s="60"/>
      <c r="V150" s="64">
        <f t="shared" si="317"/>
        <v>777.4</v>
      </c>
      <c r="W150" s="64"/>
      <c r="X150" s="65">
        <v>777.4</v>
      </c>
      <c r="Y150" s="64"/>
      <c r="Z150" s="73"/>
      <c r="AA150" s="64">
        <f t="shared" si="318"/>
        <v>777.4</v>
      </c>
      <c r="AB150" s="64"/>
      <c r="AC150" s="65">
        <v>777.4</v>
      </c>
      <c r="AD150" s="64"/>
      <c r="AE150" s="73"/>
      <c r="AF150" s="64">
        <f t="shared" si="319"/>
        <v>777.4</v>
      </c>
      <c r="AG150" s="64"/>
      <c r="AH150" s="65">
        <v>777.4</v>
      </c>
      <c r="AI150" s="64"/>
      <c r="AJ150" s="73"/>
      <c r="AK150" s="64">
        <f t="shared" si="320"/>
        <v>338</v>
      </c>
      <c r="AL150" s="64"/>
      <c r="AM150" s="65">
        <v>338</v>
      </c>
      <c r="AN150" s="64"/>
      <c r="AO150" s="73"/>
      <c r="AP150" s="64" t="s">
        <v>399</v>
      </c>
      <c r="AQ150" s="64">
        <f t="shared" si="321"/>
        <v>777.4</v>
      </c>
      <c r="AR150" s="64"/>
      <c r="AS150" s="65">
        <v>777.4</v>
      </c>
      <c r="AT150" s="64"/>
      <c r="AU150" s="73"/>
      <c r="AV150" s="64">
        <f t="shared" si="293"/>
        <v>0</v>
      </c>
      <c r="AW150" s="64">
        <f t="shared" si="294"/>
        <v>0</v>
      </c>
      <c r="AX150" s="64">
        <f t="shared" si="295"/>
        <v>0</v>
      </c>
      <c r="AY150" s="64">
        <f t="shared" si="296"/>
        <v>0</v>
      </c>
      <c r="AZ150" s="64" t="e">
        <f>#REF!-AU150</f>
        <v>#REF!</v>
      </c>
      <c r="BA150" s="64">
        <f t="shared" si="322"/>
        <v>777.4</v>
      </c>
      <c r="BB150" s="64"/>
      <c r="BC150" s="65">
        <v>777.4</v>
      </c>
      <c r="BD150" s="64"/>
      <c r="BE150" s="73"/>
      <c r="BF150" s="64">
        <f t="shared" si="323"/>
        <v>0</v>
      </c>
      <c r="BG150" s="64"/>
      <c r="BH150" s="65"/>
      <c r="BI150" s="64"/>
      <c r="BJ150" s="73"/>
      <c r="BK150" s="64">
        <f t="shared" si="324"/>
        <v>777.4</v>
      </c>
      <c r="BL150" s="64"/>
      <c r="BM150" s="65">
        <v>777.4</v>
      </c>
      <c r="BN150" s="64"/>
      <c r="BO150" s="74"/>
      <c r="BP150" s="64">
        <f t="shared" si="325"/>
        <v>777.4</v>
      </c>
      <c r="BQ150" s="64"/>
      <c r="BR150" s="74">
        <v>777.4</v>
      </c>
      <c r="BS150" s="64"/>
      <c r="BT150" s="73"/>
      <c r="BU150" s="64">
        <f t="shared" si="326"/>
        <v>260</v>
      </c>
      <c r="BV150" s="64"/>
      <c r="BW150" s="64">
        <v>260</v>
      </c>
      <c r="BX150" s="64"/>
      <c r="BY150" s="64"/>
      <c r="BZ150" s="60">
        <f t="shared" si="327"/>
        <v>1037.4000000000001</v>
      </c>
      <c r="CA150" s="64">
        <f t="shared" si="297"/>
        <v>1037.4000000000001</v>
      </c>
      <c r="CB150" s="64">
        <f t="shared" si="298"/>
        <v>0</v>
      </c>
      <c r="CC150" s="64">
        <f t="shared" si="299"/>
        <v>1037.4000000000001</v>
      </c>
      <c r="CD150" s="64">
        <f t="shared" si="300"/>
        <v>0</v>
      </c>
      <c r="CE150" s="64">
        <f t="shared" si="328"/>
        <v>0</v>
      </c>
      <c r="CF150" s="64">
        <f t="shared" si="301"/>
        <v>0</v>
      </c>
      <c r="CG150" s="64">
        <f t="shared" si="302"/>
        <v>0</v>
      </c>
      <c r="CH150" s="64">
        <f t="shared" si="303"/>
        <v>0</v>
      </c>
      <c r="CI150" s="64">
        <f t="shared" si="304"/>
        <v>0</v>
      </c>
      <c r="CJ150" s="64">
        <f t="shared" si="329"/>
        <v>0</v>
      </c>
      <c r="CK150" s="66"/>
      <c r="CL150" s="67"/>
      <c r="CM150" s="67"/>
      <c r="CN150" s="64">
        <f t="shared" si="330"/>
        <v>0</v>
      </c>
      <c r="CO150" s="64"/>
      <c r="CP150" s="65"/>
      <c r="CQ150" s="64"/>
      <c r="CR150" s="73"/>
      <c r="CS150" s="64">
        <f t="shared" si="331"/>
        <v>0</v>
      </c>
      <c r="CT150" s="64"/>
      <c r="CU150" s="65"/>
      <c r="CV150" s="64"/>
      <c r="CW150" s="73"/>
      <c r="CX150" s="64">
        <f t="shared" si="332"/>
        <v>0</v>
      </c>
      <c r="CY150" s="64">
        <f t="shared" si="333"/>
        <v>0</v>
      </c>
      <c r="CZ150" s="64">
        <f t="shared" si="333"/>
        <v>0</v>
      </c>
      <c r="DA150" s="64">
        <f t="shared" si="333"/>
        <v>0</v>
      </c>
      <c r="DB150" s="64">
        <f t="shared" si="333"/>
        <v>0</v>
      </c>
      <c r="DC150" s="64"/>
      <c r="DD150" s="64"/>
      <c r="DE150" s="64"/>
      <c r="DF150" s="64">
        <f t="shared" si="334"/>
        <v>0</v>
      </c>
      <c r="DH150" s="64">
        <f t="shared" si="335"/>
        <v>777.4</v>
      </c>
      <c r="DI150" s="64">
        <f t="shared" si="336"/>
        <v>777.4</v>
      </c>
      <c r="DK150" s="64"/>
      <c r="DL150" s="64"/>
      <c r="DN150" s="64"/>
      <c r="DQ150" s="64">
        <f t="shared" si="339"/>
        <v>777.4</v>
      </c>
      <c r="DR150" s="64"/>
      <c r="DS150" s="74">
        <v>777.4</v>
      </c>
      <c r="DT150" s="64"/>
      <c r="DU150" s="73"/>
      <c r="DV150" s="64">
        <f t="shared" si="340"/>
        <v>260</v>
      </c>
      <c r="DW150" s="64"/>
      <c r="DX150" s="64">
        <v>260</v>
      </c>
      <c r="DY150" s="64"/>
      <c r="DZ150" s="64"/>
      <c r="EA150" s="375"/>
      <c r="EB150" s="375"/>
      <c r="EC150" s="375"/>
      <c r="ED150" s="375"/>
      <c r="EE150" s="375"/>
      <c r="EF150" s="375"/>
      <c r="EG150" s="375"/>
      <c r="EH150" s="375"/>
      <c r="EI150" s="375"/>
      <c r="EJ150" s="375"/>
      <c r="EK150" s="375"/>
      <c r="EL150" s="375"/>
      <c r="EM150" s="375"/>
      <c r="EN150" s="375"/>
      <c r="EO150" s="375"/>
      <c r="EP150" s="375"/>
      <c r="EQ150" s="375"/>
      <c r="ER150" s="375"/>
      <c r="ES150" s="375"/>
      <c r="ET150" s="375"/>
      <c r="EU150" s="375"/>
      <c r="EV150" s="375"/>
      <c r="EW150" s="375"/>
      <c r="EX150" s="375"/>
      <c r="EY150" s="375"/>
      <c r="EZ150" s="375"/>
      <c r="FA150" s="375"/>
      <c r="FB150" s="375"/>
      <c r="FC150" s="375"/>
      <c r="FD150" s="375"/>
      <c r="FE150" s="375"/>
      <c r="FF150" s="375"/>
      <c r="FG150" s="375"/>
      <c r="FH150" s="375"/>
      <c r="FI150" s="375"/>
      <c r="FJ150" s="375"/>
      <c r="FK150" s="375"/>
      <c r="FL150" s="375"/>
      <c r="FM150" s="375"/>
      <c r="FN150" s="375"/>
      <c r="FO150" s="375"/>
      <c r="FP150" s="375"/>
      <c r="FQ150" s="375"/>
      <c r="FR150" s="375"/>
      <c r="FS150" s="375"/>
      <c r="FT150" s="375"/>
      <c r="FU150" s="375"/>
      <c r="FV150" s="375"/>
      <c r="FW150" s="375"/>
      <c r="FX150" s="375"/>
      <c r="FY150" s="375"/>
      <c r="FZ150" s="375"/>
      <c r="GA150" s="375"/>
      <c r="GB150" s="375"/>
      <c r="GC150" s="375"/>
      <c r="GD150" s="375"/>
      <c r="GE150" s="375"/>
      <c r="GF150" s="375"/>
      <c r="GG150" s="375"/>
      <c r="GH150" s="375"/>
      <c r="GI150" s="375"/>
      <c r="GJ150" s="375"/>
      <c r="GK150" s="375"/>
      <c r="GL150" s="375"/>
      <c r="GM150" s="375"/>
      <c r="GN150" s="375"/>
      <c r="GO150" s="375"/>
      <c r="GP150" s="375"/>
      <c r="GQ150" s="375"/>
      <c r="GR150" s="375"/>
    </row>
    <row r="151" spans="1:200" s="48" customFormat="1" ht="25.5" customHeight="1" x14ac:dyDescent="0.3">
      <c r="A151" s="276"/>
      <c r="B151" s="277"/>
      <c r="C151" s="278"/>
      <c r="D151" s="278"/>
      <c r="E151" s="279"/>
      <c r="F151" s="277"/>
      <c r="G151" s="278"/>
      <c r="H151" s="278"/>
      <c r="I151" s="276"/>
      <c r="J151" s="276"/>
      <c r="K151" s="276"/>
      <c r="L151" s="276"/>
      <c r="M151" s="279"/>
      <c r="N151" s="42" t="s">
        <v>20</v>
      </c>
      <c r="O151" s="42"/>
      <c r="P151" s="42"/>
      <c r="Q151" s="43">
        <f t="shared" si="305"/>
        <v>0</v>
      </c>
      <c r="R151" s="43">
        <f t="shared" si="306"/>
        <v>3.2950000000000728</v>
      </c>
      <c r="S151" s="43">
        <f t="shared" si="307"/>
        <v>0</v>
      </c>
      <c r="T151" s="43">
        <f>T152+T153+T154+T155+T156+T157+T158</f>
        <v>5</v>
      </c>
      <c r="U151" s="43">
        <f>U152+U153+U154+U155+U156+U157+U158</f>
        <v>6</v>
      </c>
      <c r="V151" s="43">
        <f t="shared" ref="V151:Z151" si="341">SUM(V152:V158)-V153</f>
        <v>9005.241</v>
      </c>
      <c r="W151" s="43">
        <f t="shared" si="341"/>
        <v>0</v>
      </c>
      <c r="X151" s="43">
        <f t="shared" si="341"/>
        <v>9005.241</v>
      </c>
      <c r="Y151" s="43">
        <f t="shared" si="341"/>
        <v>0</v>
      </c>
      <c r="Z151" s="43">
        <f t="shared" si="341"/>
        <v>0</v>
      </c>
      <c r="AA151" s="43">
        <f t="shared" ref="AA151:AE151" si="342">SUM(AA152:AA158)-AA153</f>
        <v>9066.6</v>
      </c>
      <c r="AB151" s="43">
        <f t="shared" si="342"/>
        <v>0</v>
      </c>
      <c r="AC151" s="43">
        <f t="shared" si="342"/>
        <v>9066.6</v>
      </c>
      <c r="AD151" s="43">
        <f t="shared" si="342"/>
        <v>0</v>
      </c>
      <c r="AE151" s="43">
        <f t="shared" si="342"/>
        <v>0</v>
      </c>
      <c r="AF151" s="43">
        <f t="shared" ref="AF151:AJ151" si="343">SUM(AF152:AF158)-AF153</f>
        <v>9066.6</v>
      </c>
      <c r="AG151" s="43">
        <f t="shared" si="343"/>
        <v>0</v>
      </c>
      <c r="AH151" s="43">
        <f t="shared" si="343"/>
        <v>9066.6</v>
      </c>
      <c r="AI151" s="43">
        <f t="shared" si="343"/>
        <v>0</v>
      </c>
      <c r="AJ151" s="43">
        <f t="shared" si="343"/>
        <v>0</v>
      </c>
      <c r="AK151" s="45">
        <f t="shared" ref="AK151:AO151" si="344">SUM(AK152:AK158)-AK153</f>
        <v>3942</v>
      </c>
      <c r="AL151" s="43">
        <f t="shared" si="344"/>
        <v>0</v>
      </c>
      <c r="AM151" s="43">
        <f t="shared" si="344"/>
        <v>3942</v>
      </c>
      <c r="AN151" s="43">
        <f t="shared" si="344"/>
        <v>0</v>
      </c>
      <c r="AO151" s="43">
        <f t="shared" si="344"/>
        <v>0</v>
      </c>
      <c r="AP151" s="44"/>
      <c r="AQ151" s="43">
        <f>SUM(AQ152:AQ158)-AQ153</f>
        <v>9005.241</v>
      </c>
      <c r="AR151" s="43">
        <f>SUM(AR152:AR158)-AR153</f>
        <v>0</v>
      </c>
      <c r="AS151" s="43">
        <f>SUM(AS152:AS158)-AS153</f>
        <v>9005.241</v>
      </c>
      <c r="AT151" s="43">
        <f>SUM(AT152:AT158)-AT153</f>
        <v>0</v>
      </c>
      <c r="AU151" s="43">
        <f>SUM(AU152:AU158)-AU153</f>
        <v>0</v>
      </c>
      <c r="AV151" s="43">
        <f t="shared" si="293"/>
        <v>0</v>
      </c>
      <c r="AW151" s="43">
        <f t="shared" si="294"/>
        <v>0</v>
      </c>
      <c r="AX151" s="43">
        <f t="shared" si="295"/>
        <v>0</v>
      </c>
      <c r="AY151" s="43">
        <f t="shared" si="296"/>
        <v>0</v>
      </c>
      <c r="AZ151" s="43" t="e">
        <f t="shared" ref="AZ151:BE151" si="345">SUM(AZ152:AZ158)-AZ153</f>
        <v>#REF!</v>
      </c>
      <c r="BA151" s="43">
        <f t="shared" si="345"/>
        <v>9005.241</v>
      </c>
      <c r="BB151" s="43">
        <f t="shared" si="345"/>
        <v>0</v>
      </c>
      <c r="BC151" s="43">
        <f t="shared" si="345"/>
        <v>9005.241</v>
      </c>
      <c r="BD151" s="43">
        <f t="shared" si="345"/>
        <v>0</v>
      </c>
      <c r="BE151" s="43">
        <f t="shared" si="345"/>
        <v>0</v>
      </c>
      <c r="BF151" s="43">
        <f t="shared" ref="BF151:CJ151" si="346">SUM(BF152:BF158)-BF153</f>
        <v>0</v>
      </c>
      <c r="BG151" s="43">
        <f t="shared" si="346"/>
        <v>0</v>
      </c>
      <c r="BH151" s="43">
        <f t="shared" si="346"/>
        <v>0</v>
      </c>
      <c r="BI151" s="43">
        <f t="shared" si="346"/>
        <v>0</v>
      </c>
      <c r="BJ151" s="43">
        <f t="shared" si="346"/>
        <v>0</v>
      </c>
      <c r="BK151" s="43">
        <f t="shared" si="346"/>
        <v>9005.241</v>
      </c>
      <c r="BL151" s="43">
        <f t="shared" si="346"/>
        <v>0</v>
      </c>
      <c r="BM151" s="43">
        <f t="shared" si="346"/>
        <v>9005.241</v>
      </c>
      <c r="BN151" s="43">
        <f t="shared" si="346"/>
        <v>0</v>
      </c>
      <c r="BO151" s="43">
        <f t="shared" si="346"/>
        <v>0</v>
      </c>
      <c r="BP151" s="43">
        <f t="shared" si="346"/>
        <v>9001.9459999999999</v>
      </c>
      <c r="BQ151" s="43">
        <f t="shared" si="346"/>
        <v>0</v>
      </c>
      <c r="BR151" s="43">
        <f t="shared" si="346"/>
        <v>9001.9459999999999</v>
      </c>
      <c r="BS151" s="43">
        <f t="shared" si="346"/>
        <v>0</v>
      </c>
      <c r="BT151" s="43">
        <f t="shared" si="346"/>
        <v>0</v>
      </c>
      <c r="BU151" s="45">
        <f t="shared" si="346"/>
        <v>3194.64174</v>
      </c>
      <c r="BV151" s="304">
        <f t="shared" si="346"/>
        <v>0</v>
      </c>
      <c r="BW151" s="304">
        <f t="shared" si="346"/>
        <v>3194.64174</v>
      </c>
      <c r="BX151" s="304">
        <f t="shared" si="346"/>
        <v>0</v>
      </c>
      <c r="BY151" s="43">
        <f t="shared" si="346"/>
        <v>0</v>
      </c>
      <c r="BZ151" s="43">
        <f t="shared" si="346"/>
        <v>12196.587740000001</v>
      </c>
      <c r="CA151" s="43">
        <f t="shared" si="297"/>
        <v>12196.587739999999</v>
      </c>
      <c r="CB151" s="43">
        <f t="shared" si="298"/>
        <v>0</v>
      </c>
      <c r="CC151" s="43">
        <f t="shared" si="299"/>
        <v>12196.587739999999</v>
      </c>
      <c r="CD151" s="43">
        <f t="shared" si="300"/>
        <v>0</v>
      </c>
      <c r="CE151" s="43">
        <f t="shared" si="346"/>
        <v>0</v>
      </c>
      <c r="CF151" s="43">
        <f t="shared" si="301"/>
        <v>3.2950000000000728</v>
      </c>
      <c r="CG151" s="43">
        <f t="shared" si="302"/>
        <v>0</v>
      </c>
      <c r="CH151" s="43">
        <f t="shared" si="303"/>
        <v>3.2950000000000728</v>
      </c>
      <c r="CI151" s="43">
        <f t="shared" si="304"/>
        <v>0</v>
      </c>
      <c r="CJ151" s="43">
        <f t="shared" si="346"/>
        <v>0</v>
      </c>
      <c r="CK151" s="46">
        <f>CL151+CN151-BF151</f>
        <v>9005.241</v>
      </c>
      <c r="CL151" s="47">
        <f t="shared" ref="CL151:DF151" si="347">SUM(CL152:CL158)-CL153</f>
        <v>9005.241</v>
      </c>
      <c r="CM151" s="47">
        <f t="shared" si="347"/>
        <v>9005.241</v>
      </c>
      <c r="CN151" s="43">
        <f t="shared" si="347"/>
        <v>0</v>
      </c>
      <c r="CO151" s="43">
        <f t="shared" si="347"/>
        <v>0</v>
      </c>
      <c r="CP151" s="43">
        <f t="shared" si="347"/>
        <v>0</v>
      </c>
      <c r="CQ151" s="43">
        <f t="shared" si="347"/>
        <v>0</v>
      </c>
      <c r="CR151" s="43">
        <f t="shared" si="347"/>
        <v>0</v>
      </c>
      <c r="CS151" s="43">
        <f t="shared" si="347"/>
        <v>0</v>
      </c>
      <c r="CT151" s="43">
        <f t="shared" si="347"/>
        <v>0</v>
      </c>
      <c r="CU151" s="43">
        <f t="shared" si="347"/>
        <v>0</v>
      </c>
      <c r="CV151" s="43">
        <f t="shared" si="347"/>
        <v>0</v>
      </c>
      <c r="CW151" s="43">
        <f t="shared" si="347"/>
        <v>0</v>
      </c>
      <c r="CX151" s="43">
        <f t="shared" si="347"/>
        <v>0</v>
      </c>
      <c r="CY151" s="43">
        <f t="shared" si="347"/>
        <v>0</v>
      </c>
      <c r="CZ151" s="43">
        <f t="shared" si="347"/>
        <v>0</v>
      </c>
      <c r="DA151" s="43">
        <f t="shared" si="347"/>
        <v>0</v>
      </c>
      <c r="DB151" s="43">
        <f t="shared" si="347"/>
        <v>0</v>
      </c>
      <c r="DC151" s="43">
        <f t="shared" si="347"/>
        <v>0</v>
      </c>
      <c r="DD151" s="43">
        <f t="shared" si="347"/>
        <v>0</v>
      </c>
      <c r="DE151" s="43">
        <f t="shared" si="347"/>
        <v>0</v>
      </c>
      <c r="DF151" s="43">
        <f t="shared" si="347"/>
        <v>3.2950000000000159</v>
      </c>
      <c r="DH151" s="43">
        <f>SUM(DH152:DH158)-DH153</f>
        <v>9005.241</v>
      </c>
      <c r="DI151" s="43">
        <f>SUM(DI152:DI158)-DI153</f>
        <v>9001.9459999999999</v>
      </c>
      <c r="DK151" s="43">
        <f>SUM(DK152:DK158)-DK153</f>
        <v>9001.9459999999999</v>
      </c>
      <c r="DL151" s="43">
        <f>SUM(DL152:DL158)-DL153</f>
        <v>3.2950000000000159</v>
      </c>
      <c r="DN151" s="43">
        <f>SUM(DN152:DN158)-DN153</f>
        <v>3.2950000000000728</v>
      </c>
      <c r="DO151" s="49">
        <f>DF151-DN151</f>
        <v>-5.6843418860808015E-14</v>
      </c>
      <c r="DP151" s="49"/>
      <c r="DQ151" s="43">
        <f>SUM(DQ152:DQ158)-DQ153</f>
        <v>9001.9459999999999</v>
      </c>
      <c r="DR151" s="43">
        <f t="shared" ref="DR151:DU151" si="348">SUM(DR152:DR158)-DR153</f>
        <v>0</v>
      </c>
      <c r="DS151" s="43">
        <f t="shared" si="348"/>
        <v>9001.9459999999999</v>
      </c>
      <c r="DT151" s="43">
        <f t="shared" si="348"/>
        <v>0</v>
      </c>
      <c r="DU151" s="43">
        <f t="shared" si="348"/>
        <v>0</v>
      </c>
      <c r="DV151" s="43">
        <f>SUM(DV152:DV158)-DV153</f>
        <v>829.44527999999991</v>
      </c>
      <c r="DW151" s="43">
        <f t="shared" ref="DW151:DZ151" si="349">SUM(DW152:DW158)-DW153</f>
        <v>0</v>
      </c>
      <c r="DX151" s="43">
        <f t="shared" si="349"/>
        <v>829.44527999999991</v>
      </c>
      <c r="DY151" s="43">
        <f t="shared" si="349"/>
        <v>0</v>
      </c>
      <c r="DZ151" s="43">
        <f t="shared" si="349"/>
        <v>0</v>
      </c>
      <c r="EA151" s="372"/>
      <c r="EB151" s="372"/>
      <c r="EC151" s="372"/>
      <c r="ED151" s="372"/>
      <c r="EE151" s="372"/>
      <c r="EF151" s="372"/>
      <c r="EG151" s="372"/>
      <c r="EH151" s="372"/>
      <c r="EI151" s="372"/>
      <c r="EJ151" s="372"/>
      <c r="EK151" s="372"/>
      <c r="EL151" s="372"/>
      <c r="EM151" s="372"/>
      <c r="EN151" s="372"/>
      <c r="EO151" s="372"/>
      <c r="EP151" s="372"/>
      <c r="EQ151" s="372"/>
      <c r="ER151" s="372"/>
      <c r="ES151" s="372"/>
      <c r="ET151" s="372"/>
      <c r="EU151" s="372"/>
      <c r="EV151" s="372"/>
      <c r="EW151" s="372"/>
      <c r="EX151" s="372"/>
      <c r="EY151" s="372"/>
      <c r="EZ151" s="372"/>
      <c r="FA151" s="372"/>
      <c r="FB151" s="372"/>
      <c r="FC151" s="372"/>
      <c r="FD151" s="372"/>
      <c r="FE151" s="372"/>
      <c r="FF151" s="372"/>
      <c r="FG151" s="372"/>
      <c r="FH151" s="372"/>
      <c r="FI151" s="372"/>
      <c r="FJ151" s="372"/>
      <c r="FK151" s="372"/>
      <c r="FL151" s="372"/>
      <c r="FM151" s="372"/>
      <c r="FN151" s="372"/>
      <c r="FO151" s="372"/>
      <c r="FP151" s="372"/>
      <c r="FQ151" s="372"/>
      <c r="FR151" s="372"/>
      <c r="FS151" s="372"/>
      <c r="FT151" s="372"/>
      <c r="FU151" s="372"/>
      <c r="FV151" s="372"/>
      <c r="FW151" s="372"/>
      <c r="FX151" s="372"/>
      <c r="FY151" s="372"/>
      <c r="FZ151" s="372"/>
      <c r="GA151" s="372"/>
      <c r="GB151" s="372"/>
      <c r="GC151" s="372"/>
      <c r="GD151" s="372"/>
      <c r="GE151" s="372"/>
      <c r="GF151" s="372"/>
      <c r="GG151" s="372"/>
      <c r="GH151" s="372"/>
      <c r="GI151" s="372"/>
      <c r="GJ151" s="372"/>
      <c r="GK151" s="372"/>
      <c r="GL151" s="372"/>
      <c r="GM151" s="372"/>
      <c r="GN151" s="372"/>
      <c r="GO151" s="372"/>
      <c r="GP151" s="372"/>
      <c r="GQ151" s="372"/>
      <c r="GR151" s="372"/>
    </row>
    <row r="152" spans="1:200" s="61" customFormat="1" ht="15.75" customHeight="1" x14ac:dyDescent="0.3">
      <c r="A152" s="280"/>
      <c r="B152" s="281">
        <v>1</v>
      </c>
      <c r="C152" s="282"/>
      <c r="D152" s="282"/>
      <c r="E152" s="4">
        <v>127</v>
      </c>
      <c r="F152" s="281"/>
      <c r="G152" s="282"/>
      <c r="H152" s="282"/>
      <c r="I152" s="280"/>
      <c r="J152" s="280"/>
      <c r="K152" s="280"/>
      <c r="L152" s="280"/>
      <c r="M152" s="4">
        <v>124</v>
      </c>
      <c r="N152" s="68" t="s">
        <v>6</v>
      </c>
      <c r="O152" s="69" t="s">
        <v>448</v>
      </c>
      <c r="P152" s="63" t="s">
        <v>450</v>
      </c>
      <c r="Q152" s="64">
        <f t="shared" si="305"/>
        <v>0</v>
      </c>
      <c r="R152" s="64">
        <f t="shared" si="306"/>
        <v>0</v>
      </c>
      <c r="S152" s="64">
        <f t="shared" si="307"/>
        <v>0</v>
      </c>
      <c r="T152" s="60"/>
      <c r="U152" s="69"/>
      <c r="V152" s="64">
        <f t="shared" ref="V152:V158" si="350">W152+X152+Y152+Z152</f>
        <v>0</v>
      </c>
      <c r="W152" s="64"/>
      <c r="X152" s="60">
        <v>0</v>
      </c>
      <c r="Y152" s="64"/>
      <c r="Z152" s="60"/>
      <c r="AA152" s="64">
        <f t="shared" ref="AA152:AA158" si="351">AB152+AC152+AD152+AE152</f>
        <v>0</v>
      </c>
      <c r="AB152" s="64"/>
      <c r="AC152" s="60">
        <v>0</v>
      </c>
      <c r="AD152" s="64"/>
      <c r="AE152" s="60"/>
      <c r="AF152" s="64">
        <f t="shared" ref="AF152:AF158" si="352">AG152+AH152+AI152+AJ152</f>
        <v>0</v>
      </c>
      <c r="AG152" s="64"/>
      <c r="AH152" s="60">
        <v>0</v>
      </c>
      <c r="AI152" s="64"/>
      <c r="AJ152" s="60"/>
      <c r="AK152" s="64">
        <f t="shared" ref="AK152:AK158" si="353">AL152+AM152+AN152+AO152</f>
        <v>1258</v>
      </c>
      <c r="AL152" s="64"/>
      <c r="AM152" s="60">
        <v>1258</v>
      </c>
      <c r="AN152" s="64"/>
      <c r="AO152" s="64"/>
      <c r="AP152" s="105"/>
      <c r="AQ152" s="64">
        <f t="shared" ref="AQ152:AQ158" si="354">AR152+AS152+AT152+AU152</f>
        <v>0</v>
      </c>
      <c r="AR152" s="64"/>
      <c r="AS152" s="60"/>
      <c r="AT152" s="64"/>
      <c r="AU152" s="64"/>
      <c r="AV152" s="64">
        <f t="shared" si="293"/>
        <v>0</v>
      </c>
      <c r="AW152" s="64">
        <f t="shared" si="294"/>
        <v>0</v>
      </c>
      <c r="AX152" s="64">
        <f t="shared" si="295"/>
        <v>0</v>
      </c>
      <c r="AY152" s="64">
        <f t="shared" si="296"/>
        <v>0</v>
      </c>
      <c r="AZ152" s="64" t="e">
        <f>#REF!-AU152</f>
        <v>#REF!</v>
      </c>
      <c r="BA152" s="64">
        <f t="shared" ref="BA152:BA158" si="355">BB152+BC152+BD152+BE152</f>
        <v>0</v>
      </c>
      <c r="BB152" s="64"/>
      <c r="BC152" s="60"/>
      <c r="BD152" s="64"/>
      <c r="BE152" s="64"/>
      <c r="BF152" s="64">
        <f t="shared" ref="BF152:BF158" si="356">BG152+BH152+BI152+BJ152</f>
        <v>0</v>
      </c>
      <c r="BG152" s="64"/>
      <c r="BH152" s="64"/>
      <c r="BI152" s="64"/>
      <c r="BJ152" s="64"/>
      <c r="BK152" s="64">
        <f t="shared" ref="BK152:BK158" si="357">BL152+BM152+BN152+BO152</f>
        <v>0</v>
      </c>
      <c r="BL152" s="64"/>
      <c r="BM152" s="60"/>
      <c r="BN152" s="64"/>
      <c r="BO152" s="64"/>
      <c r="BP152" s="64">
        <f t="shared" ref="BP152:BP158" si="358">BQ152+BR152+BS152+BT152</f>
        <v>0</v>
      </c>
      <c r="BQ152" s="64"/>
      <c r="BR152" s="64"/>
      <c r="BS152" s="64"/>
      <c r="BT152" s="64"/>
      <c r="BU152" s="64">
        <f t="shared" ref="BU152:BU176" si="359">BV152+BW152+BX152+BY152</f>
        <v>0</v>
      </c>
      <c r="BV152" s="64"/>
      <c r="BW152" s="64"/>
      <c r="BX152" s="64"/>
      <c r="BY152" s="64"/>
      <c r="BZ152" s="60">
        <f t="shared" ref="BZ152:BZ158" si="360">CA152</f>
        <v>0</v>
      </c>
      <c r="CA152" s="64">
        <f t="shared" si="297"/>
        <v>0</v>
      </c>
      <c r="CB152" s="64">
        <f t="shared" si="298"/>
        <v>0</v>
      </c>
      <c r="CC152" s="64">
        <f t="shared" si="299"/>
        <v>0</v>
      </c>
      <c r="CD152" s="64">
        <f t="shared" si="300"/>
        <v>0</v>
      </c>
      <c r="CE152" s="64">
        <f t="shared" ref="CE152:CE158" si="361">BT152+BY152</f>
        <v>0</v>
      </c>
      <c r="CF152" s="64">
        <f t="shared" si="301"/>
        <v>0</v>
      </c>
      <c r="CG152" s="64">
        <f t="shared" si="302"/>
        <v>0</v>
      </c>
      <c r="CH152" s="64">
        <f t="shared" si="303"/>
        <v>0</v>
      </c>
      <c r="CI152" s="64">
        <f t="shared" si="304"/>
        <v>0</v>
      </c>
      <c r="CJ152" s="64">
        <f t="shared" ref="CJ152:CJ158" si="362">BO152-BT152</f>
        <v>0</v>
      </c>
      <c r="CK152" s="66"/>
      <c r="CL152" s="67">
        <f>BA152+BB263</f>
        <v>0</v>
      </c>
      <c r="CM152" s="67">
        <f>CL152</f>
        <v>0</v>
      </c>
      <c r="CN152" s="64">
        <f t="shared" ref="CN152:CN158" si="363">CO152+CP152+CQ152+CR152</f>
        <v>0</v>
      </c>
      <c r="CO152" s="64"/>
      <c r="CP152" s="64"/>
      <c r="CQ152" s="64"/>
      <c r="CR152" s="64"/>
      <c r="CS152" s="64">
        <f t="shared" ref="CS152:CS158" si="364">CT152+CU152+CV152+CW152</f>
        <v>0</v>
      </c>
      <c r="CT152" s="64"/>
      <c r="CU152" s="64"/>
      <c r="CV152" s="64"/>
      <c r="CW152" s="64"/>
      <c r="CX152" s="64">
        <f t="shared" ref="CX152:CX158" si="365">CY152+CZ152+DA152+DB152</f>
        <v>0</v>
      </c>
      <c r="CY152" s="64">
        <f t="shared" ref="CY152:DB158" si="366">CO152-CT152</f>
        <v>0</v>
      </c>
      <c r="CZ152" s="64">
        <f t="shared" si="366"/>
        <v>0</v>
      </c>
      <c r="DA152" s="64">
        <f t="shared" si="366"/>
        <v>0</v>
      </c>
      <c r="DB152" s="64">
        <f t="shared" si="366"/>
        <v>0</v>
      </c>
      <c r="DC152" s="60"/>
      <c r="DD152" s="60"/>
      <c r="DE152" s="64">
        <f>DC152-DD152</f>
        <v>0</v>
      </c>
      <c r="DF152" s="64">
        <f t="shared" ref="DF152:DF158" si="367">CF152+CX152+DE152</f>
        <v>0</v>
      </c>
      <c r="DH152" s="64">
        <f>BK152+CN152+DC152</f>
        <v>0</v>
      </c>
      <c r="DI152" s="64">
        <f t="shared" ref="DI152:DI158" si="368">BP152+CS152+DD152</f>
        <v>0</v>
      </c>
      <c r="DK152" s="64">
        <f t="shared" ref="DK152:DK153" si="369">DI152</f>
        <v>0</v>
      </c>
      <c r="DL152" s="64">
        <f t="shared" ref="DL152:DL153" si="370">DF152</f>
        <v>0</v>
      </c>
      <c r="DN152" s="64">
        <f>CM152-DK152</f>
        <v>0</v>
      </c>
      <c r="DQ152" s="64">
        <f t="shared" ref="DQ152:DQ158" si="371">DR152+DS152+DT152+DU152</f>
        <v>0</v>
      </c>
      <c r="DR152" s="64"/>
      <c r="DS152" s="64"/>
      <c r="DT152" s="64"/>
      <c r="DU152" s="64"/>
      <c r="DV152" s="64">
        <f t="shared" ref="DV152:DV158" si="372">DW152+DX152+DY152+DZ152</f>
        <v>0</v>
      </c>
      <c r="DW152" s="64"/>
      <c r="DX152" s="64"/>
      <c r="DY152" s="64"/>
      <c r="DZ152" s="64"/>
      <c r="EA152" s="375"/>
      <c r="EB152" s="375"/>
      <c r="EC152" s="375"/>
      <c r="ED152" s="375"/>
      <c r="EE152" s="375"/>
      <c r="EF152" s="375"/>
      <c r="EG152" s="375"/>
      <c r="EH152" s="375"/>
      <c r="EI152" s="375"/>
      <c r="EJ152" s="375"/>
      <c r="EK152" s="375"/>
      <c r="EL152" s="375"/>
      <c r="EM152" s="375"/>
      <c r="EN152" s="375"/>
      <c r="EO152" s="375"/>
      <c r="EP152" s="375"/>
      <c r="EQ152" s="375"/>
      <c r="ER152" s="375"/>
      <c r="ES152" s="375"/>
      <c r="ET152" s="375"/>
      <c r="EU152" s="375"/>
      <c r="EV152" s="375"/>
      <c r="EW152" s="375"/>
      <c r="EX152" s="375"/>
      <c r="EY152" s="375"/>
      <c r="EZ152" s="375"/>
      <c r="FA152" s="375"/>
      <c r="FB152" s="375"/>
      <c r="FC152" s="375"/>
      <c r="FD152" s="375"/>
      <c r="FE152" s="375"/>
      <c r="FF152" s="375"/>
      <c r="FG152" s="375"/>
      <c r="FH152" s="375"/>
      <c r="FI152" s="375"/>
      <c r="FJ152" s="375"/>
      <c r="FK152" s="375"/>
      <c r="FL152" s="375"/>
      <c r="FM152" s="375"/>
      <c r="FN152" s="375"/>
      <c r="FO152" s="375"/>
      <c r="FP152" s="375"/>
      <c r="FQ152" s="375"/>
      <c r="FR152" s="375"/>
      <c r="FS152" s="375"/>
      <c r="FT152" s="375"/>
      <c r="FU152" s="375"/>
      <c r="FV152" s="375"/>
      <c r="FW152" s="375"/>
      <c r="FX152" s="375"/>
      <c r="FY152" s="375"/>
      <c r="FZ152" s="375"/>
      <c r="GA152" s="375"/>
      <c r="GB152" s="375"/>
      <c r="GC152" s="375"/>
      <c r="GD152" s="375"/>
      <c r="GE152" s="375"/>
      <c r="GF152" s="375"/>
      <c r="GG152" s="375"/>
      <c r="GH152" s="375"/>
      <c r="GI152" s="375"/>
      <c r="GJ152" s="375"/>
      <c r="GK152" s="375"/>
      <c r="GL152" s="375"/>
      <c r="GM152" s="375"/>
      <c r="GN152" s="375"/>
      <c r="GO152" s="375"/>
      <c r="GP152" s="375"/>
      <c r="GQ152" s="375"/>
      <c r="GR152" s="375"/>
    </row>
    <row r="153" spans="1:200" s="61" customFormat="1" ht="0.75" customHeight="1" x14ac:dyDescent="0.25">
      <c r="A153" s="280"/>
      <c r="B153" s="281"/>
      <c r="C153" s="282"/>
      <c r="D153" s="282"/>
      <c r="E153" s="4"/>
      <c r="F153" s="281"/>
      <c r="G153" s="282"/>
      <c r="H153" s="282"/>
      <c r="I153" s="280"/>
      <c r="J153" s="280"/>
      <c r="K153" s="280"/>
      <c r="L153" s="280"/>
      <c r="M153" s="4"/>
      <c r="N153" s="371" t="s">
        <v>249</v>
      </c>
      <c r="O153" s="69">
        <v>0</v>
      </c>
      <c r="P153" s="63">
        <v>0</v>
      </c>
      <c r="Q153" s="64">
        <f t="shared" si="305"/>
        <v>0</v>
      </c>
      <c r="R153" s="64">
        <f t="shared" si="306"/>
        <v>0</v>
      </c>
      <c r="S153" s="64">
        <f t="shared" si="307"/>
        <v>0</v>
      </c>
      <c r="T153" s="69"/>
      <c r="U153" s="69"/>
      <c r="V153" s="64">
        <f t="shared" si="350"/>
        <v>0</v>
      </c>
      <c r="W153" s="64"/>
      <c r="X153" s="60"/>
      <c r="Y153" s="64"/>
      <c r="Z153" s="60"/>
      <c r="AA153" s="64">
        <f t="shared" si="351"/>
        <v>0</v>
      </c>
      <c r="AB153" s="64"/>
      <c r="AC153" s="60"/>
      <c r="AD153" s="64"/>
      <c r="AE153" s="60"/>
      <c r="AF153" s="64">
        <f t="shared" si="352"/>
        <v>0</v>
      </c>
      <c r="AG153" s="64"/>
      <c r="AH153" s="60"/>
      <c r="AI153" s="64"/>
      <c r="AJ153" s="60"/>
      <c r="AK153" s="64">
        <f t="shared" si="353"/>
        <v>0</v>
      </c>
      <c r="AL153" s="64"/>
      <c r="AM153" s="60"/>
      <c r="AN153" s="64"/>
      <c r="AO153" s="64"/>
      <c r="AP153" s="64"/>
      <c r="AQ153" s="64">
        <f t="shared" si="354"/>
        <v>0</v>
      </c>
      <c r="AR153" s="64"/>
      <c r="AS153" s="64"/>
      <c r="AT153" s="64"/>
      <c r="AU153" s="64"/>
      <c r="AV153" s="64">
        <f t="shared" si="293"/>
        <v>0</v>
      </c>
      <c r="AW153" s="64">
        <f t="shared" si="294"/>
        <v>0</v>
      </c>
      <c r="AX153" s="64">
        <f t="shared" si="295"/>
        <v>0</v>
      </c>
      <c r="AY153" s="64">
        <f t="shared" si="296"/>
        <v>0</v>
      </c>
      <c r="AZ153" s="64" t="e">
        <f>#REF!-AU153</f>
        <v>#REF!</v>
      </c>
      <c r="BA153" s="64">
        <f t="shared" si="355"/>
        <v>0</v>
      </c>
      <c r="BB153" s="64"/>
      <c r="BC153" s="64"/>
      <c r="BD153" s="64"/>
      <c r="BE153" s="64"/>
      <c r="BF153" s="64">
        <f t="shared" si="356"/>
        <v>0</v>
      </c>
      <c r="BG153" s="64"/>
      <c r="BH153" s="64"/>
      <c r="BI153" s="64"/>
      <c r="BJ153" s="64"/>
      <c r="BK153" s="64">
        <f t="shared" si="357"/>
        <v>0</v>
      </c>
      <c r="BL153" s="64"/>
      <c r="BM153" s="64"/>
      <c r="BN153" s="64"/>
      <c r="BO153" s="64"/>
      <c r="BP153" s="64">
        <f t="shared" si="358"/>
        <v>0</v>
      </c>
      <c r="BQ153" s="64"/>
      <c r="BR153" s="64"/>
      <c r="BS153" s="64"/>
      <c r="BT153" s="64"/>
      <c r="BU153" s="64">
        <f t="shared" si="359"/>
        <v>0</v>
      </c>
      <c r="BV153" s="64"/>
      <c r="BW153" s="64"/>
      <c r="BX153" s="64"/>
      <c r="BY153" s="64"/>
      <c r="BZ153" s="60">
        <f t="shared" si="360"/>
        <v>0</v>
      </c>
      <c r="CA153" s="64">
        <f t="shared" si="297"/>
        <v>0</v>
      </c>
      <c r="CB153" s="64">
        <f t="shared" si="298"/>
        <v>0</v>
      </c>
      <c r="CC153" s="64">
        <f t="shared" si="299"/>
        <v>0</v>
      </c>
      <c r="CD153" s="64">
        <f t="shared" si="300"/>
        <v>0</v>
      </c>
      <c r="CE153" s="64">
        <f t="shared" si="361"/>
        <v>0</v>
      </c>
      <c r="CF153" s="64">
        <f t="shared" si="301"/>
        <v>0</v>
      </c>
      <c r="CG153" s="64">
        <f t="shared" si="302"/>
        <v>0</v>
      </c>
      <c r="CH153" s="64">
        <f t="shared" si="303"/>
        <v>0</v>
      </c>
      <c r="CI153" s="64">
        <f t="shared" si="304"/>
        <v>0</v>
      </c>
      <c r="CJ153" s="64">
        <f t="shared" si="362"/>
        <v>0</v>
      </c>
      <c r="CK153" s="66"/>
      <c r="CL153" s="67"/>
      <c r="CM153" s="67"/>
      <c r="CN153" s="64">
        <f t="shared" si="363"/>
        <v>0</v>
      </c>
      <c r="CO153" s="64"/>
      <c r="CP153" s="64"/>
      <c r="CQ153" s="64"/>
      <c r="CR153" s="64"/>
      <c r="CS153" s="64">
        <f t="shared" si="364"/>
        <v>0</v>
      </c>
      <c r="CT153" s="64"/>
      <c r="CU153" s="64"/>
      <c r="CV153" s="64"/>
      <c r="CW153" s="64"/>
      <c r="CX153" s="64">
        <f t="shared" si="365"/>
        <v>0</v>
      </c>
      <c r="CY153" s="64">
        <f t="shared" si="366"/>
        <v>0</v>
      </c>
      <c r="CZ153" s="64">
        <f t="shared" si="366"/>
        <v>0</v>
      </c>
      <c r="DA153" s="64">
        <f t="shared" si="366"/>
        <v>0</v>
      </c>
      <c r="DB153" s="64">
        <f t="shared" si="366"/>
        <v>0</v>
      </c>
      <c r="DC153" s="64"/>
      <c r="DD153" s="64"/>
      <c r="DE153" s="64"/>
      <c r="DF153" s="64">
        <f t="shared" si="367"/>
        <v>0</v>
      </c>
      <c r="DH153" s="64">
        <f t="shared" ref="DH153:DH158" si="373">BK153+CN153+DC153</f>
        <v>0</v>
      </c>
      <c r="DI153" s="64">
        <f t="shared" si="368"/>
        <v>0</v>
      </c>
      <c r="DK153" s="64">
        <f t="shared" si="369"/>
        <v>0</v>
      </c>
      <c r="DL153" s="64">
        <f t="shared" si="370"/>
        <v>0</v>
      </c>
      <c r="DN153" s="64"/>
      <c r="DQ153" s="64">
        <f t="shared" si="371"/>
        <v>0</v>
      </c>
      <c r="DR153" s="64"/>
      <c r="DS153" s="64"/>
      <c r="DT153" s="64"/>
      <c r="DU153" s="64"/>
      <c r="DV153" s="64">
        <f t="shared" si="372"/>
        <v>0</v>
      </c>
      <c r="DW153" s="64"/>
      <c r="DX153" s="64"/>
      <c r="DY153" s="64"/>
      <c r="DZ153" s="64"/>
      <c r="EA153" s="375"/>
      <c r="EB153" s="375"/>
      <c r="EC153" s="375"/>
      <c r="ED153" s="375"/>
      <c r="EE153" s="375"/>
      <c r="EF153" s="375"/>
      <c r="EG153" s="375"/>
      <c r="EH153" s="375"/>
      <c r="EI153" s="375"/>
      <c r="EJ153" s="375"/>
      <c r="EK153" s="375"/>
      <c r="EL153" s="375"/>
      <c r="EM153" s="375"/>
      <c r="EN153" s="375"/>
      <c r="EO153" s="375"/>
      <c r="EP153" s="375"/>
      <c r="EQ153" s="375"/>
      <c r="ER153" s="375"/>
      <c r="ES153" s="375"/>
      <c r="ET153" s="375"/>
      <c r="EU153" s="375"/>
      <c r="EV153" s="375"/>
      <c r="EW153" s="375"/>
      <c r="EX153" s="375"/>
      <c r="EY153" s="375"/>
      <c r="EZ153" s="375"/>
      <c r="FA153" s="375"/>
      <c r="FB153" s="375"/>
      <c r="FC153" s="375"/>
      <c r="FD153" s="375"/>
      <c r="FE153" s="375"/>
      <c r="FF153" s="375"/>
      <c r="FG153" s="375"/>
      <c r="FH153" s="375"/>
      <c r="FI153" s="375"/>
      <c r="FJ153" s="375"/>
      <c r="FK153" s="375"/>
      <c r="FL153" s="375"/>
      <c r="FM153" s="375"/>
      <c r="FN153" s="375"/>
      <c r="FO153" s="375"/>
      <c r="FP153" s="375"/>
      <c r="FQ153" s="375"/>
      <c r="FR153" s="375"/>
      <c r="FS153" s="375"/>
      <c r="FT153" s="375"/>
      <c r="FU153" s="375"/>
      <c r="FV153" s="375"/>
      <c r="FW153" s="375"/>
      <c r="FX153" s="375"/>
      <c r="FY153" s="375"/>
      <c r="FZ153" s="375"/>
      <c r="GA153" s="375"/>
      <c r="GB153" s="375"/>
      <c r="GC153" s="375"/>
      <c r="GD153" s="375"/>
      <c r="GE153" s="375"/>
      <c r="GF153" s="375"/>
      <c r="GG153" s="375"/>
      <c r="GH153" s="375"/>
      <c r="GI153" s="375"/>
      <c r="GJ153" s="375"/>
      <c r="GK153" s="375"/>
      <c r="GL153" s="375"/>
      <c r="GM153" s="375"/>
      <c r="GN153" s="375"/>
      <c r="GO153" s="375"/>
      <c r="GP153" s="375"/>
      <c r="GQ153" s="375"/>
      <c r="GR153" s="375"/>
    </row>
    <row r="154" spans="1:200" s="61" customFormat="1" ht="15.75" customHeight="1" x14ac:dyDescent="0.3">
      <c r="A154" s="280"/>
      <c r="B154" s="281"/>
      <c r="C154" s="282"/>
      <c r="D154" s="282">
        <v>1</v>
      </c>
      <c r="E154" s="4">
        <v>128</v>
      </c>
      <c r="F154" s="281"/>
      <c r="G154" s="282"/>
      <c r="H154" s="282">
        <v>1</v>
      </c>
      <c r="I154" s="280"/>
      <c r="J154" s="280"/>
      <c r="K154" s="280"/>
      <c r="L154" s="280"/>
      <c r="M154" s="4">
        <v>125</v>
      </c>
      <c r="N154" s="62" t="s">
        <v>113</v>
      </c>
      <c r="O154" s="62" t="s">
        <v>450</v>
      </c>
      <c r="P154" s="62" t="s">
        <v>450</v>
      </c>
      <c r="Q154" s="60">
        <f t="shared" si="305"/>
        <v>0</v>
      </c>
      <c r="R154" s="60">
        <f t="shared" si="306"/>
        <v>0</v>
      </c>
      <c r="S154" s="60">
        <f t="shared" si="307"/>
        <v>0</v>
      </c>
      <c r="T154" s="60">
        <v>1</v>
      </c>
      <c r="U154" s="60"/>
      <c r="V154" s="64">
        <f t="shared" si="350"/>
        <v>1082.7149999999999</v>
      </c>
      <c r="W154" s="64"/>
      <c r="X154" s="64">
        <v>1082.7149999999999</v>
      </c>
      <c r="Y154" s="64"/>
      <c r="Z154" s="73"/>
      <c r="AA154" s="64">
        <f t="shared" si="351"/>
        <v>2622</v>
      </c>
      <c r="AB154" s="64"/>
      <c r="AC154" s="64">
        <v>2622</v>
      </c>
      <c r="AD154" s="64"/>
      <c r="AE154" s="73"/>
      <c r="AF154" s="64">
        <f t="shared" si="352"/>
        <v>2622</v>
      </c>
      <c r="AG154" s="64"/>
      <c r="AH154" s="64">
        <v>2622</v>
      </c>
      <c r="AI154" s="64"/>
      <c r="AJ154" s="73"/>
      <c r="AK154" s="64">
        <f t="shared" si="353"/>
        <v>1140</v>
      </c>
      <c r="AL154" s="64"/>
      <c r="AM154" s="64">
        <v>1140</v>
      </c>
      <c r="AN154" s="64"/>
      <c r="AO154" s="73"/>
      <c r="AP154" s="64" t="s">
        <v>327</v>
      </c>
      <c r="AQ154" s="64">
        <f t="shared" si="354"/>
        <v>1082.7149999999999</v>
      </c>
      <c r="AR154" s="64"/>
      <c r="AS154" s="64">
        <v>1082.7149999999999</v>
      </c>
      <c r="AT154" s="64"/>
      <c r="AU154" s="73"/>
      <c r="AV154" s="64">
        <f t="shared" si="293"/>
        <v>0</v>
      </c>
      <c r="AW154" s="64">
        <f t="shared" si="294"/>
        <v>0</v>
      </c>
      <c r="AX154" s="64">
        <f t="shared" si="295"/>
        <v>0</v>
      </c>
      <c r="AY154" s="64">
        <f t="shared" si="296"/>
        <v>0</v>
      </c>
      <c r="AZ154" s="64" t="e">
        <f>#REF!-AU154</f>
        <v>#REF!</v>
      </c>
      <c r="BA154" s="64">
        <f t="shared" si="355"/>
        <v>1082.7149999999999</v>
      </c>
      <c r="BB154" s="64"/>
      <c r="BC154" s="64">
        <v>1082.7149999999999</v>
      </c>
      <c r="BD154" s="64"/>
      <c r="BE154" s="73"/>
      <c r="BF154" s="64">
        <f t="shared" si="356"/>
        <v>0</v>
      </c>
      <c r="BG154" s="64"/>
      <c r="BH154" s="65"/>
      <c r="BI154" s="64"/>
      <c r="BJ154" s="73"/>
      <c r="BK154" s="64">
        <f t="shared" si="357"/>
        <v>1082.7149999999999</v>
      </c>
      <c r="BL154" s="64"/>
      <c r="BM154" s="64">
        <v>1082.7149999999999</v>
      </c>
      <c r="BN154" s="64"/>
      <c r="BO154" s="74"/>
      <c r="BP154" s="64">
        <f t="shared" si="358"/>
        <v>1082.7149999999999</v>
      </c>
      <c r="BQ154" s="64"/>
      <c r="BR154" s="74">
        <v>1082.7149999999999</v>
      </c>
      <c r="BS154" s="64"/>
      <c r="BT154" s="73"/>
      <c r="BU154" s="64">
        <f t="shared" si="359"/>
        <v>360.90600000000001</v>
      </c>
      <c r="BV154" s="64"/>
      <c r="BW154" s="64">
        <v>360.90600000000001</v>
      </c>
      <c r="BX154" s="64"/>
      <c r="BY154" s="64"/>
      <c r="BZ154" s="60">
        <f t="shared" si="360"/>
        <v>1443.6209999999999</v>
      </c>
      <c r="CA154" s="64">
        <f t="shared" si="297"/>
        <v>1443.6209999999999</v>
      </c>
      <c r="CB154" s="64">
        <f t="shared" si="298"/>
        <v>0</v>
      </c>
      <c r="CC154" s="64">
        <f t="shared" si="299"/>
        <v>1443.6209999999999</v>
      </c>
      <c r="CD154" s="64">
        <f t="shared" si="300"/>
        <v>0</v>
      </c>
      <c r="CE154" s="64">
        <f t="shared" si="361"/>
        <v>0</v>
      </c>
      <c r="CF154" s="64">
        <f t="shared" si="301"/>
        <v>0</v>
      </c>
      <c r="CG154" s="64">
        <f t="shared" si="302"/>
        <v>0</v>
      </c>
      <c r="CH154" s="64">
        <f t="shared" si="303"/>
        <v>0</v>
      </c>
      <c r="CI154" s="64">
        <f t="shared" si="304"/>
        <v>0</v>
      </c>
      <c r="CJ154" s="64">
        <f t="shared" si="362"/>
        <v>0</v>
      </c>
      <c r="CK154" s="66"/>
      <c r="CL154" s="67"/>
      <c r="CM154" s="67"/>
      <c r="CN154" s="64">
        <f t="shared" si="363"/>
        <v>0</v>
      </c>
      <c r="CO154" s="64"/>
      <c r="CP154" s="65"/>
      <c r="CQ154" s="64"/>
      <c r="CR154" s="73"/>
      <c r="CS154" s="64">
        <f t="shared" si="364"/>
        <v>0</v>
      </c>
      <c r="CT154" s="64"/>
      <c r="CU154" s="65"/>
      <c r="CV154" s="64"/>
      <c r="CW154" s="73"/>
      <c r="CX154" s="64">
        <f t="shared" si="365"/>
        <v>0</v>
      </c>
      <c r="CY154" s="64">
        <f t="shared" si="366"/>
        <v>0</v>
      </c>
      <c r="CZ154" s="64">
        <f t="shared" si="366"/>
        <v>0</v>
      </c>
      <c r="DA154" s="64">
        <f t="shared" si="366"/>
        <v>0</v>
      </c>
      <c r="DB154" s="64">
        <f t="shared" si="366"/>
        <v>0</v>
      </c>
      <c r="DC154" s="64"/>
      <c r="DD154" s="64"/>
      <c r="DE154" s="64"/>
      <c r="DF154" s="64">
        <f t="shared" si="367"/>
        <v>0</v>
      </c>
      <c r="DH154" s="64">
        <f t="shared" si="373"/>
        <v>1082.7149999999999</v>
      </c>
      <c r="DI154" s="64">
        <f t="shared" si="368"/>
        <v>1082.7149999999999</v>
      </c>
      <c r="DK154" s="64"/>
      <c r="DL154" s="64"/>
      <c r="DN154" s="64"/>
      <c r="DQ154" s="64">
        <f t="shared" si="371"/>
        <v>1082.7149999999999</v>
      </c>
      <c r="DR154" s="64"/>
      <c r="DS154" s="74">
        <v>1082.7149999999999</v>
      </c>
      <c r="DT154" s="64"/>
      <c r="DU154" s="73"/>
      <c r="DV154" s="64">
        <f t="shared" si="372"/>
        <v>0</v>
      </c>
      <c r="DW154" s="64"/>
      <c r="DX154" s="64"/>
      <c r="DY154" s="64"/>
      <c r="DZ154" s="64"/>
      <c r="EA154" s="375"/>
      <c r="EB154" s="375"/>
      <c r="EC154" s="375"/>
      <c r="ED154" s="375"/>
      <c r="EE154" s="375"/>
      <c r="EF154" s="375"/>
      <c r="EG154" s="375"/>
      <c r="EH154" s="375"/>
      <c r="EI154" s="375"/>
      <c r="EJ154" s="375"/>
      <c r="EK154" s="375"/>
      <c r="EL154" s="375"/>
      <c r="EM154" s="375"/>
      <c r="EN154" s="375"/>
      <c r="EO154" s="375"/>
      <c r="EP154" s="375"/>
      <c r="EQ154" s="375"/>
      <c r="ER154" s="375"/>
      <c r="ES154" s="375"/>
      <c r="ET154" s="375"/>
      <c r="EU154" s="375"/>
      <c r="EV154" s="375"/>
      <c r="EW154" s="375"/>
      <c r="EX154" s="375"/>
      <c r="EY154" s="375"/>
      <c r="EZ154" s="375"/>
      <c r="FA154" s="375"/>
      <c r="FB154" s="375"/>
      <c r="FC154" s="375"/>
      <c r="FD154" s="375"/>
      <c r="FE154" s="375"/>
      <c r="FF154" s="375"/>
      <c r="FG154" s="375"/>
      <c r="FH154" s="375"/>
      <c r="FI154" s="375"/>
      <c r="FJ154" s="375"/>
      <c r="FK154" s="375"/>
      <c r="FL154" s="375"/>
      <c r="FM154" s="375"/>
      <c r="FN154" s="375"/>
      <c r="FO154" s="375"/>
      <c r="FP154" s="375"/>
      <c r="FQ154" s="375"/>
      <c r="FR154" s="375"/>
      <c r="FS154" s="375"/>
      <c r="FT154" s="375"/>
      <c r="FU154" s="375"/>
      <c r="FV154" s="375"/>
      <c r="FW154" s="375"/>
      <c r="FX154" s="375"/>
      <c r="FY154" s="375"/>
      <c r="FZ154" s="375"/>
      <c r="GA154" s="375"/>
      <c r="GB154" s="375"/>
      <c r="GC154" s="375"/>
      <c r="GD154" s="375"/>
      <c r="GE154" s="375"/>
      <c r="GF154" s="375"/>
      <c r="GG154" s="375"/>
      <c r="GH154" s="375"/>
      <c r="GI154" s="375"/>
      <c r="GJ154" s="375"/>
      <c r="GK154" s="375"/>
      <c r="GL154" s="375"/>
      <c r="GM154" s="375"/>
      <c r="GN154" s="375"/>
      <c r="GO154" s="375"/>
      <c r="GP154" s="375"/>
      <c r="GQ154" s="375"/>
      <c r="GR154" s="375"/>
    </row>
    <row r="155" spans="1:200" s="61" customFormat="1" ht="15.75" customHeight="1" x14ac:dyDescent="0.3">
      <c r="A155" s="280"/>
      <c r="B155" s="281"/>
      <c r="C155" s="282"/>
      <c r="D155" s="282">
        <v>1</v>
      </c>
      <c r="E155" s="4">
        <v>129</v>
      </c>
      <c r="F155" s="281"/>
      <c r="G155" s="282"/>
      <c r="H155" s="282">
        <v>1</v>
      </c>
      <c r="I155" s="298"/>
      <c r="J155" s="298"/>
      <c r="K155" s="298"/>
      <c r="L155" s="299"/>
      <c r="M155" s="4">
        <v>126</v>
      </c>
      <c r="N155" s="62" t="s">
        <v>114</v>
      </c>
      <c r="O155" s="62" t="s">
        <v>448</v>
      </c>
      <c r="P155" s="62" t="s">
        <v>448</v>
      </c>
      <c r="Q155" s="60">
        <f t="shared" si="305"/>
        <v>0</v>
      </c>
      <c r="R155" s="60">
        <f t="shared" si="306"/>
        <v>0</v>
      </c>
      <c r="S155" s="60">
        <f t="shared" si="307"/>
        <v>0</v>
      </c>
      <c r="T155" s="60">
        <v>1</v>
      </c>
      <c r="U155" s="60">
        <v>1</v>
      </c>
      <c r="V155" s="64">
        <f t="shared" si="350"/>
        <v>770.5</v>
      </c>
      <c r="W155" s="64"/>
      <c r="X155" s="65">
        <v>770.5</v>
      </c>
      <c r="Y155" s="64"/>
      <c r="Z155" s="60"/>
      <c r="AA155" s="64">
        <f t="shared" si="351"/>
        <v>770.5</v>
      </c>
      <c r="AB155" s="64"/>
      <c r="AC155" s="65">
        <v>770.5</v>
      </c>
      <c r="AD155" s="64"/>
      <c r="AE155" s="60"/>
      <c r="AF155" s="64">
        <f t="shared" si="352"/>
        <v>770.5</v>
      </c>
      <c r="AG155" s="64"/>
      <c r="AH155" s="65">
        <v>770.5</v>
      </c>
      <c r="AI155" s="64"/>
      <c r="AJ155" s="60"/>
      <c r="AK155" s="64">
        <f t="shared" si="353"/>
        <v>335</v>
      </c>
      <c r="AL155" s="64"/>
      <c r="AM155" s="65">
        <v>335</v>
      </c>
      <c r="AN155" s="64"/>
      <c r="AO155" s="64"/>
      <c r="AP155" s="64" t="s">
        <v>375</v>
      </c>
      <c r="AQ155" s="64">
        <f t="shared" si="354"/>
        <v>770.5</v>
      </c>
      <c r="AR155" s="64"/>
      <c r="AS155" s="65">
        <f>335+435.5</f>
        <v>770.5</v>
      </c>
      <c r="AT155" s="64"/>
      <c r="AU155" s="73"/>
      <c r="AV155" s="64">
        <f t="shared" si="293"/>
        <v>0</v>
      </c>
      <c r="AW155" s="64">
        <f t="shared" si="294"/>
        <v>0</v>
      </c>
      <c r="AX155" s="64">
        <f t="shared" si="295"/>
        <v>0</v>
      </c>
      <c r="AY155" s="64">
        <f t="shared" si="296"/>
        <v>0</v>
      </c>
      <c r="AZ155" s="64" t="e">
        <f>#REF!-AU155</f>
        <v>#REF!</v>
      </c>
      <c r="BA155" s="64">
        <f t="shared" si="355"/>
        <v>770.5</v>
      </c>
      <c r="BB155" s="64"/>
      <c r="BC155" s="65">
        <f>335+435.5</f>
        <v>770.5</v>
      </c>
      <c r="BD155" s="64"/>
      <c r="BE155" s="73"/>
      <c r="BF155" s="64">
        <f t="shared" si="356"/>
        <v>0</v>
      </c>
      <c r="BG155" s="64"/>
      <c r="BH155" s="65"/>
      <c r="BI155" s="64"/>
      <c r="BJ155" s="73"/>
      <c r="BK155" s="64">
        <f t="shared" si="357"/>
        <v>770.5</v>
      </c>
      <c r="BL155" s="64"/>
      <c r="BM155" s="65">
        <f>335+435.5</f>
        <v>770.5</v>
      </c>
      <c r="BN155" s="64"/>
      <c r="BO155" s="74"/>
      <c r="BP155" s="64">
        <f t="shared" si="358"/>
        <v>770.5</v>
      </c>
      <c r="BQ155" s="64"/>
      <c r="BR155" s="74">
        <f>435.5+335</f>
        <v>770.5</v>
      </c>
      <c r="BS155" s="64"/>
      <c r="BT155" s="73"/>
      <c r="BU155" s="64">
        <f t="shared" si="359"/>
        <v>399.5</v>
      </c>
      <c r="BV155" s="64"/>
      <c r="BW155" s="64">
        <f>149.5+250</f>
        <v>399.5</v>
      </c>
      <c r="BX155" s="64"/>
      <c r="BY155" s="64"/>
      <c r="BZ155" s="60">
        <f t="shared" si="360"/>
        <v>1170</v>
      </c>
      <c r="CA155" s="64">
        <f t="shared" si="297"/>
        <v>1170</v>
      </c>
      <c r="CB155" s="64">
        <f t="shared" si="298"/>
        <v>0</v>
      </c>
      <c r="CC155" s="64">
        <f t="shared" si="299"/>
        <v>1170</v>
      </c>
      <c r="CD155" s="64">
        <f t="shared" si="300"/>
        <v>0</v>
      </c>
      <c r="CE155" s="64">
        <f t="shared" si="361"/>
        <v>0</v>
      </c>
      <c r="CF155" s="64">
        <f t="shared" si="301"/>
        <v>0</v>
      </c>
      <c r="CG155" s="64">
        <f t="shared" si="302"/>
        <v>0</v>
      </c>
      <c r="CH155" s="64">
        <f t="shared" si="303"/>
        <v>0</v>
      </c>
      <c r="CI155" s="64">
        <f t="shared" si="304"/>
        <v>0</v>
      </c>
      <c r="CJ155" s="64">
        <f t="shared" si="362"/>
        <v>0</v>
      </c>
      <c r="CK155" s="66"/>
      <c r="CL155" s="67"/>
      <c r="CM155" s="67"/>
      <c r="CN155" s="64">
        <f t="shared" si="363"/>
        <v>0</v>
      </c>
      <c r="CO155" s="64"/>
      <c r="CP155" s="65"/>
      <c r="CQ155" s="64"/>
      <c r="CR155" s="73"/>
      <c r="CS155" s="64">
        <f t="shared" si="364"/>
        <v>0</v>
      </c>
      <c r="CT155" s="64"/>
      <c r="CU155" s="65"/>
      <c r="CV155" s="64"/>
      <c r="CW155" s="73"/>
      <c r="CX155" s="64">
        <f t="shared" si="365"/>
        <v>0</v>
      </c>
      <c r="CY155" s="64">
        <f t="shared" si="366"/>
        <v>0</v>
      </c>
      <c r="CZ155" s="64">
        <f t="shared" si="366"/>
        <v>0</v>
      </c>
      <c r="DA155" s="64">
        <f t="shared" si="366"/>
        <v>0</v>
      </c>
      <c r="DB155" s="64">
        <f t="shared" si="366"/>
        <v>0</v>
      </c>
      <c r="DC155" s="64"/>
      <c r="DD155" s="64"/>
      <c r="DE155" s="64"/>
      <c r="DF155" s="64">
        <f t="shared" si="367"/>
        <v>0</v>
      </c>
      <c r="DH155" s="64">
        <f t="shared" si="373"/>
        <v>770.5</v>
      </c>
      <c r="DI155" s="64">
        <f t="shared" si="368"/>
        <v>770.5</v>
      </c>
      <c r="DK155" s="64"/>
      <c r="DL155" s="64"/>
      <c r="DN155" s="64"/>
      <c r="DQ155" s="64">
        <f t="shared" si="371"/>
        <v>770.5</v>
      </c>
      <c r="DR155" s="64"/>
      <c r="DS155" s="74">
        <f>435.5+335</f>
        <v>770.5</v>
      </c>
      <c r="DT155" s="64"/>
      <c r="DU155" s="73"/>
      <c r="DV155" s="64">
        <f t="shared" si="372"/>
        <v>399.5</v>
      </c>
      <c r="DW155" s="64"/>
      <c r="DX155" s="64">
        <v>399.5</v>
      </c>
      <c r="DY155" s="64"/>
      <c r="DZ155" s="64"/>
      <c r="EA155" s="375"/>
      <c r="EB155" s="375"/>
      <c r="EC155" s="375"/>
      <c r="ED155" s="375"/>
      <c r="EE155" s="375"/>
      <c r="EF155" s="375"/>
      <c r="EG155" s="375"/>
      <c r="EH155" s="375"/>
      <c r="EI155" s="375"/>
      <c r="EJ155" s="375"/>
      <c r="EK155" s="375"/>
      <c r="EL155" s="375"/>
      <c r="EM155" s="375"/>
      <c r="EN155" s="375"/>
      <c r="EO155" s="375"/>
      <c r="EP155" s="375"/>
      <c r="EQ155" s="375"/>
      <c r="ER155" s="375"/>
      <c r="ES155" s="375"/>
      <c r="ET155" s="375"/>
      <c r="EU155" s="375"/>
      <c r="EV155" s="375"/>
      <c r="EW155" s="375"/>
      <c r="EX155" s="375"/>
      <c r="EY155" s="375"/>
      <c r="EZ155" s="375"/>
      <c r="FA155" s="375"/>
      <c r="FB155" s="375"/>
      <c r="FC155" s="375"/>
      <c r="FD155" s="375"/>
      <c r="FE155" s="375"/>
      <c r="FF155" s="375"/>
      <c r="FG155" s="375"/>
      <c r="FH155" s="375"/>
      <c r="FI155" s="375"/>
      <c r="FJ155" s="375"/>
      <c r="FK155" s="375"/>
      <c r="FL155" s="375"/>
      <c r="FM155" s="375"/>
      <c r="FN155" s="375"/>
      <c r="FO155" s="375"/>
      <c r="FP155" s="375"/>
      <c r="FQ155" s="375"/>
      <c r="FR155" s="375"/>
      <c r="FS155" s="375"/>
      <c r="FT155" s="375"/>
      <c r="FU155" s="375"/>
      <c r="FV155" s="375"/>
      <c r="FW155" s="375"/>
      <c r="FX155" s="375"/>
      <c r="FY155" s="375"/>
      <c r="FZ155" s="375"/>
      <c r="GA155" s="375"/>
      <c r="GB155" s="375"/>
      <c r="GC155" s="375"/>
      <c r="GD155" s="375"/>
      <c r="GE155" s="375"/>
      <c r="GF155" s="375"/>
      <c r="GG155" s="375"/>
      <c r="GH155" s="375"/>
      <c r="GI155" s="375"/>
      <c r="GJ155" s="375"/>
      <c r="GK155" s="375"/>
      <c r="GL155" s="375"/>
      <c r="GM155" s="375"/>
      <c r="GN155" s="375"/>
      <c r="GO155" s="375"/>
      <c r="GP155" s="375"/>
      <c r="GQ155" s="375"/>
      <c r="GR155" s="375"/>
    </row>
    <row r="156" spans="1:200" s="61" customFormat="1" ht="15.75" customHeight="1" x14ac:dyDescent="0.3">
      <c r="A156" s="280"/>
      <c r="B156" s="281"/>
      <c r="C156" s="282">
        <v>1</v>
      </c>
      <c r="D156" s="282"/>
      <c r="E156" s="4">
        <v>130</v>
      </c>
      <c r="F156" s="281"/>
      <c r="G156" s="282">
        <v>1</v>
      </c>
      <c r="H156" s="282">
        <v>1</v>
      </c>
      <c r="I156" s="4"/>
      <c r="J156" s="283"/>
      <c r="K156" s="283"/>
      <c r="L156" s="286"/>
      <c r="M156" s="4">
        <v>127</v>
      </c>
      <c r="N156" s="62" t="s">
        <v>54</v>
      </c>
      <c r="O156" s="62" t="s">
        <v>523</v>
      </c>
      <c r="P156" s="62" t="s">
        <v>489</v>
      </c>
      <c r="Q156" s="60">
        <f t="shared" si="305"/>
        <v>0</v>
      </c>
      <c r="R156" s="60">
        <f t="shared" si="306"/>
        <v>0</v>
      </c>
      <c r="S156" s="60">
        <f t="shared" si="307"/>
        <v>0</v>
      </c>
      <c r="T156" s="60">
        <v>1</v>
      </c>
      <c r="U156" s="60">
        <v>2</v>
      </c>
      <c r="V156" s="64">
        <f t="shared" si="350"/>
        <v>6215.6</v>
      </c>
      <c r="W156" s="64"/>
      <c r="X156" s="65">
        <v>6215.6</v>
      </c>
      <c r="Y156" s="64"/>
      <c r="Z156" s="73"/>
      <c r="AA156" s="64">
        <f t="shared" si="351"/>
        <v>4312.5</v>
      </c>
      <c r="AB156" s="64"/>
      <c r="AC156" s="65">
        <v>4312.5</v>
      </c>
      <c r="AD156" s="64"/>
      <c r="AE156" s="73"/>
      <c r="AF156" s="64">
        <f t="shared" si="352"/>
        <v>4312.5</v>
      </c>
      <c r="AG156" s="64"/>
      <c r="AH156" s="65">
        <v>4312.5</v>
      </c>
      <c r="AI156" s="64"/>
      <c r="AJ156" s="73"/>
      <c r="AK156" s="64">
        <f t="shared" si="353"/>
        <v>617</v>
      </c>
      <c r="AL156" s="64"/>
      <c r="AM156" s="65">
        <v>617</v>
      </c>
      <c r="AN156" s="64"/>
      <c r="AO156" s="73"/>
      <c r="AP156" s="64" t="s">
        <v>433</v>
      </c>
      <c r="AQ156" s="64">
        <f t="shared" si="354"/>
        <v>6215.6</v>
      </c>
      <c r="AR156" s="64"/>
      <c r="AS156" s="65">
        <f>617+3695.5+1903.1</f>
        <v>6215.6</v>
      </c>
      <c r="AT156" s="64"/>
      <c r="AU156" s="73"/>
      <c r="AV156" s="64">
        <f t="shared" si="293"/>
        <v>0</v>
      </c>
      <c r="AW156" s="64">
        <f t="shared" si="294"/>
        <v>0</v>
      </c>
      <c r="AX156" s="64">
        <f t="shared" si="295"/>
        <v>0</v>
      </c>
      <c r="AY156" s="64">
        <f t="shared" si="296"/>
        <v>0</v>
      </c>
      <c r="AZ156" s="64" t="e">
        <f>#REF!-AU156</f>
        <v>#REF!</v>
      </c>
      <c r="BA156" s="64">
        <f t="shared" si="355"/>
        <v>6215.6</v>
      </c>
      <c r="BB156" s="64"/>
      <c r="BC156" s="65">
        <f>617+3695.5+1903.1</f>
        <v>6215.6</v>
      </c>
      <c r="BD156" s="64"/>
      <c r="BE156" s="73"/>
      <c r="BF156" s="64">
        <f t="shared" si="356"/>
        <v>0</v>
      </c>
      <c r="BG156" s="64"/>
      <c r="BH156" s="65"/>
      <c r="BI156" s="64"/>
      <c r="BJ156" s="73"/>
      <c r="BK156" s="64">
        <f t="shared" si="357"/>
        <v>6215.6</v>
      </c>
      <c r="BL156" s="64"/>
      <c r="BM156" s="65">
        <f>617+3695.5+1903.1</f>
        <v>6215.6</v>
      </c>
      <c r="BN156" s="64"/>
      <c r="BO156" s="74"/>
      <c r="BP156" s="64">
        <f t="shared" si="358"/>
        <v>6215.6</v>
      </c>
      <c r="BQ156" s="64"/>
      <c r="BR156" s="74">
        <f>617+3695.5+1903.1</f>
        <v>6215.6</v>
      </c>
      <c r="BS156" s="64"/>
      <c r="BT156" s="73"/>
      <c r="BU156" s="64">
        <f t="shared" si="359"/>
        <v>2123</v>
      </c>
      <c r="BV156" s="64"/>
      <c r="BW156" s="64">
        <f>247.82+411.18+412+640+412</f>
        <v>2123</v>
      </c>
      <c r="BX156" s="64"/>
      <c r="BY156" s="64"/>
      <c r="BZ156" s="60">
        <f t="shared" si="360"/>
        <v>8338.6</v>
      </c>
      <c r="CA156" s="64">
        <f t="shared" si="297"/>
        <v>8338.6</v>
      </c>
      <c r="CB156" s="64">
        <f t="shared" si="298"/>
        <v>0</v>
      </c>
      <c r="CC156" s="64">
        <f t="shared" si="299"/>
        <v>8338.6</v>
      </c>
      <c r="CD156" s="64">
        <f t="shared" si="300"/>
        <v>0</v>
      </c>
      <c r="CE156" s="64">
        <f t="shared" si="361"/>
        <v>0</v>
      </c>
      <c r="CF156" s="64">
        <f t="shared" si="301"/>
        <v>0</v>
      </c>
      <c r="CG156" s="64">
        <f t="shared" si="302"/>
        <v>0</v>
      </c>
      <c r="CH156" s="64">
        <f t="shared" si="303"/>
        <v>0</v>
      </c>
      <c r="CI156" s="64">
        <f t="shared" si="304"/>
        <v>0</v>
      </c>
      <c r="CJ156" s="64">
        <f t="shared" si="362"/>
        <v>0</v>
      </c>
      <c r="CK156" s="66"/>
      <c r="CL156" s="76">
        <f>BA156+BA157</f>
        <v>6825.1</v>
      </c>
      <c r="CM156" s="76">
        <f>CL156</f>
        <v>6825.1</v>
      </c>
      <c r="CN156" s="64">
        <f t="shared" si="363"/>
        <v>0</v>
      </c>
      <c r="CO156" s="64"/>
      <c r="CP156" s="65"/>
      <c r="CQ156" s="64"/>
      <c r="CR156" s="73"/>
      <c r="CS156" s="64">
        <f t="shared" si="364"/>
        <v>0</v>
      </c>
      <c r="CT156" s="64"/>
      <c r="CU156" s="65"/>
      <c r="CV156" s="64"/>
      <c r="CW156" s="73"/>
      <c r="CX156" s="64">
        <f t="shared" si="365"/>
        <v>0</v>
      </c>
      <c r="CY156" s="64">
        <f t="shared" si="366"/>
        <v>0</v>
      </c>
      <c r="CZ156" s="64">
        <f t="shared" si="366"/>
        <v>0</v>
      </c>
      <c r="DA156" s="64">
        <f t="shared" si="366"/>
        <v>0</v>
      </c>
      <c r="DB156" s="64">
        <f t="shared" si="366"/>
        <v>0</v>
      </c>
      <c r="DC156" s="64"/>
      <c r="DD156" s="64"/>
      <c r="DE156" s="64"/>
      <c r="DF156" s="64">
        <f t="shared" si="367"/>
        <v>0</v>
      </c>
      <c r="DH156" s="64">
        <f t="shared" si="373"/>
        <v>6215.6</v>
      </c>
      <c r="DI156" s="64">
        <f t="shared" si="368"/>
        <v>6215.6</v>
      </c>
      <c r="DK156" s="77">
        <f>DI156+DI157</f>
        <v>6825.1</v>
      </c>
      <c r="DL156" s="77">
        <f>DF156+DF157</f>
        <v>0</v>
      </c>
      <c r="DN156" s="64">
        <f>CM156-DK156</f>
        <v>0</v>
      </c>
      <c r="DQ156" s="64">
        <f t="shared" si="371"/>
        <v>6215.6</v>
      </c>
      <c r="DR156" s="64"/>
      <c r="DS156" s="74">
        <f>617+3695.5+1903.1</f>
        <v>6215.6</v>
      </c>
      <c r="DT156" s="64"/>
      <c r="DU156" s="73"/>
      <c r="DV156" s="64">
        <f t="shared" si="372"/>
        <v>247.82</v>
      </c>
      <c r="DW156" s="64"/>
      <c r="DX156" s="64">
        <v>247.82</v>
      </c>
      <c r="DY156" s="64"/>
      <c r="DZ156" s="64"/>
      <c r="EA156" s="375"/>
      <c r="EB156" s="375"/>
      <c r="EC156" s="375"/>
      <c r="ED156" s="375"/>
      <c r="EE156" s="375"/>
      <c r="EF156" s="375"/>
      <c r="EG156" s="375"/>
      <c r="EH156" s="375"/>
      <c r="EI156" s="375"/>
      <c r="EJ156" s="375"/>
      <c r="EK156" s="375"/>
      <c r="EL156" s="375"/>
      <c r="EM156" s="375"/>
      <c r="EN156" s="375"/>
      <c r="EO156" s="375"/>
      <c r="EP156" s="375"/>
      <c r="EQ156" s="375"/>
      <c r="ER156" s="375"/>
      <c r="ES156" s="375"/>
      <c r="ET156" s="375"/>
      <c r="EU156" s="375"/>
      <c r="EV156" s="375"/>
      <c r="EW156" s="375"/>
      <c r="EX156" s="375"/>
      <c r="EY156" s="375"/>
      <c r="EZ156" s="375"/>
      <c r="FA156" s="375"/>
      <c r="FB156" s="375"/>
      <c r="FC156" s="375"/>
      <c r="FD156" s="375"/>
      <c r="FE156" s="375"/>
      <c r="FF156" s="375"/>
      <c r="FG156" s="375"/>
      <c r="FH156" s="375"/>
      <c r="FI156" s="375"/>
      <c r="FJ156" s="375"/>
      <c r="FK156" s="375"/>
      <c r="FL156" s="375"/>
      <c r="FM156" s="375"/>
      <c r="FN156" s="375"/>
      <c r="FO156" s="375"/>
      <c r="FP156" s="375"/>
      <c r="FQ156" s="375"/>
      <c r="FR156" s="375"/>
      <c r="FS156" s="375"/>
      <c r="FT156" s="375"/>
      <c r="FU156" s="375"/>
      <c r="FV156" s="375"/>
      <c r="FW156" s="375"/>
      <c r="FX156" s="375"/>
      <c r="FY156" s="375"/>
      <c r="FZ156" s="375"/>
      <c r="GA156" s="375"/>
      <c r="GB156" s="375"/>
      <c r="GC156" s="375"/>
      <c r="GD156" s="375"/>
      <c r="GE156" s="375"/>
      <c r="GF156" s="375"/>
      <c r="GG156" s="375"/>
      <c r="GH156" s="375"/>
      <c r="GI156" s="375"/>
      <c r="GJ156" s="375"/>
      <c r="GK156" s="375"/>
      <c r="GL156" s="375"/>
      <c r="GM156" s="375"/>
      <c r="GN156" s="375"/>
      <c r="GO156" s="375"/>
      <c r="GP156" s="375"/>
      <c r="GQ156" s="375"/>
      <c r="GR156" s="375"/>
    </row>
    <row r="157" spans="1:200" s="61" customFormat="1" ht="15.75" customHeight="1" x14ac:dyDescent="0.3">
      <c r="A157" s="280"/>
      <c r="B157" s="281"/>
      <c r="C157" s="282">
        <v>1</v>
      </c>
      <c r="D157" s="282"/>
      <c r="E157" s="4">
        <v>131</v>
      </c>
      <c r="F157" s="281"/>
      <c r="G157" s="282">
        <v>1</v>
      </c>
      <c r="H157" s="282">
        <v>1</v>
      </c>
      <c r="I157" s="4"/>
      <c r="J157" s="283"/>
      <c r="K157" s="283"/>
      <c r="L157" s="286"/>
      <c r="M157" s="4">
        <v>128</v>
      </c>
      <c r="N157" s="62" t="s">
        <v>55</v>
      </c>
      <c r="O157" s="62" t="s">
        <v>448</v>
      </c>
      <c r="P157" s="62" t="s">
        <v>448</v>
      </c>
      <c r="Q157" s="60">
        <f t="shared" si="305"/>
        <v>0</v>
      </c>
      <c r="R157" s="60">
        <f t="shared" si="306"/>
        <v>0</v>
      </c>
      <c r="S157" s="60">
        <f t="shared" si="307"/>
        <v>0</v>
      </c>
      <c r="T157" s="60">
        <v>1</v>
      </c>
      <c r="U157" s="60">
        <v>2</v>
      </c>
      <c r="V157" s="64">
        <f t="shared" si="350"/>
        <v>609.5</v>
      </c>
      <c r="W157" s="64"/>
      <c r="X157" s="65">
        <v>609.5</v>
      </c>
      <c r="Y157" s="64"/>
      <c r="Z157" s="60"/>
      <c r="AA157" s="64">
        <f t="shared" si="351"/>
        <v>609.5</v>
      </c>
      <c r="AB157" s="64"/>
      <c r="AC157" s="65">
        <v>609.5</v>
      </c>
      <c r="AD157" s="64"/>
      <c r="AE157" s="60"/>
      <c r="AF157" s="64">
        <f t="shared" si="352"/>
        <v>609.5</v>
      </c>
      <c r="AG157" s="64"/>
      <c r="AH157" s="65">
        <v>609.5</v>
      </c>
      <c r="AI157" s="64"/>
      <c r="AJ157" s="60"/>
      <c r="AK157" s="64">
        <f t="shared" si="353"/>
        <v>265</v>
      </c>
      <c r="AL157" s="64"/>
      <c r="AM157" s="65">
        <v>265</v>
      </c>
      <c r="AN157" s="64"/>
      <c r="AO157" s="64"/>
      <c r="AP157" s="64" t="s">
        <v>452</v>
      </c>
      <c r="AQ157" s="64">
        <f t="shared" si="354"/>
        <v>609.5</v>
      </c>
      <c r="AR157" s="64"/>
      <c r="AS157" s="65">
        <f>265+344.5</f>
        <v>609.5</v>
      </c>
      <c r="AT157" s="64"/>
      <c r="AU157" s="64"/>
      <c r="AV157" s="64">
        <f t="shared" si="293"/>
        <v>0</v>
      </c>
      <c r="AW157" s="64">
        <f t="shared" si="294"/>
        <v>0</v>
      </c>
      <c r="AX157" s="64">
        <f t="shared" si="295"/>
        <v>0</v>
      </c>
      <c r="AY157" s="64">
        <f t="shared" si="296"/>
        <v>0</v>
      </c>
      <c r="AZ157" s="64" t="e">
        <f>#REF!-AU157</f>
        <v>#REF!</v>
      </c>
      <c r="BA157" s="64">
        <f>BB157+BC157+BD157+BE157</f>
        <v>609.5</v>
      </c>
      <c r="BB157" s="64"/>
      <c r="BC157" s="65">
        <f>265+344.5</f>
        <v>609.5</v>
      </c>
      <c r="BD157" s="64"/>
      <c r="BE157" s="64"/>
      <c r="BF157" s="64">
        <f t="shared" si="356"/>
        <v>0</v>
      </c>
      <c r="BG157" s="64"/>
      <c r="BH157" s="65"/>
      <c r="BI157" s="64"/>
      <c r="BJ157" s="64"/>
      <c r="BK157" s="64">
        <f t="shared" si="357"/>
        <v>609.5</v>
      </c>
      <c r="BL157" s="64"/>
      <c r="BM157" s="65">
        <f>265+344.5</f>
        <v>609.5</v>
      </c>
      <c r="BN157" s="64"/>
      <c r="BO157" s="64"/>
      <c r="BP157" s="64">
        <f t="shared" si="358"/>
        <v>609.5</v>
      </c>
      <c r="BQ157" s="64"/>
      <c r="BR157" s="74">
        <f>222.572+44.026+342.902</f>
        <v>609.5</v>
      </c>
      <c r="BS157" s="64"/>
      <c r="BT157" s="64"/>
      <c r="BU157" s="64">
        <f t="shared" si="359"/>
        <v>203.3</v>
      </c>
      <c r="BV157" s="64"/>
      <c r="BW157" s="64">
        <f>74.18954+14.80996+114.3005</f>
        <v>203.3</v>
      </c>
      <c r="BX157" s="64"/>
      <c r="BY157" s="64"/>
      <c r="BZ157" s="60">
        <f t="shared" si="360"/>
        <v>812.8</v>
      </c>
      <c r="CA157" s="64">
        <f t="shared" si="297"/>
        <v>812.8</v>
      </c>
      <c r="CB157" s="64">
        <f t="shared" si="298"/>
        <v>0</v>
      </c>
      <c r="CC157" s="64">
        <f t="shared" si="299"/>
        <v>812.8</v>
      </c>
      <c r="CD157" s="64">
        <f t="shared" si="300"/>
        <v>0</v>
      </c>
      <c r="CE157" s="64">
        <f t="shared" si="361"/>
        <v>0</v>
      </c>
      <c r="CF157" s="64">
        <f t="shared" si="301"/>
        <v>0</v>
      </c>
      <c r="CG157" s="64">
        <f t="shared" si="302"/>
        <v>0</v>
      </c>
      <c r="CH157" s="64">
        <f t="shared" si="303"/>
        <v>0</v>
      </c>
      <c r="CI157" s="64">
        <f t="shared" si="304"/>
        <v>0</v>
      </c>
      <c r="CJ157" s="64">
        <f t="shared" si="362"/>
        <v>0</v>
      </c>
      <c r="CK157" s="66"/>
      <c r="CL157" s="67"/>
      <c r="CM157" s="67"/>
      <c r="CN157" s="64">
        <f t="shared" si="363"/>
        <v>0</v>
      </c>
      <c r="CO157" s="64"/>
      <c r="CP157" s="65"/>
      <c r="CQ157" s="64"/>
      <c r="CR157" s="64"/>
      <c r="CS157" s="64">
        <f t="shared" si="364"/>
        <v>0</v>
      </c>
      <c r="CT157" s="64"/>
      <c r="CU157" s="65"/>
      <c r="CV157" s="64"/>
      <c r="CW157" s="64"/>
      <c r="CX157" s="64">
        <f t="shared" si="365"/>
        <v>0</v>
      </c>
      <c r="CY157" s="64">
        <f t="shared" si="366"/>
        <v>0</v>
      </c>
      <c r="CZ157" s="64">
        <f t="shared" si="366"/>
        <v>0</v>
      </c>
      <c r="DA157" s="64">
        <f t="shared" si="366"/>
        <v>0</v>
      </c>
      <c r="DB157" s="64">
        <f t="shared" si="366"/>
        <v>0</v>
      </c>
      <c r="DC157" s="64"/>
      <c r="DD157" s="64"/>
      <c r="DE157" s="64"/>
      <c r="DF157" s="64">
        <f t="shared" si="367"/>
        <v>0</v>
      </c>
      <c r="DH157" s="64">
        <f t="shared" si="373"/>
        <v>609.5</v>
      </c>
      <c r="DI157" s="64">
        <f t="shared" si="368"/>
        <v>609.5</v>
      </c>
      <c r="DK157" s="64"/>
      <c r="DL157" s="64"/>
      <c r="DN157" s="64"/>
      <c r="DQ157" s="64">
        <f t="shared" si="371"/>
        <v>609.5</v>
      </c>
      <c r="DR157" s="64"/>
      <c r="DS157" s="74">
        <f>222.572+44.026+342.902</f>
        <v>609.5</v>
      </c>
      <c r="DT157" s="64"/>
      <c r="DU157" s="64"/>
      <c r="DV157" s="64">
        <f t="shared" si="372"/>
        <v>74.189539999999994</v>
      </c>
      <c r="DW157" s="64"/>
      <c r="DX157" s="64">
        <v>74.189539999999994</v>
      </c>
      <c r="DY157" s="64"/>
      <c r="DZ157" s="64"/>
      <c r="EA157" s="375"/>
      <c r="EB157" s="375"/>
      <c r="EC157" s="375"/>
      <c r="ED157" s="375"/>
      <c r="EE157" s="375"/>
      <c r="EF157" s="375"/>
      <c r="EG157" s="375"/>
      <c r="EH157" s="375"/>
      <c r="EI157" s="375"/>
      <c r="EJ157" s="375"/>
      <c r="EK157" s="375"/>
      <c r="EL157" s="375"/>
      <c r="EM157" s="375"/>
      <c r="EN157" s="375"/>
      <c r="EO157" s="375"/>
      <c r="EP157" s="375"/>
      <c r="EQ157" s="375"/>
      <c r="ER157" s="375"/>
      <c r="ES157" s="375"/>
      <c r="ET157" s="375"/>
      <c r="EU157" s="375"/>
      <c r="EV157" s="375"/>
      <c r="EW157" s="375"/>
      <c r="EX157" s="375"/>
      <c r="EY157" s="375"/>
      <c r="EZ157" s="375"/>
      <c r="FA157" s="375"/>
      <c r="FB157" s="375"/>
      <c r="FC157" s="375"/>
      <c r="FD157" s="375"/>
      <c r="FE157" s="375"/>
      <c r="FF157" s="375"/>
      <c r="FG157" s="375"/>
      <c r="FH157" s="375"/>
      <c r="FI157" s="375"/>
      <c r="FJ157" s="375"/>
      <c r="FK157" s="375"/>
      <c r="FL157" s="375"/>
      <c r="FM157" s="375"/>
      <c r="FN157" s="375"/>
      <c r="FO157" s="375"/>
      <c r="FP157" s="375"/>
      <c r="FQ157" s="375"/>
      <c r="FR157" s="375"/>
      <c r="FS157" s="375"/>
      <c r="FT157" s="375"/>
      <c r="FU157" s="375"/>
      <c r="FV157" s="375"/>
      <c r="FW157" s="375"/>
      <c r="FX157" s="375"/>
      <c r="FY157" s="375"/>
      <c r="FZ157" s="375"/>
      <c r="GA157" s="375"/>
      <c r="GB157" s="375"/>
      <c r="GC157" s="375"/>
      <c r="GD157" s="375"/>
      <c r="GE157" s="375"/>
      <c r="GF157" s="375"/>
      <c r="GG157" s="375"/>
      <c r="GH157" s="375"/>
      <c r="GI157" s="375"/>
      <c r="GJ157" s="375"/>
      <c r="GK157" s="375"/>
      <c r="GL157" s="375"/>
      <c r="GM157" s="375"/>
      <c r="GN157" s="375"/>
      <c r="GO157" s="375"/>
      <c r="GP157" s="375"/>
      <c r="GQ157" s="375"/>
      <c r="GR157" s="375"/>
    </row>
    <row r="158" spans="1:200" s="61" customFormat="1" ht="15.75" customHeight="1" x14ac:dyDescent="0.3">
      <c r="A158" s="280"/>
      <c r="B158" s="281"/>
      <c r="C158" s="282"/>
      <c r="D158" s="282">
        <v>1</v>
      </c>
      <c r="E158" s="4">
        <v>132</v>
      </c>
      <c r="F158" s="281"/>
      <c r="G158" s="282"/>
      <c r="H158" s="282">
        <v>1</v>
      </c>
      <c r="I158" s="298"/>
      <c r="J158" s="298"/>
      <c r="K158" s="298"/>
      <c r="L158" s="299"/>
      <c r="M158" s="4">
        <v>129</v>
      </c>
      <c r="N158" s="62" t="s">
        <v>115</v>
      </c>
      <c r="O158" s="62" t="s">
        <v>450</v>
      </c>
      <c r="P158" s="62" t="s">
        <v>450</v>
      </c>
      <c r="Q158" s="60">
        <f t="shared" si="305"/>
        <v>0</v>
      </c>
      <c r="R158" s="60">
        <f t="shared" si="306"/>
        <v>3.2950000000000159</v>
      </c>
      <c r="S158" s="60">
        <f t="shared" si="307"/>
        <v>0</v>
      </c>
      <c r="T158" s="60">
        <v>1</v>
      </c>
      <c r="U158" s="60">
        <v>1</v>
      </c>
      <c r="V158" s="64">
        <f t="shared" si="350"/>
        <v>326.92599999999999</v>
      </c>
      <c r="W158" s="64"/>
      <c r="X158" s="65">
        <v>326.92599999999999</v>
      </c>
      <c r="Y158" s="64"/>
      <c r="Z158" s="60"/>
      <c r="AA158" s="64">
        <f t="shared" si="351"/>
        <v>752.1</v>
      </c>
      <c r="AB158" s="64"/>
      <c r="AC158" s="65">
        <v>752.1</v>
      </c>
      <c r="AD158" s="64"/>
      <c r="AE158" s="60"/>
      <c r="AF158" s="64">
        <f t="shared" si="352"/>
        <v>752.1</v>
      </c>
      <c r="AG158" s="64"/>
      <c r="AH158" s="65">
        <v>752.1</v>
      </c>
      <c r="AI158" s="64"/>
      <c r="AJ158" s="60"/>
      <c r="AK158" s="64">
        <f t="shared" si="353"/>
        <v>327</v>
      </c>
      <c r="AL158" s="64"/>
      <c r="AM158" s="65">
        <v>327</v>
      </c>
      <c r="AN158" s="64"/>
      <c r="AO158" s="64"/>
      <c r="AP158" s="64" t="s">
        <v>514</v>
      </c>
      <c r="AQ158" s="64">
        <f t="shared" si="354"/>
        <v>326.92599999999999</v>
      </c>
      <c r="AR158" s="64"/>
      <c r="AS158" s="65">
        <v>326.92599999999999</v>
      </c>
      <c r="AT158" s="64"/>
      <c r="AU158" s="64"/>
      <c r="AV158" s="64">
        <f t="shared" si="293"/>
        <v>0</v>
      </c>
      <c r="AW158" s="64">
        <f t="shared" si="294"/>
        <v>0</v>
      </c>
      <c r="AX158" s="64">
        <f t="shared" si="295"/>
        <v>0</v>
      </c>
      <c r="AY158" s="64">
        <f t="shared" si="296"/>
        <v>0</v>
      </c>
      <c r="AZ158" s="64" t="e">
        <f>#REF!-AU158</f>
        <v>#REF!</v>
      </c>
      <c r="BA158" s="64">
        <f t="shared" si="355"/>
        <v>326.92599999999999</v>
      </c>
      <c r="BB158" s="64"/>
      <c r="BC158" s="65">
        <v>326.92599999999999</v>
      </c>
      <c r="BD158" s="64"/>
      <c r="BE158" s="64"/>
      <c r="BF158" s="64">
        <f t="shared" si="356"/>
        <v>0</v>
      </c>
      <c r="BG158" s="64"/>
      <c r="BH158" s="65"/>
      <c r="BI158" s="64"/>
      <c r="BJ158" s="64"/>
      <c r="BK158" s="64">
        <f t="shared" si="357"/>
        <v>326.92599999999999</v>
      </c>
      <c r="BL158" s="64"/>
      <c r="BM158" s="65">
        <v>326.92599999999999</v>
      </c>
      <c r="BN158" s="64"/>
      <c r="BO158" s="64"/>
      <c r="BP158" s="64">
        <f t="shared" si="358"/>
        <v>323.63099999999997</v>
      </c>
      <c r="BQ158" s="64"/>
      <c r="BR158" s="74">
        <v>323.63099999999997</v>
      </c>
      <c r="BS158" s="64"/>
      <c r="BT158" s="64"/>
      <c r="BU158" s="64">
        <f t="shared" si="359"/>
        <v>107.93574</v>
      </c>
      <c r="BV158" s="64"/>
      <c r="BW158" s="64">
        <v>107.93574</v>
      </c>
      <c r="BX158" s="64"/>
      <c r="BY158" s="64"/>
      <c r="BZ158" s="60">
        <f t="shared" si="360"/>
        <v>431.56673999999998</v>
      </c>
      <c r="CA158" s="64">
        <f t="shared" si="297"/>
        <v>431.56673999999998</v>
      </c>
      <c r="CB158" s="64">
        <f t="shared" si="298"/>
        <v>0</v>
      </c>
      <c r="CC158" s="64">
        <f t="shared" si="299"/>
        <v>431.56673999999998</v>
      </c>
      <c r="CD158" s="64">
        <f t="shared" si="300"/>
        <v>0</v>
      </c>
      <c r="CE158" s="64">
        <f t="shared" si="361"/>
        <v>0</v>
      </c>
      <c r="CF158" s="64">
        <f t="shared" si="301"/>
        <v>3.2950000000000159</v>
      </c>
      <c r="CG158" s="64">
        <f t="shared" si="302"/>
        <v>0</v>
      </c>
      <c r="CH158" s="64">
        <f t="shared" si="303"/>
        <v>3.2950000000000159</v>
      </c>
      <c r="CI158" s="64">
        <f t="shared" si="304"/>
        <v>0</v>
      </c>
      <c r="CJ158" s="64">
        <f t="shared" si="362"/>
        <v>0</v>
      </c>
      <c r="CK158" s="66"/>
      <c r="CL158" s="67">
        <f>BA154+BA155+BA158</f>
        <v>2180.1410000000001</v>
      </c>
      <c r="CM158" s="67">
        <f>CL158-BF154</f>
        <v>2180.1410000000001</v>
      </c>
      <c r="CN158" s="64">
        <f t="shared" si="363"/>
        <v>0</v>
      </c>
      <c r="CO158" s="64"/>
      <c r="CP158" s="65"/>
      <c r="CQ158" s="64"/>
      <c r="CR158" s="64"/>
      <c r="CS158" s="64">
        <f t="shared" si="364"/>
        <v>0</v>
      </c>
      <c r="CT158" s="64"/>
      <c r="CU158" s="65"/>
      <c r="CV158" s="64"/>
      <c r="CW158" s="64"/>
      <c r="CX158" s="64">
        <f t="shared" si="365"/>
        <v>0</v>
      </c>
      <c r="CY158" s="64">
        <f t="shared" si="366"/>
        <v>0</v>
      </c>
      <c r="CZ158" s="64">
        <f t="shared" si="366"/>
        <v>0</v>
      </c>
      <c r="DA158" s="64">
        <f t="shared" si="366"/>
        <v>0</v>
      </c>
      <c r="DB158" s="64">
        <f t="shared" si="366"/>
        <v>0</v>
      </c>
      <c r="DC158" s="64"/>
      <c r="DD158" s="64"/>
      <c r="DE158" s="64"/>
      <c r="DF158" s="64">
        <f t="shared" si="367"/>
        <v>3.2950000000000159</v>
      </c>
      <c r="DH158" s="64">
        <f t="shared" si="373"/>
        <v>326.92599999999999</v>
      </c>
      <c r="DI158" s="64">
        <f t="shared" si="368"/>
        <v>323.63099999999997</v>
      </c>
      <c r="DK158" s="64">
        <f>DI154+DI155+DI158</f>
        <v>2176.846</v>
      </c>
      <c r="DL158" s="64">
        <f>DF154+DF155+DF158</f>
        <v>3.2950000000000159</v>
      </c>
      <c r="DN158" s="64">
        <f>CM158-DK158</f>
        <v>3.2950000000000728</v>
      </c>
      <c r="DQ158" s="64">
        <f t="shared" si="371"/>
        <v>323.63099999999997</v>
      </c>
      <c r="DR158" s="64"/>
      <c r="DS158" s="74">
        <v>323.63099999999997</v>
      </c>
      <c r="DT158" s="64"/>
      <c r="DU158" s="64"/>
      <c r="DV158" s="64">
        <f t="shared" si="372"/>
        <v>107.93574</v>
      </c>
      <c r="DW158" s="64"/>
      <c r="DX158" s="64">
        <v>107.93574</v>
      </c>
      <c r="DY158" s="64"/>
      <c r="DZ158" s="64"/>
      <c r="EA158" s="375"/>
      <c r="EB158" s="375"/>
      <c r="EC158" s="375"/>
      <c r="ED158" s="375"/>
      <c r="EE158" s="375"/>
      <c r="EF158" s="375"/>
      <c r="EG158" s="375"/>
      <c r="EH158" s="375"/>
      <c r="EI158" s="375"/>
      <c r="EJ158" s="375"/>
      <c r="EK158" s="375"/>
      <c r="EL158" s="375"/>
      <c r="EM158" s="375"/>
      <c r="EN158" s="375"/>
      <c r="EO158" s="375"/>
      <c r="EP158" s="375"/>
      <c r="EQ158" s="375"/>
      <c r="ER158" s="375"/>
      <c r="ES158" s="375"/>
      <c r="ET158" s="375"/>
      <c r="EU158" s="375"/>
      <c r="EV158" s="375"/>
      <c r="EW158" s="375"/>
      <c r="EX158" s="375"/>
      <c r="EY158" s="375"/>
      <c r="EZ158" s="375"/>
      <c r="FA158" s="375"/>
      <c r="FB158" s="375"/>
      <c r="FC158" s="375"/>
      <c r="FD158" s="375"/>
      <c r="FE158" s="375"/>
      <c r="FF158" s="375"/>
      <c r="FG158" s="375"/>
      <c r="FH158" s="375"/>
      <c r="FI158" s="375"/>
      <c r="FJ158" s="375"/>
      <c r="FK158" s="375"/>
      <c r="FL158" s="375"/>
      <c r="FM158" s="375"/>
      <c r="FN158" s="375"/>
      <c r="FO158" s="375"/>
      <c r="FP158" s="375"/>
      <c r="FQ158" s="375"/>
      <c r="FR158" s="375"/>
      <c r="FS158" s="375"/>
      <c r="FT158" s="375"/>
      <c r="FU158" s="375"/>
      <c r="FV158" s="375"/>
      <c r="FW158" s="375"/>
      <c r="FX158" s="375"/>
      <c r="FY158" s="375"/>
      <c r="FZ158" s="375"/>
      <c r="GA158" s="375"/>
      <c r="GB158" s="375"/>
      <c r="GC158" s="375"/>
      <c r="GD158" s="375"/>
      <c r="GE158" s="375"/>
      <c r="GF158" s="375"/>
      <c r="GG158" s="375"/>
      <c r="GH158" s="375"/>
      <c r="GI158" s="375"/>
      <c r="GJ158" s="375"/>
      <c r="GK158" s="375"/>
      <c r="GL158" s="375"/>
      <c r="GM158" s="375"/>
      <c r="GN158" s="375"/>
      <c r="GO158" s="375"/>
      <c r="GP158" s="375"/>
      <c r="GQ158" s="375"/>
      <c r="GR158" s="375"/>
    </row>
    <row r="159" spans="1:200" s="48" customFormat="1" ht="26.25" customHeight="1" x14ac:dyDescent="0.3">
      <c r="A159" s="276"/>
      <c r="B159" s="277"/>
      <c r="C159" s="278"/>
      <c r="D159" s="278"/>
      <c r="E159" s="279"/>
      <c r="F159" s="277"/>
      <c r="G159" s="278"/>
      <c r="H159" s="278"/>
      <c r="I159" s="276"/>
      <c r="J159" s="276"/>
      <c r="K159" s="276"/>
      <c r="L159" s="276"/>
      <c r="M159" s="279"/>
      <c r="N159" s="42" t="s">
        <v>21</v>
      </c>
      <c r="O159" s="42"/>
      <c r="P159" s="42"/>
      <c r="Q159" s="43">
        <f t="shared" si="305"/>
        <v>0</v>
      </c>
      <c r="R159" s="43">
        <f t="shared" si="306"/>
        <v>1570.22703</v>
      </c>
      <c r="S159" s="43">
        <f t="shared" si="307"/>
        <v>5200.2732799999994</v>
      </c>
      <c r="T159" s="43">
        <f>T160+T161+T162+T163+T164+T165+T166+T167+T168+T169+T170+T172+T171+T173+T174+T175+T176</f>
        <v>16</v>
      </c>
      <c r="U159" s="43">
        <f>U160+U161+U162+U163+U164+U165+U166+U167+U168+U169+U170+U172+U171+U173+U174+U175+U176</f>
        <v>19</v>
      </c>
      <c r="V159" s="43">
        <f t="shared" ref="V159:Z159" si="374">SUM(V160:V176)-V161</f>
        <v>21689.940000000006</v>
      </c>
      <c r="W159" s="43">
        <f t="shared" si="374"/>
        <v>0</v>
      </c>
      <c r="X159" s="43">
        <f t="shared" si="374"/>
        <v>10426.159999999998</v>
      </c>
      <c r="Y159" s="43">
        <f t="shared" si="374"/>
        <v>11263.779999999999</v>
      </c>
      <c r="Z159" s="43">
        <f t="shared" si="374"/>
        <v>0</v>
      </c>
      <c r="AA159" s="43">
        <f t="shared" ref="AA159:AE159" si="375">SUM(AA160:AA176)-AA161</f>
        <v>21839.518000000004</v>
      </c>
      <c r="AB159" s="43">
        <f t="shared" si="375"/>
        <v>0</v>
      </c>
      <c r="AC159" s="43">
        <f t="shared" si="375"/>
        <v>10575.4</v>
      </c>
      <c r="AD159" s="43">
        <f t="shared" si="375"/>
        <v>11264.118</v>
      </c>
      <c r="AE159" s="43">
        <f t="shared" si="375"/>
        <v>0</v>
      </c>
      <c r="AF159" s="43">
        <f t="shared" ref="AF159:AJ159" si="376">SUM(AF160:AF176)-AF161</f>
        <v>18825.400000000005</v>
      </c>
      <c r="AG159" s="43">
        <f t="shared" si="376"/>
        <v>0</v>
      </c>
      <c r="AH159" s="43">
        <f t="shared" si="376"/>
        <v>10575.4</v>
      </c>
      <c r="AI159" s="43">
        <f t="shared" si="376"/>
        <v>8250</v>
      </c>
      <c r="AJ159" s="43">
        <f t="shared" si="376"/>
        <v>0</v>
      </c>
      <c r="AK159" s="45">
        <f t="shared" ref="AK159:AO159" si="377">SUM(AK160:AK176)-AK161</f>
        <v>12848</v>
      </c>
      <c r="AL159" s="43">
        <f t="shared" si="377"/>
        <v>0</v>
      </c>
      <c r="AM159" s="43">
        <f t="shared" si="377"/>
        <v>4598</v>
      </c>
      <c r="AN159" s="43">
        <f t="shared" si="377"/>
        <v>8250</v>
      </c>
      <c r="AO159" s="43">
        <f t="shared" si="377"/>
        <v>0</v>
      </c>
      <c r="AP159" s="44"/>
      <c r="AQ159" s="43">
        <f>SUM(AQ160:AQ176)-AQ161</f>
        <v>21689.940000000006</v>
      </c>
      <c r="AR159" s="43">
        <f>SUM(AR160:AR176)-AR161</f>
        <v>0</v>
      </c>
      <c r="AS159" s="43">
        <f>SUM(AS160:AS176)-AS161</f>
        <v>10426.159999999998</v>
      </c>
      <c r="AT159" s="43">
        <f>SUM(AT160:AT176)-AT161</f>
        <v>11263.779999999999</v>
      </c>
      <c r="AU159" s="43">
        <f>SUM(AU160:AU176)-AU161</f>
        <v>0</v>
      </c>
      <c r="AV159" s="43">
        <f t="shared" si="293"/>
        <v>0</v>
      </c>
      <c r="AW159" s="43">
        <f t="shared" si="294"/>
        <v>0</v>
      </c>
      <c r="AX159" s="43">
        <f t="shared" si="295"/>
        <v>0</v>
      </c>
      <c r="AY159" s="43">
        <f t="shared" si="296"/>
        <v>0</v>
      </c>
      <c r="AZ159" s="43" t="e">
        <f t="shared" ref="AZ159:BE159" si="378">SUM(AZ160:AZ176)-AZ161</f>
        <v>#REF!</v>
      </c>
      <c r="BA159" s="43">
        <f t="shared" si="378"/>
        <v>21689.940000000006</v>
      </c>
      <c r="BB159" s="43">
        <f t="shared" si="378"/>
        <v>0</v>
      </c>
      <c r="BC159" s="43">
        <f t="shared" si="378"/>
        <v>10426.159999999998</v>
      </c>
      <c r="BD159" s="43">
        <f t="shared" si="378"/>
        <v>11263.779999999999</v>
      </c>
      <c r="BE159" s="43">
        <f t="shared" si="378"/>
        <v>0</v>
      </c>
      <c r="BF159" s="43">
        <f t="shared" ref="BF159:CJ159" si="379">SUM(BF160:BF176)-BF161</f>
        <v>0</v>
      </c>
      <c r="BG159" s="43">
        <f t="shared" si="379"/>
        <v>0</v>
      </c>
      <c r="BH159" s="43">
        <f t="shared" si="379"/>
        <v>0</v>
      </c>
      <c r="BI159" s="43">
        <f t="shared" si="379"/>
        <v>0</v>
      </c>
      <c r="BJ159" s="43">
        <f t="shared" si="379"/>
        <v>0</v>
      </c>
      <c r="BK159" s="43">
        <f t="shared" si="379"/>
        <v>21689.940000000006</v>
      </c>
      <c r="BL159" s="43">
        <f t="shared" si="379"/>
        <v>0</v>
      </c>
      <c r="BM159" s="43">
        <f t="shared" si="379"/>
        <v>10426.159999999998</v>
      </c>
      <c r="BN159" s="43">
        <f t="shared" si="379"/>
        <v>11263.779999999999</v>
      </c>
      <c r="BO159" s="43">
        <f t="shared" si="379"/>
        <v>0</v>
      </c>
      <c r="BP159" s="43">
        <f t="shared" si="379"/>
        <v>14919.439689999999</v>
      </c>
      <c r="BQ159" s="43">
        <f t="shared" si="379"/>
        <v>0</v>
      </c>
      <c r="BR159" s="43">
        <f t="shared" si="379"/>
        <v>8855.932969999998</v>
      </c>
      <c r="BS159" s="43">
        <f t="shared" si="379"/>
        <v>6063.5067199999994</v>
      </c>
      <c r="BT159" s="43">
        <f t="shared" si="379"/>
        <v>0</v>
      </c>
      <c r="BU159" s="45">
        <f t="shared" si="379"/>
        <v>6932.16435</v>
      </c>
      <c r="BV159" s="304">
        <f t="shared" si="379"/>
        <v>0</v>
      </c>
      <c r="BW159" s="304">
        <f t="shared" si="379"/>
        <v>4910.9931200000001</v>
      </c>
      <c r="BX159" s="304">
        <f t="shared" si="379"/>
        <v>2021.1712299999999</v>
      </c>
      <c r="BY159" s="43">
        <f t="shared" si="379"/>
        <v>0</v>
      </c>
      <c r="BZ159" s="43">
        <f t="shared" si="379"/>
        <v>21851.604040000002</v>
      </c>
      <c r="CA159" s="43">
        <f t="shared" si="297"/>
        <v>21851.604039999998</v>
      </c>
      <c r="CB159" s="43">
        <f t="shared" si="298"/>
        <v>0</v>
      </c>
      <c r="CC159" s="43">
        <f t="shared" si="299"/>
        <v>13766.926089999997</v>
      </c>
      <c r="CD159" s="43">
        <f t="shared" si="300"/>
        <v>8084.6779499999993</v>
      </c>
      <c r="CE159" s="43">
        <f t="shared" si="379"/>
        <v>0</v>
      </c>
      <c r="CF159" s="43">
        <f t="shared" si="301"/>
        <v>6770.5003099999994</v>
      </c>
      <c r="CG159" s="43">
        <f t="shared" si="302"/>
        <v>0</v>
      </c>
      <c r="CH159" s="43">
        <f t="shared" si="303"/>
        <v>1570.22703</v>
      </c>
      <c r="CI159" s="43">
        <f t="shared" si="304"/>
        <v>5200.2732799999994</v>
      </c>
      <c r="CJ159" s="43">
        <f t="shared" si="379"/>
        <v>0</v>
      </c>
      <c r="CK159" s="46">
        <f>CL159+CN159-BF159</f>
        <v>21689.940000000006</v>
      </c>
      <c r="CL159" s="47">
        <f t="shared" ref="CL159:DF159" si="380">SUM(CL160:CL176)-CL161</f>
        <v>21689.940000000006</v>
      </c>
      <c r="CM159" s="47">
        <f t="shared" si="380"/>
        <v>21689.940000000006</v>
      </c>
      <c r="CN159" s="43">
        <f t="shared" si="380"/>
        <v>0</v>
      </c>
      <c r="CO159" s="43">
        <f t="shared" si="380"/>
        <v>0</v>
      </c>
      <c r="CP159" s="43">
        <f t="shared" si="380"/>
        <v>0</v>
      </c>
      <c r="CQ159" s="43">
        <f t="shared" si="380"/>
        <v>0</v>
      </c>
      <c r="CR159" s="43">
        <f t="shared" si="380"/>
        <v>0</v>
      </c>
      <c r="CS159" s="43">
        <f t="shared" si="380"/>
        <v>0</v>
      </c>
      <c r="CT159" s="43">
        <f t="shared" si="380"/>
        <v>0</v>
      </c>
      <c r="CU159" s="43">
        <f t="shared" si="380"/>
        <v>0</v>
      </c>
      <c r="CV159" s="43">
        <f t="shared" si="380"/>
        <v>0</v>
      </c>
      <c r="CW159" s="43">
        <f t="shared" si="380"/>
        <v>0</v>
      </c>
      <c r="CX159" s="43">
        <f t="shared" si="380"/>
        <v>0</v>
      </c>
      <c r="CY159" s="43">
        <f t="shared" si="380"/>
        <v>0</v>
      </c>
      <c r="CZ159" s="43">
        <f t="shared" si="380"/>
        <v>0</v>
      </c>
      <c r="DA159" s="43">
        <f t="shared" si="380"/>
        <v>0</v>
      </c>
      <c r="DB159" s="43">
        <f t="shared" si="380"/>
        <v>0</v>
      </c>
      <c r="DC159" s="43">
        <f t="shared" si="380"/>
        <v>0</v>
      </c>
      <c r="DD159" s="43">
        <f t="shared" si="380"/>
        <v>0</v>
      </c>
      <c r="DE159" s="43">
        <f t="shared" si="380"/>
        <v>0</v>
      </c>
      <c r="DF159" s="43">
        <f t="shared" si="380"/>
        <v>6770.5003100000004</v>
      </c>
      <c r="DH159" s="43">
        <f>SUM(DH160:DH176)-DH161</f>
        <v>21689.940000000006</v>
      </c>
      <c r="DI159" s="43">
        <f>SUM(DI160:DI176)-DI161</f>
        <v>14919.439689999999</v>
      </c>
      <c r="DK159" s="43">
        <f>SUM(DK160:DK176)-DK161</f>
        <v>14919.439689999999</v>
      </c>
      <c r="DL159" s="43">
        <f>SUM(DL160:DL176)-DL161</f>
        <v>6770.5003100000004</v>
      </c>
      <c r="DN159" s="43">
        <f>SUM(DN160:DN176)-DN161</f>
        <v>6770.5003100000058</v>
      </c>
      <c r="DO159" s="49">
        <f>DF159-DN159</f>
        <v>0</v>
      </c>
      <c r="DP159" s="49"/>
      <c r="DQ159" s="43">
        <f>SUM(DQ160:DQ176)-DQ161</f>
        <v>13792.397940000001</v>
      </c>
      <c r="DR159" s="43">
        <f t="shared" ref="DR159:DU159" si="381">SUM(DR160:DR176)-DR161</f>
        <v>0</v>
      </c>
      <c r="DS159" s="43">
        <f t="shared" si="381"/>
        <v>8855.932969999998</v>
      </c>
      <c r="DT159" s="43">
        <f t="shared" si="381"/>
        <v>4936.46497</v>
      </c>
      <c r="DU159" s="43">
        <f t="shared" si="381"/>
        <v>0</v>
      </c>
      <c r="DV159" s="43">
        <f>SUM(DV160:DV176)-DV161</f>
        <v>2529.6757699999998</v>
      </c>
      <c r="DW159" s="43">
        <f t="shared" ref="DW159:DZ159" si="382">SUM(DW160:DW176)-DW161</f>
        <v>0</v>
      </c>
      <c r="DX159" s="43">
        <f t="shared" si="382"/>
        <v>884.1874499999999</v>
      </c>
      <c r="DY159" s="43">
        <f t="shared" si="382"/>
        <v>1645.4883199999999</v>
      </c>
      <c r="DZ159" s="43">
        <f t="shared" si="382"/>
        <v>0</v>
      </c>
      <c r="EA159" s="372"/>
      <c r="EB159" s="372"/>
      <c r="EC159" s="372"/>
      <c r="ED159" s="372"/>
      <c r="EE159" s="372"/>
      <c r="EF159" s="372"/>
      <c r="EG159" s="372"/>
      <c r="EH159" s="372"/>
      <c r="EI159" s="372"/>
      <c r="EJ159" s="372"/>
      <c r="EK159" s="372"/>
      <c r="EL159" s="372"/>
      <c r="EM159" s="372"/>
      <c r="EN159" s="372"/>
      <c r="EO159" s="372"/>
      <c r="EP159" s="372"/>
      <c r="EQ159" s="372"/>
      <c r="ER159" s="372"/>
      <c r="ES159" s="372"/>
      <c r="ET159" s="372"/>
      <c r="EU159" s="372"/>
      <c r="EV159" s="372"/>
      <c r="EW159" s="372"/>
      <c r="EX159" s="372"/>
      <c r="EY159" s="372"/>
      <c r="EZ159" s="372"/>
      <c r="FA159" s="372"/>
      <c r="FB159" s="372"/>
      <c r="FC159" s="372"/>
      <c r="FD159" s="372"/>
      <c r="FE159" s="372"/>
      <c r="FF159" s="372"/>
      <c r="FG159" s="372"/>
      <c r="FH159" s="372"/>
      <c r="FI159" s="372"/>
      <c r="FJ159" s="372"/>
      <c r="FK159" s="372"/>
      <c r="FL159" s="372"/>
      <c r="FM159" s="372"/>
      <c r="FN159" s="372"/>
      <c r="FO159" s="372"/>
      <c r="FP159" s="372"/>
      <c r="FQ159" s="372"/>
      <c r="FR159" s="372"/>
      <c r="FS159" s="372"/>
      <c r="FT159" s="372"/>
      <c r="FU159" s="372"/>
      <c r="FV159" s="372"/>
      <c r="FW159" s="372"/>
      <c r="FX159" s="372"/>
      <c r="FY159" s="372"/>
      <c r="FZ159" s="372"/>
      <c r="GA159" s="372"/>
      <c r="GB159" s="372"/>
      <c r="GC159" s="372"/>
      <c r="GD159" s="372"/>
      <c r="GE159" s="372"/>
      <c r="GF159" s="372"/>
      <c r="GG159" s="372"/>
      <c r="GH159" s="372"/>
      <c r="GI159" s="372"/>
      <c r="GJ159" s="372"/>
      <c r="GK159" s="372"/>
      <c r="GL159" s="372"/>
      <c r="GM159" s="372"/>
      <c r="GN159" s="372"/>
      <c r="GO159" s="372"/>
      <c r="GP159" s="372"/>
      <c r="GQ159" s="372"/>
      <c r="GR159" s="372"/>
    </row>
    <row r="160" spans="1:200" s="61" customFormat="1" ht="15.75" customHeight="1" x14ac:dyDescent="0.3">
      <c r="A160" s="280"/>
      <c r="B160" s="281">
        <v>1</v>
      </c>
      <c r="C160" s="282"/>
      <c r="D160" s="282"/>
      <c r="E160" s="4">
        <v>133</v>
      </c>
      <c r="F160" s="281">
        <v>1</v>
      </c>
      <c r="G160" s="282"/>
      <c r="H160" s="282">
        <v>1</v>
      </c>
      <c r="I160" s="280"/>
      <c r="J160" s="280"/>
      <c r="K160" s="280"/>
      <c r="L160" s="280"/>
      <c r="M160" s="4">
        <v>130</v>
      </c>
      <c r="N160" s="62" t="s">
        <v>232</v>
      </c>
      <c r="O160" s="62" t="s">
        <v>448</v>
      </c>
      <c r="P160" s="62" t="s">
        <v>450</v>
      </c>
      <c r="Q160" s="60">
        <f t="shared" si="305"/>
        <v>0</v>
      </c>
      <c r="R160" s="60">
        <f t="shared" si="306"/>
        <v>1051.0999999999999</v>
      </c>
      <c r="S160" s="60">
        <f t="shared" si="307"/>
        <v>4630</v>
      </c>
      <c r="T160" s="60">
        <v>1</v>
      </c>
      <c r="U160" s="60">
        <v>2</v>
      </c>
      <c r="V160" s="64">
        <f t="shared" ref="V160:V176" si="383">W160+X160+Y160+Z160</f>
        <v>5681.1</v>
      </c>
      <c r="W160" s="64"/>
      <c r="X160" s="65">
        <v>1051.0999999999999</v>
      </c>
      <c r="Y160" s="73">
        <v>4630</v>
      </c>
      <c r="Z160" s="60"/>
      <c r="AA160" s="64">
        <f t="shared" ref="AA160:AA176" si="384">AB160+AC160+AD160+AE160</f>
        <v>5681.1</v>
      </c>
      <c r="AB160" s="64"/>
      <c r="AC160" s="65">
        <v>1051.0999999999999</v>
      </c>
      <c r="AD160" s="73">
        <v>4630</v>
      </c>
      <c r="AE160" s="60"/>
      <c r="AF160" s="64">
        <f t="shared" ref="AF160:AF176" si="385">AG160+AH160+AI160+AJ160</f>
        <v>1051.0999999999999</v>
      </c>
      <c r="AG160" s="64"/>
      <c r="AH160" s="65">
        <v>1051.0999999999999</v>
      </c>
      <c r="AI160" s="73"/>
      <c r="AJ160" s="60"/>
      <c r="AK160" s="64">
        <f t="shared" ref="AK160:AK176" si="386">AL160+AM160+AN160+AO160</f>
        <v>453</v>
      </c>
      <c r="AL160" s="64"/>
      <c r="AM160" s="65">
        <v>453</v>
      </c>
      <c r="AN160" s="73"/>
      <c r="AO160" s="106"/>
      <c r="AP160" s="60" t="s">
        <v>404</v>
      </c>
      <c r="AQ160" s="64">
        <f t="shared" ref="AQ160:AQ176" si="387">AR160+AS160+AT160+AU160</f>
        <v>5681.1</v>
      </c>
      <c r="AR160" s="64"/>
      <c r="AS160" s="65">
        <f>330+721.1</f>
        <v>1051.0999999999999</v>
      </c>
      <c r="AT160" s="73">
        <v>4630</v>
      </c>
      <c r="AU160" s="64"/>
      <c r="AV160" s="64">
        <f t="shared" si="293"/>
        <v>0</v>
      </c>
      <c r="AW160" s="64">
        <f t="shared" si="294"/>
        <v>0</v>
      </c>
      <c r="AX160" s="64">
        <f t="shared" si="295"/>
        <v>0</v>
      </c>
      <c r="AY160" s="64">
        <f t="shared" si="296"/>
        <v>0</v>
      </c>
      <c r="AZ160" s="64" t="e">
        <f>#REF!-AU160</f>
        <v>#REF!</v>
      </c>
      <c r="BA160" s="64">
        <f t="shared" ref="BA160:BA176" si="388">BB160+BC160+BD160+BE160</f>
        <v>5681.1</v>
      </c>
      <c r="BB160" s="64"/>
      <c r="BC160" s="65">
        <f>330+721.1</f>
        <v>1051.0999999999999</v>
      </c>
      <c r="BD160" s="73">
        <v>4630</v>
      </c>
      <c r="BE160" s="64"/>
      <c r="BF160" s="64">
        <f t="shared" ref="BF160:BF176" si="389">BG160+BH160+BI160+BJ160</f>
        <v>0</v>
      </c>
      <c r="BG160" s="64"/>
      <c r="BH160" s="65"/>
      <c r="BI160" s="73"/>
      <c r="BJ160" s="64"/>
      <c r="BK160" s="64">
        <f t="shared" ref="BK160:BK176" si="390">BL160+BM160+BN160+BO160</f>
        <v>5681.1</v>
      </c>
      <c r="BL160" s="64"/>
      <c r="BM160" s="65">
        <f>330+721.1</f>
        <v>1051.0999999999999</v>
      </c>
      <c r="BN160" s="73">
        <v>4630</v>
      </c>
      <c r="BO160" s="64"/>
      <c r="BP160" s="64">
        <f t="shared" ref="BP160:BP176" si="391">BQ160+BR160+BS160+BT160</f>
        <v>0</v>
      </c>
      <c r="BQ160" s="64"/>
      <c r="BR160" s="74"/>
      <c r="BS160" s="74"/>
      <c r="BT160" s="64"/>
      <c r="BU160" s="64">
        <f t="shared" si="359"/>
        <v>0</v>
      </c>
      <c r="BV160" s="64"/>
      <c r="BW160" s="64"/>
      <c r="BX160" s="64"/>
      <c r="BY160" s="64"/>
      <c r="BZ160" s="60">
        <f t="shared" ref="BZ160:BZ176" si="392">CA160</f>
        <v>0</v>
      </c>
      <c r="CA160" s="64">
        <f t="shared" si="297"/>
        <v>0</v>
      </c>
      <c r="CB160" s="64">
        <f t="shared" si="298"/>
        <v>0</v>
      </c>
      <c r="CC160" s="64">
        <f t="shared" si="299"/>
        <v>0</v>
      </c>
      <c r="CD160" s="64">
        <f t="shared" si="300"/>
        <v>0</v>
      </c>
      <c r="CE160" s="64">
        <f t="shared" ref="CE160:CE176" si="393">BT160+BY160</f>
        <v>0</v>
      </c>
      <c r="CF160" s="64">
        <f t="shared" si="301"/>
        <v>5681.1</v>
      </c>
      <c r="CG160" s="64">
        <f t="shared" si="302"/>
        <v>0</v>
      </c>
      <c r="CH160" s="64">
        <f t="shared" si="303"/>
        <v>1051.0999999999999</v>
      </c>
      <c r="CI160" s="64">
        <f t="shared" si="304"/>
        <v>4630</v>
      </c>
      <c r="CJ160" s="64">
        <f t="shared" ref="CJ160:CJ176" si="394">BO160-BT160</f>
        <v>0</v>
      </c>
      <c r="CK160" s="66"/>
      <c r="CL160" s="67">
        <f>BA160</f>
        <v>5681.1</v>
      </c>
      <c r="CM160" s="67">
        <f>CL160</f>
        <v>5681.1</v>
      </c>
      <c r="CN160" s="64">
        <f t="shared" ref="CN160:CN176" si="395">CO160+CP160+CQ160+CR160</f>
        <v>0</v>
      </c>
      <c r="CO160" s="64"/>
      <c r="CP160" s="65"/>
      <c r="CQ160" s="73"/>
      <c r="CR160" s="64"/>
      <c r="CS160" s="64">
        <f t="shared" ref="CS160:CS176" si="396">CT160+CU160+CV160+CW160</f>
        <v>0</v>
      </c>
      <c r="CT160" s="64"/>
      <c r="CU160" s="65"/>
      <c r="CV160" s="73"/>
      <c r="CW160" s="64"/>
      <c r="CX160" s="64">
        <f t="shared" ref="CX160:CX176" si="397">CY160+CZ160+DA160+DB160</f>
        <v>0</v>
      </c>
      <c r="CY160" s="64">
        <f t="shared" ref="CY160:DB176" si="398">CO160-CT160</f>
        <v>0</v>
      </c>
      <c r="CZ160" s="64">
        <f t="shared" si="398"/>
        <v>0</v>
      </c>
      <c r="DA160" s="64">
        <f t="shared" si="398"/>
        <v>0</v>
      </c>
      <c r="DB160" s="64">
        <f t="shared" si="398"/>
        <v>0</v>
      </c>
      <c r="DC160" s="64"/>
      <c r="DD160" s="64"/>
      <c r="DE160" s="64"/>
      <c r="DF160" s="64">
        <f t="shared" ref="DF160:DF176" si="399">CF160+CX160+DE160</f>
        <v>5681.1</v>
      </c>
      <c r="DH160" s="64">
        <f t="shared" ref="DH160:DH176" si="400">BK160+CN160+DC160</f>
        <v>5681.1</v>
      </c>
      <c r="DI160" s="64">
        <f t="shared" ref="DI160:DI176" si="401">BP160+CS160+DD160</f>
        <v>0</v>
      </c>
      <c r="DK160" s="64">
        <f t="shared" ref="DK160:DK161" si="402">DI160</f>
        <v>0</v>
      </c>
      <c r="DL160" s="64">
        <f t="shared" ref="DL160:DL161" si="403">DF160</f>
        <v>5681.1</v>
      </c>
      <c r="DN160" s="64">
        <f>CM160-DK160</f>
        <v>5681.1</v>
      </c>
      <c r="DQ160" s="64">
        <f t="shared" ref="DQ160:DQ176" si="404">DR160+DS160+DT160+DU160</f>
        <v>0</v>
      </c>
      <c r="DR160" s="64"/>
      <c r="DS160" s="74"/>
      <c r="DT160" s="74"/>
      <c r="DU160" s="64"/>
      <c r="DV160" s="64">
        <f t="shared" ref="DV160:DV176" si="405">DW160+DX160+DY160+DZ160</f>
        <v>0</v>
      </c>
      <c r="DW160" s="64"/>
      <c r="DX160" s="64"/>
      <c r="DY160" s="64"/>
      <c r="DZ160" s="64"/>
      <c r="EA160" s="375"/>
      <c r="EB160" s="375"/>
      <c r="EC160" s="375"/>
      <c r="ED160" s="375"/>
      <c r="EE160" s="375"/>
      <c r="EF160" s="375"/>
      <c r="EG160" s="375"/>
      <c r="EH160" s="375"/>
      <c r="EI160" s="375"/>
      <c r="EJ160" s="375"/>
      <c r="EK160" s="375"/>
      <c r="EL160" s="375"/>
      <c r="EM160" s="375"/>
      <c r="EN160" s="375"/>
      <c r="EO160" s="375"/>
      <c r="EP160" s="375"/>
      <c r="EQ160" s="375"/>
      <c r="ER160" s="375"/>
      <c r="ES160" s="375"/>
      <c r="ET160" s="375"/>
      <c r="EU160" s="375"/>
      <c r="EV160" s="375"/>
      <c r="EW160" s="375"/>
      <c r="EX160" s="375"/>
      <c r="EY160" s="375"/>
      <c r="EZ160" s="375"/>
      <c r="FA160" s="375"/>
      <c r="FB160" s="375"/>
      <c r="FC160" s="375"/>
      <c r="FD160" s="375"/>
      <c r="FE160" s="375"/>
      <c r="FF160" s="375"/>
      <c r="FG160" s="375"/>
      <c r="FH160" s="375"/>
      <c r="FI160" s="375"/>
      <c r="FJ160" s="375"/>
      <c r="FK160" s="375"/>
      <c r="FL160" s="375"/>
      <c r="FM160" s="375"/>
      <c r="FN160" s="375"/>
      <c r="FO160" s="375"/>
      <c r="FP160" s="375"/>
      <c r="FQ160" s="375"/>
      <c r="FR160" s="375"/>
      <c r="FS160" s="375"/>
      <c r="FT160" s="375"/>
      <c r="FU160" s="375"/>
      <c r="FV160" s="375"/>
      <c r="FW160" s="375"/>
      <c r="FX160" s="375"/>
      <c r="FY160" s="375"/>
      <c r="FZ160" s="375"/>
      <c r="GA160" s="375"/>
      <c r="GB160" s="375"/>
      <c r="GC160" s="375"/>
      <c r="GD160" s="375"/>
      <c r="GE160" s="375"/>
      <c r="GF160" s="375"/>
      <c r="GG160" s="375"/>
      <c r="GH160" s="375"/>
      <c r="GI160" s="375"/>
      <c r="GJ160" s="375"/>
      <c r="GK160" s="375"/>
      <c r="GL160" s="375"/>
      <c r="GM160" s="375"/>
      <c r="GN160" s="375"/>
      <c r="GO160" s="375"/>
      <c r="GP160" s="375"/>
      <c r="GQ160" s="375"/>
      <c r="GR160" s="375"/>
    </row>
    <row r="161" spans="1:200" s="61" customFormat="1" ht="0.75" customHeight="1" x14ac:dyDescent="0.3">
      <c r="A161" s="280"/>
      <c r="B161" s="281"/>
      <c r="C161" s="282"/>
      <c r="D161" s="282"/>
      <c r="E161" s="4"/>
      <c r="F161" s="281"/>
      <c r="G161" s="282"/>
      <c r="H161" s="282"/>
      <c r="I161" s="280"/>
      <c r="J161" s="280"/>
      <c r="K161" s="280"/>
      <c r="L161" s="280"/>
      <c r="M161" s="4"/>
      <c r="N161" s="371" t="s">
        <v>249</v>
      </c>
      <c r="O161" s="69"/>
      <c r="P161" s="69"/>
      <c r="Q161" s="70">
        <f t="shared" si="305"/>
        <v>0</v>
      </c>
      <c r="R161" s="70">
        <f t="shared" si="306"/>
        <v>0</v>
      </c>
      <c r="S161" s="70">
        <f t="shared" si="307"/>
        <v>0</v>
      </c>
      <c r="T161" s="69"/>
      <c r="U161" s="69"/>
      <c r="V161" s="64">
        <f t="shared" si="383"/>
        <v>0</v>
      </c>
      <c r="W161" s="64"/>
      <c r="X161" s="71"/>
      <c r="Y161" s="64"/>
      <c r="Z161" s="60"/>
      <c r="AA161" s="64">
        <f t="shared" si="384"/>
        <v>0</v>
      </c>
      <c r="AB161" s="64"/>
      <c r="AC161" s="71"/>
      <c r="AD161" s="64"/>
      <c r="AE161" s="60"/>
      <c r="AF161" s="64">
        <f t="shared" si="385"/>
        <v>0</v>
      </c>
      <c r="AG161" s="64"/>
      <c r="AH161" s="71"/>
      <c r="AI161" s="64"/>
      <c r="AJ161" s="60"/>
      <c r="AK161" s="64">
        <f t="shared" si="386"/>
        <v>0</v>
      </c>
      <c r="AL161" s="64"/>
      <c r="AM161" s="71"/>
      <c r="AN161" s="64"/>
      <c r="AO161" s="106"/>
      <c r="AP161" s="60"/>
      <c r="AQ161" s="64">
        <f t="shared" si="387"/>
        <v>0</v>
      </c>
      <c r="AR161" s="64"/>
      <c r="AS161" s="71"/>
      <c r="AT161" s="64"/>
      <c r="AU161" s="64"/>
      <c r="AV161" s="64">
        <f t="shared" si="293"/>
        <v>0</v>
      </c>
      <c r="AW161" s="64">
        <f t="shared" si="294"/>
        <v>0</v>
      </c>
      <c r="AX161" s="64">
        <f t="shared" si="295"/>
        <v>0</v>
      </c>
      <c r="AY161" s="64">
        <f t="shared" si="296"/>
        <v>0</v>
      </c>
      <c r="AZ161" s="64" t="e">
        <f>#REF!-AU161</f>
        <v>#REF!</v>
      </c>
      <c r="BA161" s="64">
        <f t="shared" si="388"/>
        <v>0</v>
      </c>
      <c r="BB161" s="64"/>
      <c r="BC161" s="71"/>
      <c r="BD161" s="64"/>
      <c r="BE161" s="64"/>
      <c r="BF161" s="64">
        <f t="shared" si="389"/>
        <v>0</v>
      </c>
      <c r="BG161" s="64"/>
      <c r="BH161" s="71"/>
      <c r="BI161" s="64"/>
      <c r="BJ161" s="64"/>
      <c r="BK161" s="64">
        <f t="shared" si="390"/>
        <v>0</v>
      </c>
      <c r="BL161" s="64"/>
      <c r="BM161" s="103"/>
      <c r="BN161" s="64"/>
      <c r="BO161" s="64"/>
      <c r="BP161" s="64">
        <f t="shared" si="391"/>
        <v>0</v>
      </c>
      <c r="BQ161" s="64"/>
      <c r="BR161" s="103"/>
      <c r="BS161" s="64"/>
      <c r="BT161" s="64"/>
      <c r="BU161" s="64">
        <f t="shared" si="359"/>
        <v>0</v>
      </c>
      <c r="BV161" s="64"/>
      <c r="BW161" s="64"/>
      <c r="BX161" s="64"/>
      <c r="BY161" s="64"/>
      <c r="BZ161" s="60">
        <f t="shared" si="392"/>
        <v>0</v>
      </c>
      <c r="CA161" s="64">
        <f t="shared" si="297"/>
        <v>0</v>
      </c>
      <c r="CB161" s="64">
        <f t="shared" si="298"/>
        <v>0</v>
      </c>
      <c r="CC161" s="64">
        <f t="shared" si="299"/>
        <v>0</v>
      </c>
      <c r="CD161" s="64">
        <f t="shared" si="300"/>
        <v>0</v>
      </c>
      <c r="CE161" s="64">
        <f t="shared" si="393"/>
        <v>0</v>
      </c>
      <c r="CF161" s="64">
        <f t="shared" si="301"/>
        <v>0</v>
      </c>
      <c r="CG161" s="64">
        <f t="shared" si="302"/>
        <v>0</v>
      </c>
      <c r="CH161" s="64">
        <f t="shared" si="303"/>
        <v>0</v>
      </c>
      <c r="CI161" s="64">
        <f t="shared" si="304"/>
        <v>0</v>
      </c>
      <c r="CJ161" s="64">
        <f t="shared" si="394"/>
        <v>0</v>
      </c>
      <c r="CK161" s="66"/>
      <c r="CL161" s="67"/>
      <c r="CM161" s="67"/>
      <c r="CN161" s="64">
        <f t="shared" si="395"/>
        <v>0</v>
      </c>
      <c r="CO161" s="64"/>
      <c r="CP161" s="71"/>
      <c r="CQ161" s="64"/>
      <c r="CR161" s="64"/>
      <c r="CS161" s="64">
        <f t="shared" si="396"/>
        <v>0</v>
      </c>
      <c r="CT161" s="64"/>
      <c r="CU161" s="71"/>
      <c r="CV161" s="64"/>
      <c r="CW161" s="64"/>
      <c r="CX161" s="64">
        <f t="shared" si="397"/>
        <v>0</v>
      </c>
      <c r="CY161" s="64">
        <f t="shared" si="398"/>
        <v>0</v>
      </c>
      <c r="CZ161" s="64">
        <f t="shared" si="398"/>
        <v>0</v>
      </c>
      <c r="DA161" s="64">
        <f t="shared" si="398"/>
        <v>0</v>
      </c>
      <c r="DB161" s="64">
        <f t="shared" si="398"/>
        <v>0</v>
      </c>
      <c r="DC161" s="64"/>
      <c r="DD161" s="64"/>
      <c r="DE161" s="64"/>
      <c r="DF161" s="64">
        <f t="shared" si="399"/>
        <v>0</v>
      </c>
      <c r="DH161" s="64">
        <f t="shared" si="400"/>
        <v>0</v>
      </c>
      <c r="DI161" s="64">
        <f t="shared" si="401"/>
        <v>0</v>
      </c>
      <c r="DK161" s="64">
        <f t="shared" si="402"/>
        <v>0</v>
      </c>
      <c r="DL161" s="64">
        <f t="shared" si="403"/>
        <v>0</v>
      </c>
      <c r="DN161" s="64"/>
      <c r="DQ161" s="64">
        <f t="shared" si="404"/>
        <v>0</v>
      </c>
      <c r="DR161" s="64"/>
      <c r="DS161" s="103"/>
      <c r="DT161" s="64"/>
      <c r="DU161" s="64"/>
      <c r="DV161" s="64">
        <f t="shared" si="405"/>
        <v>0</v>
      </c>
      <c r="DW161" s="64"/>
      <c r="DX161" s="64"/>
      <c r="DY161" s="64"/>
      <c r="DZ161" s="64"/>
      <c r="EA161" s="375"/>
      <c r="EB161" s="375"/>
      <c r="EC161" s="375"/>
      <c r="ED161" s="375"/>
      <c r="EE161" s="375"/>
      <c r="EF161" s="375"/>
      <c r="EG161" s="375"/>
      <c r="EH161" s="375"/>
      <c r="EI161" s="375"/>
      <c r="EJ161" s="375"/>
      <c r="EK161" s="375"/>
      <c r="EL161" s="375"/>
      <c r="EM161" s="375"/>
      <c r="EN161" s="375"/>
      <c r="EO161" s="375"/>
      <c r="EP161" s="375"/>
      <c r="EQ161" s="375"/>
      <c r="ER161" s="375"/>
      <c r="ES161" s="375"/>
      <c r="ET161" s="375"/>
      <c r="EU161" s="375"/>
      <c r="EV161" s="375"/>
      <c r="EW161" s="375"/>
      <c r="EX161" s="375"/>
      <c r="EY161" s="375"/>
      <c r="EZ161" s="375"/>
      <c r="FA161" s="375"/>
      <c r="FB161" s="375"/>
      <c r="FC161" s="375"/>
      <c r="FD161" s="375"/>
      <c r="FE161" s="375"/>
      <c r="FF161" s="375"/>
      <c r="FG161" s="375"/>
      <c r="FH161" s="375"/>
      <c r="FI161" s="375"/>
      <c r="FJ161" s="375"/>
      <c r="FK161" s="375"/>
      <c r="FL161" s="375"/>
      <c r="FM161" s="375"/>
      <c r="FN161" s="375"/>
      <c r="FO161" s="375"/>
      <c r="FP161" s="375"/>
      <c r="FQ161" s="375"/>
      <c r="FR161" s="375"/>
      <c r="FS161" s="375"/>
      <c r="FT161" s="375"/>
      <c r="FU161" s="375"/>
      <c r="FV161" s="375"/>
      <c r="FW161" s="375"/>
      <c r="FX161" s="375"/>
      <c r="FY161" s="375"/>
      <c r="FZ161" s="375"/>
      <c r="GA161" s="375"/>
      <c r="GB161" s="375"/>
      <c r="GC161" s="375"/>
      <c r="GD161" s="375"/>
      <c r="GE161" s="375"/>
      <c r="GF161" s="375"/>
      <c r="GG161" s="375"/>
      <c r="GH161" s="375"/>
      <c r="GI161" s="375"/>
      <c r="GJ161" s="375"/>
      <c r="GK161" s="375"/>
      <c r="GL161" s="375"/>
      <c r="GM161" s="375"/>
      <c r="GN161" s="375"/>
      <c r="GO161" s="375"/>
      <c r="GP161" s="375"/>
      <c r="GQ161" s="375"/>
      <c r="GR161" s="375"/>
    </row>
    <row r="162" spans="1:200" s="61" customFormat="1" ht="15.75" customHeight="1" x14ac:dyDescent="0.3">
      <c r="A162" s="280"/>
      <c r="B162" s="281"/>
      <c r="C162" s="282"/>
      <c r="D162" s="282">
        <v>1</v>
      </c>
      <c r="E162" s="4">
        <v>134</v>
      </c>
      <c r="F162" s="281"/>
      <c r="G162" s="282"/>
      <c r="H162" s="282">
        <v>1</v>
      </c>
      <c r="I162" s="4"/>
      <c r="J162" s="283"/>
      <c r="K162" s="283"/>
      <c r="L162" s="286"/>
      <c r="M162" s="4">
        <v>131</v>
      </c>
      <c r="N162" s="62" t="s">
        <v>116</v>
      </c>
      <c r="O162" s="62" t="s">
        <v>450</v>
      </c>
      <c r="P162" s="62" t="s">
        <v>448</v>
      </c>
      <c r="Q162" s="60">
        <f t="shared" si="305"/>
        <v>0</v>
      </c>
      <c r="R162" s="60">
        <f t="shared" si="306"/>
        <v>62.398999999999887</v>
      </c>
      <c r="S162" s="60">
        <f t="shared" si="307"/>
        <v>0</v>
      </c>
      <c r="T162" s="60">
        <v>1</v>
      </c>
      <c r="U162" s="60"/>
      <c r="V162" s="64">
        <f t="shared" si="383"/>
        <v>1035</v>
      </c>
      <c r="W162" s="64"/>
      <c r="X162" s="65">
        <v>1035</v>
      </c>
      <c r="Y162" s="64"/>
      <c r="Z162" s="73"/>
      <c r="AA162" s="64">
        <f t="shared" si="384"/>
        <v>1035</v>
      </c>
      <c r="AB162" s="64"/>
      <c r="AC162" s="65">
        <v>1035</v>
      </c>
      <c r="AD162" s="64"/>
      <c r="AE162" s="73"/>
      <c r="AF162" s="64">
        <f t="shared" si="385"/>
        <v>1035</v>
      </c>
      <c r="AG162" s="64"/>
      <c r="AH162" s="65">
        <v>1035</v>
      </c>
      <c r="AI162" s="64"/>
      <c r="AJ162" s="73"/>
      <c r="AK162" s="64">
        <f t="shared" si="386"/>
        <v>450</v>
      </c>
      <c r="AL162" s="64"/>
      <c r="AM162" s="65">
        <v>450</v>
      </c>
      <c r="AN162" s="64"/>
      <c r="AO162" s="107"/>
      <c r="AP162" s="60" t="s">
        <v>395</v>
      </c>
      <c r="AQ162" s="64">
        <f t="shared" si="387"/>
        <v>1035</v>
      </c>
      <c r="AR162" s="64"/>
      <c r="AS162" s="65">
        <v>1035</v>
      </c>
      <c r="AT162" s="64"/>
      <c r="AU162" s="73"/>
      <c r="AV162" s="64">
        <f t="shared" si="293"/>
        <v>0</v>
      </c>
      <c r="AW162" s="64">
        <f t="shared" si="294"/>
        <v>0</v>
      </c>
      <c r="AX162" s="64">
        <f t="shared" si="295"/>
        <v>0</v>
      </c>
      <c r="AY162" s="64">
        <f t="shared" si="296"/>
        <v>0</v>
      </c>
      <c r="AZ162" s="64" t="e">
        <f>#REF!-AU162</f>
        <v>#REF!</v>
      </c>
      <c r="BA162" s="64">
        <f t="shared" si="388"/>
        <v>1035</v>
      </c>
      <c r="BB162" s="64"/>
      <c r="BC162" s="65">
        <v>1035</v>
      </c>
      <c r="BD162" s="64"/>
      <c r="BE162" s="73"/>
      <c r="BF162" s="64">
        <f t="shared" si="389"/>
        <v>0</v>
      </c>
      <c r="BG162" s="64"/>
      <c r="BH162" s="65"/>
      <c r="BI162" s="64"/>
      <c r="BJ162" s="73"/>
      <c r="BK162" s="64">
        <f t="shared" si="390"/>
        <v>1035</v>
      </c>
      <c r="BL162" s="64"/>
      <c r="BM162" s="65">
        <v>1035</v>
      </c>
      <c r="BN162" s="64"/>
      <c r="BO162" s="74"/>
      <c r="BP162" s="64">
        <f t="shared" si="391"/>
        <v>972.60100000000011</v>
      </c>
      <c r="BQ162" s="64"/>
      <c r="BR162" s="74">
        <f>387.6+209.989+375.012</f>
        <v>972.60100000000011</v>
      </c>
      <c r="BS162" s="64"/>
      <c r="BT162" s="74"/>
      <c r="BU162" s="64">
        <f t="shared" si="359"/>
        <v>382.29664000000002</v>
      </c>
      <c r="BV162" s="64"/>
      <c r="BW162" s="64">
        <f>141.96938+87.7357+152.59156</f>
        <v>382.29664000000002</v>
      </c>
      <c r="BX162" s="64"/>
      <c r="BY162" s="64"/>
      <c r="BZ162" s="60">
        <f t="shared" si="392"/>
        <v>1354.8976400000001</v>
      </c>
      <c r="CA162" s="64">
        <f t="shared" si="297"/>
        <v>1354.8976400000001</v>
      </c>
      <c r="CB162" s="64">
        <f t="shared" si="298"/>
        <v>0</v>
      </c>
      <c r="CC162" s="64">
        <f t="shared" si="299"/>
        <v>1354.8976400000001</v>
      </c>
      <c r="CD162" s="64">
        <f t="shared" si="300"/>
        <v>0</v>
      </c>
      <c r="CE162" s="64">
        <f t="shared" si="393"/>
        <v>0</v>
      </c>
      <c r="CF162" s="64">
        <f t="shared" si="301"/>
        <v>62.398999999999887</v>
      </c>
      <c r="CG162" s="64">
        <f t="shared" si="302"/>
        <v>0</v>
      </c>
      <c r="CH162" s="64">
        <f t="shared" si="303"/>
        <v>62.398999999999887</v>
      </c>
      <c r="CI162" s="64">
        <f t="shared" si="304"/>
        <v>0</v>
      </c>
      <c r="CJ162" s="64">
        <f t="shared" si="394"/>
        <v>0</v>
      </c>
      <c r="CK162" s="66"/>
      <c r="CL162" s="67"/>
      <c r="CM162" s="108"/>
      <c r="CN162" s="64">
        <f t="shared" si="395"/>
        <v>0</v>
      </c>
      <c r="CO162" s="64"/>
      <c r="CP162" s="65"/>
      <c r="CQ162" s="64"/>
      <c r="CR162" s="73"/>
      <c r="CS162" s="64">
        <f t="shared" si="396"/>
        <v>0</v>
      </c>
      <c r="CT162" s="64"/>
      <c r="CU162" s="65"/>
      <c r="CV162" s="64"/>
      <c r="CW162" s="73"/>
      <c r="CX162" s="64">
        <f t="shared" si="397"/>
        <v>0</v>
      </c>
      <c r="CY162" s="64">
        <f t="shared" si="398"/>
        <v>0</v>
      </c>
      <c r="CZ162" s="64">
        <f t="shared" si="398"/>
        <v>0</v>
      </c>
      <c r="DA162" s="64">
        <f t="shared" si="398"/>
        <v>0</v>
      </c>
      <c r="DB162" s="64">
        <f t="shared" si="398"/>
        <v>0</v>
      </c>
      <c r="DC162" s="64"/>
      <c r="DD162" s="64"/>
      <c r="DE162" s="64"/>
      <c r="DF162" s="64">
        <f t="shared" si="399"/>
        <v>62.398999999999887</v>
      </c>
      <c r="DH162" s="64">
        <f t="shared" si="400"/>
        <v>1035</v>
      </c>
      <c r="DI162" s="64">
        <f t="shared" si="401"/>
        <v>972.60100000000011</v>
      </c>
      <c r="DK162" s="64"/>
      <c r="DL162" s="64"/>
      <c r="DN162" s="64"/>
      <c r="DQ162" s="64">
        <f t="shared" si="404"/>
        <v>972.60100000000011</v>
      </c>
      <c r="DR162" s="64"/>
      <c r="DS162" s="74">
        <f>387.6+209.989+375.012</f>
        <v>972.60100000000011</v>
      </c>
      <c r="DT162" s="64"/>
      <c r="DU162" s="74"/>
      <c r="DV162" s="64">
        <f t="shared" si="405"/>
        <v>0</v>
      </c>
      <c r="DW162" s="64"/>
      <c r="DX162" s="64"/>
      <c r="DY162" s="64"/>
      <c r="DZ162" s="64"/>
      <c r="EA162" s="375"/>
      <c r="EB162" s="375"/>
      <c r="EC162" s="375"/>
      <c r="ED162" s="375"/>
      <c r="EE162" s="375"/>
      <c r="EF162" s="375"/>
      <c r="EG162" s="375"/>
      <c r="EH162" s="375"/>
      <c r="EI162" s="375"/>
      <c r="EJ162" s="375"/>
      <c r="EK162" s="375"/>
      <c r="EL162" s="375"/>
      <c r="EM162" s="375"/>
      <c r="EN162" s="375"/>
      <c r="EO162" s="375"/>
      <c r="EP162" s="375"/>
      <c r="EQ162" s="375"/>
      <c r="ER162" s="375"/>
      <c r="ES162" s="375"/>
      <c r="ET162" s="375"/>
      <c r="EU162" s="375"/>
      <c r="EV162" s="375"/>
      <c r="EW162" s="375"/>
      <c r="EX162" s="375"/>
      <c r="EY162" s="375"/>
      <c r="EZ162" s="375"/>
      <c r="FA162" s="375"/>
      <c r="FB162" s="375"/>
      <c r="FC162" s="375"/>
      <c r="FD162" s="375"/>
      <c r="FE162" s="375"/>
      <c r="FF162" s="375"/>
      <c r="FG162" s="375"/>
      <c r="FH162" s="375"/>
      <c r="FI162" s="375"/>
      <c r="FJ162" s="375"/>
      <c r="FK162" s="375"/>
      <c r="FL162" s="375"/>
      <c r="FM162" s="375"/>
      <c r="FN162" s="375"/>
      <c r="FO162" s="375"/>
      <c r="FP162" s="375"/>
      <c r="FQ162" s="375"/>
      <c r="FR162" s="375"/>
      <c r="FS162" s="375"/>
      <c r="FT162" s="375"/>
      <c r="FU162" s="375"/>
      <c r="FV162" s="375"/>
      <c r="FW162" s="375"/>
      <c r="FX162" s="375"/>
      <c r="FY162" s="375"/>
      <c r="FZ162" s="375"/>
      <c r="GA162" s="375"/>
      <c r="GB162" s="375"/>
      <c r="GC162" s="375"/>
      <c r="GD162" s="375"/>
      <c r="GE162" s="375"/>
      <c r="GF162" s="375"/>
      <c r="GG162" s="375"/>
      <c r="GH162" s="375"/>
      <c r="GI162" s="375"/>
      <c r="GJ162" s="375"/>
      <c r="GK162" s="375"/>
      <c r="GL162" s="375"/>
      <c r="GM162" s="375"/>
      <c r="GN162" s="375"/>
      <c r="GO162" s="375"/>
      <c r="GP162" s="375"/>
      <c r="GQ162" s="375"/>
      <c r="GR162" s="375"/>
    </row>
    <row r="163" spans="1:200" s="61" customFormat="1" ht="15.6" customHeight="1" x14ac:dyDescent="0.3">
      <c r="A163" s="280"/>
      <c r="B163" s="281"/>
      <c r="C163" s="282">
        <v>1</v>
      </c>
      <c r="D163" s="282"/>
      <c r="E163" s="4">
        <v>135</v>
      </c>
      <c r="F163" s="281"/>
      <c r="G163" s="282"/>
      <c r="H163" s="282">
        <v>1</v>
      </c>
      <c r="I163" s="4"/>
      <c r="J163" s="283"/>
      <c r="K163" s="283"/>
      <c r="L163" s="286"/>
      <c r="M163" s="4">
        <v>132</v>
      </c>
      <c r="N163" s="62" t="s">
        <v>56</v>
      </c>
      <c r="O163" s="62" t="s">
        <v>448</v>
      </c>
      <c r="P163" s="62" t="s">
        <v>448</v>
      </c>
      <c r="Q163" s="60">
        <f t="shared" si="305"/>
        <v>0</v>
      </c>
      <c r="R163" s="60">
        <f t="shared" si="306"/>
        <v>0</v>
      </c>
      <c r="S163" s="60">
        <f t="shared" si="307"/>
        <v>0</v>
      </c>
      <c r="T163" s="60">
        <v>1</v>
      </c>
      <c r="U163" s="60"/>
      <c r="V163" s="64">
        <f t="shared" si="383"/>
        <v>310.5</v>
      </c>
      <c r="W163" s="64"/>
      <c r="X163" s="65">
        <v>310.5</v>
      </c>
      <c r="Y163" s="64"/>
      <c r="Z163" s="73"/>
      <c r="AA163" s="64">
        <f t="shared" si="384"/>
        <v>310.5</v>
      </c>
      <c r="AB163" s="64"/>
      <c r="AC163" s="65">
        <v>310.5</v>
      </c>
      <c r="AD163" s="64"/>
      <c r="AE163" s="73"/>
      <c r="AF163" s="64">
        <f t="shared" si="385"/>
        <v>310.5</v>
      </c>
      <c r="AG163" s="64"/>
      <c r="AH163" s="65">
        <v>310.5</v>
      </c>
      <c r="AI163" s="64"/>
      <c r="AJ163" s="73"/>
      <c r="AK163" s="64">
        <f t="shared" si="386"/>
        <v>135</v>
      </c>
      <c r="AL163" s="64"/>
      <c r="AM163" s="65">
        <v>135</v>
      </c>
      <c r="AN163" s="64"/>
      <c r="AO163" s="107"/>
      <c r="AP163" s="60" t="s">
        <v>363</v>
      </c>
      <c r="AQ163" s="64">
        <f t="shared" si="387"/>
        <v>310.5</v>
      </c>
      <c r="AR163" s="64"/>
      <c r="AS163" s="65">
        <v>310.5</v>
      </c>
      <c r="AT163" s="64"/>
      <c r="AU163" s="73"/>
      <c r="AV163" s="64">
        <f t="shared" si="293"/>
        <v>0</v>
      </c>
      <c r="AW163" s="64">
        <f t="shared" si="294"/>
        <v>0</v>
      </c>
      <c r="AX163" s="64">
        <f t="shared" si="295"/>
        <v>0</v>
      </c>
      <c r="AY163" s="64">
        <f t="shared" si="296"/>
        <v>0</v>
      </c>
      <c r="AZ163" s="64" t="e">
        <f>#REF!-AU163</f>
        <v>#REF!</v>
      </c>
      <c r="BA163" s="64">
        <f t="shared" si="388"/>
        <v>310.5</v>
      </c>
      <c r="BB163" s="64"/>
      <c r="BC163" s="65">
        <v>310.5</v>
      </c>
      <c r="BD163" s="64"/>
      <c r="BE163" s="73"/>
      <c r="BF163" s="64">
        <f t="shared" si="389"/>
        <v>0</v>
      </c>
      <c r="BG163" s="64"/>
      <c r="BH163" s="73"/>
      <c r="BI163" s="64"/>
      <c r="BJ163" s="73"/>
      <c r="BK163" s="64">
        <f t="shared" si="390"/>
        <v>310.5</v>
      </c>
      <c r="BL163" s="64"/>
      <c r="BM163" s="65">
        <v>310.5</v>
      </c>
      <c r="BN163" s="64"/>
      <c r="BO163" s="74"/>
      <c r="BP163" s="64">
        <f t="shared" si="391"/>
        <v>310.5</v>
      </c>
      <c r="BQ163" s="64"/>
      <c r="BR163" s="74">
        <v>310.5</v>
      </c>
      <c r="BS163" s="64"/>
      <c r="BT163" s="74"/>
      <c r="BU163" s="64">
        <f t="shared" si="359"/>
        <v>274.26799999999997</v>
      </c>
      <c r="BV163" s="64"/>
      <c r="BW163" s="64">
        <v>274.26799999999997</v>
      </c>
      <c r="BX163" s="64"/>
      <c r="BY163" s="64"/>
      <c r="BZ163" s="60">
        <f t="shared" si="392"/>
        <v>584.76800000000003</v>
      </c>
      <c r="CA163" s="64">
        <f t="shared" si="297"/>
        <v>584.76800000000003</v>
      </c>
      <c r="CB163" s="64">
        <f t="shared" si="298"/>
        <v>0</v>
      </c>
      <c r="CC163" s="64">
        <f t="shared" si="299"/>
        <v>584.76800000000003</v>
      </c>
      <c r="CD163" s="64">
        <f t="shared" si="300"/>
        <v>0</v>
      </c>
      <c r="CE163" s="64">
        <f t="shared" si="393"/>
        <v>0</v>
      </c>
      <c r="CF163" s="64">
        <f t="shared" si="301"/>
        <v>0</v>
      </c>
      <c r="CG163" s="64">
        <f t="shared" si="302"/>
        <v>0</v>
      </c>
      <c r="CH163" s="64">
        <f t="shared" si="303"/>
        <v>0</v>
      </c>
      <c r="CI163" s="64">
        <f t="shared" si="304"/>
        <v>0</v>
      </c>
      <c r="CJ163" s="64">
        <f t="shared" si="394"/>
        <v>0</v>
      </c>
      <c r="CK163" s="66"/>
      <c r="CL163" s="76">
        <f>BA163+BA170</f>
        <v>1679.768</v>
      </c>
      <c r="CM163" s="76">
        <f>CL163</f>
        <v>1679.768</v>
      </c>
      <c r="CN163" s="64">
        <f t="shared" si="395"/>
        <v>0</v>
      </c>
      <c r="CO163" s="64"/>
      <c r="CP163" s="73"/>
      <c r="CQ163" s="64"/>
      <c r="CR163" s="73"/>
      <c r="CS163" s="64">
        <f t="shared" si="396"/>
        <v>0</v>
      </c>
      <c r="CT163" s="64"/>
      <c r="CU163" s="73"/>
      <c r="CV163" s="64"/>
      <c r="CW163" s="73"/>
      <c r="CX163" s="64">
        <f t="shared" si="397"/>
        <v>0</v>
      </c>
      <c r="CY163" s="64">
        <f t="shared" si="398"/>
        <v>0</v>
      </c>
      <c r="CZ163" s="64">
        <f t="shared" si="398"/>
        <v>0</v>
      </c>
      <c r="DA163" s="64">
        <f t="shared" si="398"/>
        <v>0</v>
      </c>
      <c r="DB163" s="64">
        <f t="shared" si="398"/>
        <v>0</v>
      </c>
      <c r="DC163" s="64"/>
      <c r="DD163" s="64"/>
      <c r="DE163" s="64"/>
      <c r="DF163" s="64">
        <f t="shared" si="399"/>
        <v>0</v>
      </c>
      <c r="DH163" s="64">
        <f t="shared" si="400"/>
        <v>310.5</v>
      </c>
      <c r="DI163" s="64">
        <f t="shared" si="401"/>
        <v>310.5</v>
      </c>
      <c r="DK163" s="77">
        <f>DI163+DI170</f>
        <v>1426.4542300000001</v>
      </c>
      <c r="DL163" s="77">
        <f>DF163+DF170</f>
        <v>253.31376999999998</v>
      </c>
      <c r="DN163" s="64">
        <f>CM163-DK163</f>
        <v>253.31376999999998</v>
      </c>
      <c r="DQ163" s="64">
        <f t="shared" si="404"/>
        <v>310.5</v>
      </c>
      <c r="DR163" s="64"/>
      <c r="DS163" s="74">
        <v>310.5</v>
      </c>
      <c r="DT163" s="64"/>
      <c r="DU163" s="74"/>
      <c r="DV163" s="64">
        <f t="shared" si="405"/>
        <v>274.26799999999997</v>
      </c>
      <c r="DW163" s="64"/>
      <c r="DX163" s="64">
        <v>274.26799999999997</v>
      </c>
      <c r="DY163" s="64"/>
      <c r="DZ163" s="64"/>
      <c r="EA163" s="375"/>
      <c r="EB163" s="375"/>
      <c r="EC163" s="375"/>
      <c r="ED163" s="375"/>
      <c r="EE163" s="375"/>
      <c r="EF163" s="375"/>
      <c r="EG163" s="375"/>
      <c r="EH163" s="375"/>
      <c r="EI163" s="375"/>
      <c r="EJ163" s="375"/>
      <c r="EK163" s="375"/>
      <c r="EL163" s="375"/>
      <c r="EM163" s="375"/>
      <c r="EN163" s="375"/>
      <c r="EO163" s="375"/>
      <c r="EP163" s="375"/>
      <c r="EQ163" s="375"/>
      <c r="ER163" s="375"/>
      <c r="ES163" s="375"/>
      <c r="ET163" s="375"/>
      <c r="EU163" s="375"/>
      <c r="EV163" s="375"/>
      <c r="EW163" s="375"/>
      <c r="EX163" s="375"/>
      <c r="EY163" s="375"/>
      <c r="EZ163" s="375"/>
      <c r="FA163" s="375"/>
      <c r="FB163" s="375"/>
      <c r="FC163" s="375"/>
      <c r="FD163" s="375"/>
      <c r="FE163" s="375"/>
      <c r="FF163" s="375"/>
      <c r="FG163" s="375"/>
      <c r="FH163" s="375"/>
      <c r="FI163" s="375"/>
      <c r="FJ163" s="375"/>
      <c r="FK163" s="375"/>
      <c r="FL163" s="375"/>
      <c r="FM163" s="375"/>
      <c r="FN163" s="375"/>
      <c r="FO163" s="375"/>
      <c r="FP163" s="375"/>
      <c r="FQ163" s="375"/>
      <c r="FR163" s="375"/>
      <c r="FS163" s="375"/>
      <c r="FT163" s="375"/>
      <c r="FU163" s="375"/>
      <c r="FV163" s="375"/>
      <c r="FW163" s="375"/>
      <c r="FX163" s="375"/>
      <c r="FY163" s="375"/>
      <c r="FZ163" s="375"/>
      <c r="GA163" s="375"/>
      <c r="GB163" s="375"/>
      <c r="GC163" s="375"/>
      <c r="GD163" s="375"/>
      <c r="GE163" s="375"/>
      <c r="GF163" s="375"/>
      <c r="GG163" s="375"/>
      <c r="GH163" s="375"/>
      <c r="GI163" s="375"/>
      <c r="GJ163" s="375"/>
      <c r="GK163" s="375"/>
      <c r="GL163" s="375"/>
      <c r="GM163" s="375"/>
      <c r="GN163" s="375"/>
      <c r="GO163" s="375"/>
      <c r="GP163" s="375"/>
      <c r="GQ163" s="375"/>
      <c r="GR163" s="375"/>
    </row>
    <row r="164" spans="1:200" s="61" customFormat="1" ht="15.75" customHeight="1" x14ac:dyDescent="0.3">
      <c r="A164" s="280"/>
      <c r="B164" s="281"/>
      <c r="C164" s="282"/>
      <c r="D164" s="282">
        <v>1</v>
      </c>
      <c r="E164" s="4">
        <v>136</v>
      </c>
      <c r="F164" s="281"/>
      <c r="G164" s="282"/>
      <c r="H164" s="282">
        <v>1</v>
      </c>
      <c r="I164" s="280"/>
      <c r="J164" s="280"/>
      <c r="K164" s="280"/>
      <c r="L164" s="280"/>
      <c r="M164" s="4">
        <v>133</v>
      </c>
      <c r="N164" s="62" t="s">
        <v>117</v>
      </c>
      <c r="O164" s="62" t="s">
        <v>450</v>
      </c>
      <c r="P164" s="62" t="s">
        <v>450</v>
      </c>
      <c r="Q164" s="60">
        <f t="shared" si="305"/>
        <v>0</v>
      </c>
      <c r="R164" s="60">
        <f t="shared" si="306"/>
        <v>0</v>
      </c>
      <c r="S164" s="60">
        <f t="shared" si="307"/>
        <v>0</v>
      </c>
      <c r="T164" s="60">
        <v>1</v>
      </c>
      <c r="U164" s="60">
        <v>1</v>
      </c>
      <c r="V164" s="64">
        <f t="shared" si="383"/>
        <v>285.2</v>
      </c>
      <c r="W164" s="64"/>
      <c r="X164" s="65">
        <v>285.2</v>
      </c>
      <c r="Y164" s="64"/>
      <c r="Z164" s="78"/>
      <c r="AA164" s="64">
        <f t="shared" si="384"/>
        <v>285.2</v>
      </c>
      <c r="AB164" s="64"/>
      <c r="AC164" s="65">
        <v>285.2</v>
      </c>
      <c r="AD164" s="64"/>
      <c r="AE164" s="78"/>
      <c r="AF164" s="64">
        <f t="shared" si="385"/>
        <v>285.2</v>
      </c>
      <c r="AG164" s="64"/>
      <c r="AH164" s="65">
        <v>285.2</v>
      </c>
      <c r="AI164" s="64"/>
      <c r="AJ164" s="78"/>
      <c r="AK164" s="64">
        <f t="shared" si="386"/>
        <v>124</v>
      </c>
      <c r="AL164" s="64"/>
      <c r="AM164" s="65">
        <v>124</v>
      </c>
      <c r="AN164" s="64"/>
      <c r="AP164" s="60" t="s">
        <v>468</v>
      </c>
      <c r="AQ164" s="64">
        <f t="shared" si="387"/>
        <v>285.2</v>
      </c>
      <c r="AR164" s="64"/>
      <c r="AS164" s="65">
        <v>285.2</v>
      </c>
      <c r="AT164" s="64"/>
      <c r="AU164" s="64"/>
      <c r="AV164" s="64">
        <f t="shared" si="293"/>
        <v>0</v>
      </c>
      <c r="AW164" s="64">
        <f t="shared" si="294"/>
        <v>0</v>
      </c>
      <c r="AX164" s="64">
        <f t="shared" si="295"/>
        <v>0</v>
      </c>
      <c r="AY164" s="64">
        <f t="shared" si="296"/>
        <v>0</v>
      </c>
      <c r="AZ164" s="64" t="e">
        <f>#REF!-AU164</f>
        <v>#REF!</v>
      </c>
      <c r="BA164" s="64">
        <f t="shared" si="388"/>
        <v>285.2</v>
      </c>
      <c r="BB164" s="64"/>
      <c r="BC164" s="65">
        <v>285.2</v>
      </c>
      <c r="BD164" s="64"/>
      <c r="BE164" s="64"/>
      <c r="BF164" s="64">
        <f t="shared" si="389"/>
        <v>0</v>
      </c>
      <c r="BG164" s="64"/>
      <c r="BH164" s="65"/>
      <c r="BI164" s="64"/>
      <c r="BJ164" s="64"/>
      <c r="BK164" s="64">
        <f t="shared" si="390"/>
        <v>285.2</v>
      </c>
      <c r="BL164" s="64"/>
      <c r="BM164" s="65">
        <v>285.2</v>
      </c>
      <c r="BN164" s="64"/>
      <c r="BO164" s="64"/>
      <c r="BP164" s="64">
        <f t="shared" si="391"/>
        <v>285.2</v>
      </c>
      <c r="BQ164" s="64"/>
      <c r="BR164" s="74">
        <v>285.2</v>
      </c>
      <c r="BS164" s="64"/>
      <c r="BT164" s="64"/>
      <c r="BU164" s="64">
        <f t="shared" si="359"/>
        <v>202.09353999999999</v>
      </c>
      <c r="BV164" s="64"/>
      <c r="BW164" s="64">
        <v>202.09353999999999</v>
      </c>
      <c r="BX164" s="64"/>
      <c r="BY164" s="64"/>
      <c r="BZ164" s="60">
        <f t="shared" si="392"/>
        <v>487.29354000000001</v>
      </c>
      <c r="CA164" s="64">
        <f t="shared" si="297"/>
        <v>487.29354000000001</v>
      </c>
      <c r="CB164" s="64">
        <f t="shared" si="298"/>
        <v>0</v>
      </c>
      <c r="CC164" s="64">
        <f t="shared" si="299"/>
        <v>487.29354000000001</v>
      </c>
      <c r="CD164" s="64">
        <f t="shared" si="300"/>
        <v>0</v>
      </c>
      <c r="CE164" s="64">
        <f t="shared" si="393"/>
        <v>0</v>
      </c>
      <c r="CF164" s="64">
        <f t="shared" si="301"/>
        <v>0</v>
      </c>
      <c r="CG164" s="64">
        <f t="shared" si="302"/>
        <v>0</v>
      </c>
      <c r="CH164" s="64">
        <f t="shared" si="303"/>
        <v>0</v>
      </c>
      <c r="CI164" s="64">
        <f t="shared" si="304"/>
        <v>0</v>
      </c>
      <c r="CJ164" s="64">
        <f t="shared" si="394"/>
        <v>0</v>
      </c>
      <c r="CK164" s="66"/>
      <c r="CL164" s="67">
        <f>BA159-CL160-CL163</f>
        <v>14329.072000000006</v>
      </c>
      <c r="CM164" s="67">
        <f>CL164+CN173-BF174</f>
        <v>14329.072000000006</v>
      </c>
      <c r="CN164" s="64">
        <f t="shared" si="395"/>
        <v>0</v>
      </c>
      <c r="CO164" s="64"/>
      <c r="CP164" s="65"/>
      <c r="CQ164" s="64"/>
      <c r="CR164" s="64"/>
      <c r="CS164" s="64">
        <f t="shared" si="396"/>
        <v>0</v>
      </c>
      <c r="CT164" s="64"/>
      <c r="CU164" s="65"/>
      <c r="CV164" s="64"/>
      <c r="CW164" s="64"/>
      <c r="CX164" s="64">
        <f t="shared" si="397"/>
        <v>0</v>
      </c>
      <c r="CY164" s="64">
        <f t="shared" si="398"/>
        <v>0</v>
      </c>
      <c r="CZ164" s="64">
        <f t="shared" si="398"/>
        <v>0</v>
      </c>
      <c r="DA164" s="64">
        <f t="shared" si="398"/>
        <v>0</v>
      </c>
      <c r="DB164" s="64">
        <f t="shared" si="398"/>
        <v>0</v>
      </c>
      <c r="DC164" s="64"/>
      <c r="DD164" s="64"/>
      <c r="DE164" s="64"/>
      <c r="DF164" s="64">
        <f t="shared" si="399"/>
        <v>0</v>
      </c>
      <c r="DH164" s="64">
        <f t="shared" si="400"/>
        <v>285.2</v>
      </c>
      <c r="DI164" s="64">
        <f t="shared" si="401"/>
        <v>285.2</v>
      </c>
      <c r="DK164" s="64">
        <f>DI162+DI164+DI165+DI166+DI167+DI168+DI169+DI171+DI172+DI173+DI174+DI175+DI176</f>
        <v>13492.98546</v>
      </c>
      <c r="DL164" s="64">
        <f>DF162+DF164+DF165+DF166+DF167+DF168+DF169+DF171+DF172+DF173+DF174+DF175+DF176</f>
        <v>836.08654000000047</v>
      </c>
      <c r="DN164" s="64">
        <f>CM164-DK164</f>
        <v>836.0865400000057</v>
      </c>
      <c r="DQ164" s="64">
        <f t="shared" si="404"/>
        <v>285.2</v>
      </c>
      <c r="DR164" s="64"/>
      <c r="DS164" s="74">
        <v>285.2</v>
      </c>
      <c r="DT164" s="64"/>
      <c r="DU164" s="64"/>
      <c r="DV164" s="64">
        <f t="shared" si="405"/>
        <v>202.09353999999999</v>
      </c>
      <c r="DW164" s="64"/>
      <c r="DX164" s="64">
        <v>202.09353999999999</v>
      </c>
      <c r="DY164" s="64"/>
      <c r="DZ164" s="64"/>
      <c r="EA164" s="375"/>
      <c r="EB164" s="375"/>
      <c r="EC164" s="375"/>
      <c r="ED164" s="375"/>
      <c r="EE164" s="375"/>
      <c r="EF164" s="375"/>
      <c r="EG164" s="375"/>
      <c r="EH164" s="375"/>
      <c r="EI164" s="375"/>
      <c r="EJ164" s="375"/>
      <c r="EK164" s="375"/>
      <c r="EL164" s="375"/>
      <c r="EM164" s="375"/>
      <c r="EN164" s="375"/>
      <c r="EO164" s="375"/>
      <c r="EP164" s="375"/>
      <c r="EQ164" s="375"/>
      <c r="ER164" s="375"/>
      <c r="ES164" s="375"/>
      <c r="ET164" s="375"/>
      <c r="EU164" s="375"/>
      <c r="EV164" s="375"/>
      <c r="EW164" s="375"/>
      <c r="EX164" s="375"/>
      <c r="EY164" s="375"/>
      <c r="EZ164" s="375"/>
      <c r="FA164" s="375"/>
      <c r="FB164" s="375"/>
      <c r="FC164" s="375"/>
      <c r="FD164" s="375"/>
      <c r="FE164" s="375"/>
      <c r="FF164" s="375"/>
      <c r="FG164" s="375"/>
      <c r="FH164" s="375"/>
      <c r="FI164" s="375"/>
      <c r="FJ164" s="375"/>
      <c r="FK164" s="375"/>
      <c r="FL164" s="375"/>
      <c r="FM164" s="375"/>
      <c r="FN164" s="375"/>
      <c r="FO164" s="375"/>
      <c r="FP164" s="375"/>
      <c r="FQ164" s="375"/>
      <c r="FR164" s="375"/>
      <c r="FS164" s="375"/>
      <c r="FT164" s="375"/>
      <c r="FU164" s="375"/>
      <c r="FV164" s="375"/>
      <c r="FW164" s="375"/>
      <c r="FX164" s="375"/>
      <c r="FY164" s="375"/>
      <c r="FZ164" s="375"/>
      <c r="GA164" s="375"/>
      <c r="GB164" s="375"/>
      <c r="GC164" s="375"/>
      <c r="GD164" s="375"/>
      <c r="GE164" s="375"/>
      <c r="GF164" s="375"/>
      <c r="GG164" s="375"/>
      <c r="GH164" s="375"/>
      <c r="GI164" s="375"/>
      <c r="GJ164" s="375"/>
      <c r="GK164" s="375"/>
      <c r="GL164" s="375"/>
      <c r="GM164" s="375"/>
      <c r="GN164" s="375"/>
      <c r="GO164" s="375"/>
      <c r="GP164" s="375"/>
      <c r="GQ164" s="375"/>
      <c r="GR164" s="375"/>
    </row>
    <row r="165" spans="1:200" s="61" customFormat="1" ht="15.75" customHeight="1" x14ac:dyDescent="0.3">
      <c r="A165" s="280"/>
      <c r="B165" s="281"/>
      <c r="C165" s="282"/>
      <c r="D165" s="282">
        <v>1</v>
      </c>
      <c r="E165" s="4">
        <v>137</v>
      </c>
      <c r="F165" s="281"/>
      <c r="G165" s="282"/>
      <c r="H165" s="282">
        <v>1</v>
      </c>
      <c r="I165" s="4"/>
      <c r="J165" s="283"/>
      <c r="K165" s="283"/>
      <c r="L165" s="286"/>
      <c r="M165" s="4">
        <v>134</v>
      </c>
      <c r="N165" s="62" t="s">
        <v>118</v>
      </c>
      <c r="O165" s="62" t="s">
        <v>448</v>
      </c>
      <c r="P165" s="62" t="s">
        <v>448</v>
      </c>
      <c r="Q165" s="60">
        <f t="shared" si="305"/>
        <v>0</v>
      </c>
      <c r="R165" s="60">
        <f t="shared" si="306"/>
        <v>0</v>
      </c>
      <c r="S165" s="60">
        <f t="shared" si="307"/>
        <v>0</v>
      </c>
      <c r="T165" s="60">
        <v>1</v>
      </c>
      <c r="U165" s="60">
        <v>1</v>
      </c>
      <c r="V165" s="64">
        <f t="shared" si="383"/>
        <v>696.9</v>
      </c>
      <c r="W165" s="64"/>
      <c r="X165" s="65">
        <v>696.9</v>
      </c>
      <c r="Y165" s="64"/>
      <c r="Z165" s="73"/>
      <c r="AA165" s="64">
        <f t="shared" si="384"/>
        <v>696.9</v>
      </c>
      <c r="AB165" s="64"/>
      <c r="AC165" s="65">
        <v>696.9</v>
      </c>
      <c r="AD165" s="64"/>
      <c r="AE165" s="73"/>
      <c r="AF165" s="64">
        <f t="shared" si="385"/>
        <v>696.9</v>
      </c>
      <c r="AG165" s="64"/>
      <c r="AH165" s="65">
        <v>696.9</v>
      </c>
      <c r="AI165" s="64"/>
      <c r="AJ165" s="73"/>
      <c r="AK165" s="64">
        <f t="shared" si="386"/>
        <v>303</v>
      </c>
      <c r="AL165" s="64"/>
      <c r="AM165" s="65">
        <v>303</v>
      </c>
      <c r="AN165" s="64"/>
      <c r="AO165" s="107"/>
      <c r="AP165" s="60" t="s">
        <v>396</v>
      </c>
      <c r="AQ165" s="64">
        <f t="shared" si="387"/>
        <v>696.9</v>
      </c>
      <c r="AR165" s="64"/>
      <c r="AS165" s="65">
        <f>303+393.9</f>
        <v>696.9</v>
      </c>
      <c r="AT165" s="64"/>
      <c r="AU165" s="73"/>
      <c r="AV165" s="64">
        <f t="shared" si="293"/>
        <v>0</v>
      </c>
      <c r="AW165" s="64">
        <f t="shared" si="294"/>
        <v>0</v>
      </c>
      <c r="AX165" s="64">
        <f t="shared" si="295"/>
        <v>0</v>
      </c>
      <c r="AY165" s="64">
        <f t="shared" si="296"/>
        <v>0</v>
      </c>
      <c r="AZ165" s="64" t="e">
        <f>#REF!-AU165</f>
        <v>#REF!</v>
      </c>
      <c r="BA165" s="64">
        <f t="shared" si="388"/>
        <v>696.9</v>
      </c>
      <c r="BB165" s="64"/>
      <c r="BC165" s="65">
        <f>303+393.9</f>
        <v>696.9</v>
      </c>
      <c r="BD165" s="64"/>
      <c r="BE165" s="73"/>
      <c r="BF165" s="64">
        <f t="shared" si="389"/>
        <v>0</v>
      </c>
      <c r="BG165" s="64"/>
      <c r="BH165" s="65"/>
      <c r="BI165" s="64"/>
      <c r="BJ165" s="73"/>
      <c r="BK165" s="64">
        <f t="shared" si="390"/>
        <v>696.9</v>
      </c>
      <c r="BL165" s="64"/>
      <c r="BM165" s="65">
        <f>303+393.9</f>
        <v>696.9</v>
      </c>
      <c r="BN165" s="64"/>
      <c r="BO165" s="74"/>
      <c r="BP165" s="64">
        <f t="shared" si="391"/>
        <v>696.9</v>
      </c>
      <c r="BQ165" s="64"/>
      <c r="BR165" s="74">
        <v>696.9</v>
      </c>
      <c r="BS165" s="64"/>
      <c r="BT165" s="74"/>
      <c r="BU165" s="64">
        <f t="shared" si="359"/>
        <v>490.74876</v>
      </c>
      <c r="BV165" s="64"/>
      <c r="BW165" s="64">
        <v>490.74876</v>
      </c>
      <c r="BX165" s="64"/>
      <c r="BY165" s="64"/>
      <c r="BZ165" s="60">
        <f t="shared" si="392"/>
        <v>1187.64876</v>
      </c>
      <c r="CA165" s="64">
        <f t="shared" si="297"/>
        <v>1187.64876</v>
      </c>
      <c r="CB165" s="64">
        <f t="shared" si="298"/>
        <v>0</v>
      </c>
      <c r="CC165" s="64">
        <f t="shared" si="299"/>
        <v>1187.64876</v>
      </c>
      <c r="CD165" s="64">
        <f t="shared" si="300"/>
        <v>0</v>
      </c>
      <c r="CE165" s="64">
        <f t="shared" si="393"/>
        <v>0</v>
      </c>
      <c r="CF165" s="64">
        <f t="shared" si="301"/>
        <v>0</v>
      </c>
      <c r="CG165" s="64">
        <f t="shared" si="302"/>
        <v>0</v>
      </c>
      <c r="CH165" s="64">
        <f t="shared" si="303"/>
        <v>0</v>
      </c>
      <c r="CI165" s="64">
        <f t="shared" si="304"/>
        <v>0</v>
      </c>
      <c r="CJ165" s="64">
        <f t="shared" si="394"/>
        <v>0</v>
      </c>
      <c r="CK165" s="66"/>
      <c r="CL165" s="67"/>
      <c r="CM165" s="67"/>
      <c r="CN165" s="64">
        <f t="shared" si="395"/>
        <v>0</v>
      </c>
      <c r="CO165" s="64"/>
      <c r="CP165" s="65"/>
      <c r="CQ165" s="64"/>
      <c r="CR165" s="73"/>
      <c r="CS165" s="64">
        <f t="shared" si="396"/>
        <v>0</v>
      </c>
      <c r="CT165" s="64"/>
      <c r="CU165" s="65"/>
      <c r="CV165" s="64"/>
      <c r="CW165" s="73"/>
      <c r="CX165" s="64">
        <f t="shared" si="397"/>
        <v>0</v>
      </c>
      <c r="CY165" s="64">
        <f t="shared" si="398"/>
        <v>0</v>
      </c>
      <c r="CZ165" s="64">
        <f t="shared" si="398"/>
        <v>0</v>
      </c>
      <c r="DA165" s="64">
        <f t="shared" si="398"/>
        <v>0</v>
      </c>
      <c r="DB165" s="64">
        <f t="shared" si="398"/>
        <v>0</v>
      </c>
      <c r="DC165" s="64"/>
      <c r="DD165" s="64"/>
      <c r="DE165" s="64"/>
      <c r="DF165" s="64">
        <f t="shared" si="399"/>
        <v>0</v>
      </c>
      <c r="DH165" s="64">
        <f t="shared" si="400"/>
        <v>696.9</v>
      </c>
      <c r="DI165" s="64">
        <f t="shared" si="401"/>
        <v>696.9</v>
      </c>
      <c r="DK165" s="64"/>
      <c r="DL165" s="64"/>
      <c r="DN165" s="64"/>
      <c r="DQ165" s="64">
        <f t="shared" si="404"/>
        <v>696.9</v>
      </c>
      <c r="DR165" s="64"/>
      <c r="DS165" s="74">
        <v>696.9</v>
      </c>
      <c r="DT165" s="64"/>
      <c r="DU165" s="74"/>
      <c r="DV165" s="64">
        <f t="shared" si="405"/>
        <v>0</v>
      </c>
      <c r="DW165" s="64"/>
      <c r="DX165" s="64"/>
      <c r="DY165" s="64"/>
      <c r="DZ165" s="64"/>
      <c r="EA165" s="375"/>
      <c r="EB165" s="375"/>
      <c r="EC165" s="375"/>
      <c r="ED165" s="375"/>
      <c r="EE165" s="375"/>
      <c r="EF165" s="375"/>
      <c r="EG165" s="375"/>
      <c r="EH165" s="375"/>
      <c r="EI165" s="375"/>
      <c r="EJ165" s="375"/>
      <c r="EK165" s="375"/>
      <c r="EL165" s="375"/>
      <c r="EM165" s="375"/>
      <c r="EN165" s="375"/>
      <c r="EO165" s="375"/>
      <c r="EP165" s="375"/>
      <c r="EQ165" s="375"/>
      <c r="ER165" s="375"/>
      <c r="ES165" s="375"/>
      <c r="ET165" s="375"/>
      <c r="EU165" s="375"/>
      <c r="EV165" s="375"/>
      <c r="EW165" s="375"/>
      <c r="EX165" s="375"/>
      <c r="EY165" s="375"/>
      <c r="EZ165" s="375"/>
      <c r="FA165" s="375"/>
      <c r="FB165" s="375"/>
      <c r="FC165" s="375"/>
      <c r="FD165" s="375"/>
      <c r="FE165" s="375"/>
      <c r="FF165" s="375"/>
      <c r="FG165" s="375"/>
      <c r="FH165" s="375"/>
      <c r="FI165" s="375"/>
      <c r="FJ165" s="375"/>
      <c r="FK165" s="375"/>
      <c r="FL165" s="375"/>
      <c r="FM165" s="375"/>
      <c r="FN165" s="375"/>
      <c r="FO165" s="375"/>
      <c r="FP165" s="375"/>
      <c r="FQ165" s="375"/>
      <c r="FR165" s="375"/>
      <c r="FS165" s="375"/>
      <c r="FT165" s="375"/>
      <c r="FU165" s="375"/>
      <c r="FV165" s="375"/>
      <c r="FW165" s="375"/>
      <c r="FX165" s="375"/>
      <c r="FY165" s="375"/>
      <c r="FZ165" s="375"/>
      <c r="GA165" s="375"/>
      <c r="GB165" s="375"/>
      <c r="GC165" s="375"/>
      <c r="GD165" s="375"/>
      <c r="GE165" s="375"/>
      <c r="GF165" s="375"/>
      <c r="GG165" s="375"/>
      <c r="GH165" s="375"/>
      <c r="GI165" s="375"/>
      <c r="GJ165" s="375"/>
      <c r="GK165" s="375"/>
      <c r="GL165" s="375"/>
      <c r="GM165" s="375"/>
      <c r="GN165" s="375"/>
      <c r="GO165" s="375"/>
      <c r="GP165" s="375"/>
      <c r="GQ165" s="375"/>
      <c r="GR165" s="375"/>
    </row>
    <row r="166" spans="1:200" s="61" customFormat="1" ht="15.75" customHeight="1" x14ac:dyDescent="0.3">
      <c r="A166" s="280"/>
      <c r="B166" s="281"/>
      <c r="C166" s="282"/>
      <c r="D166" s="282">
        <v>1</v>
      </c>
      <c r="E166" s="4">
        <v>138</v>
      </c>
      <c r="F166" s="281"/>
      <c r="G166" s="282"/>
      <c r="H166" s="282">
        <v>1</v>
      </c>
      <c r="I166" s="4"/>
      <c r="J166" s="283"/>
      <c r="K166" s="283"/>
      <c r="L166" s="286"/>
      <c r="M166" s="4">
        <v>135</v>
      </c>
      <c r="N166" s="62" t="s">
        <v>119</v>
      </c>
      <c r="O166" s="62" t="s">
        <v>448</v>
      </c>
      <c r="P166" s="62" t="s">
        <v>448</v>
      </c>
      <c r="Q166" s="60">
        <f t="shared" si="305"/>
        <v>0</v>
      </c>
      <c r="R166" s="60">
        <f t="shared" si="306"/>
        <v>45.048360000000002</v>
      </c>
      <c r="S166" s="60">
        <f t="shared" si="307"/>
        <v>0</v>
      </c>
      <c r="T166" s="60">
        <v>1</v>
      </c>
      <c r="U166" s="60">
        <v>1</v>
      </c>
      <c r="V166" s="64">
        <f t="shared" si="383"/>
        <v>345</v>
      </c>
      <c r="W166" s="64"/>
      <c r="X166" s="65">
        <v>345</v>
      </c>
      <c r="Y166" s="64"/>
      <c r="Z166" s="73"/>
      <c r="AA166" s="64">
        <f t="shared" si="384"/>
        <v>345</v>
      </c>
      <c r="AB166" s="64"/>
      <c r="AC166" s="65">
        <v>345</v>
      </c>
      <c r="AD166" s="64"/>
      <c r="AE166" s="73"/>
      <c r="AF166" s="64">
        <f t="shared" si="385"/>
        <v>345</v>
      </c>
      <c r="AG166" s="64"/>
      <c r="AH166" s="65">
        <v>345</v>
      </c>
      <c r="AI166" s="64"/>
      <c r="AJ166" s="73"/>
      <c r="AK166" s="64">
        <f t="shared" si="386"/>
        <v>150</v>
      </c>
      <c r="AL166" s="64"/>
      <c r="AM166" s="65">
        <v>150</v>
      </c>
      <c r="AN166" s="64"/>
      <c r="AO166" s="107"/>
      <c r="AP166" s="60" t="s">
        <v>527</v>
      </c>
      <c r="AQ166" s="64">
        <f t="shared" si="387"/>
        <v>345</v>
      </c>
      <c r="AR166" s="64"/>
      <c r="AS166" s="65">
        <v>345</v>
      </c>
      <c r="AT166" s="64"/>
      <c r="AU166" s="73"/>
      <c r="AV166" s="64">
        <f t="shared" si="293"/>
        <v>0</v>
      </c>
      <c r="AW166" s="64">
        <f t="shared" si="294"/>
        <v>0</v>
      </c>
      <c r="AX166" s="64">
        <f t="shared" si="295"/>
        <v>0</v>
      </c>
      <c r="AY166" s="64">
        <f t="shared" si="296"/>
        <v>0</v>
      </c>
      <c r="AZ166" s="64" t="e">
        <f>#REF!-AU166</f>
        <v>#REF!</v>
      </c>
      <c r="BA166" s="64">
        <f t="shared" si="388"/>
        <v>345</v>
      </c>
      <c r="BB166" s="64"/>
      <c r="BC166" s="65">
        <v>345</v>
      </c>
      <c r="BD166" s="64"/>
      <c r="BE166" s="73"/>
      <c r="BF166" s="64">
        <f t="shared" si="389"/>
        <v>0</v>
      </c>
      <c r="BG166" s="64"/>
      <c r="BH166" s="73"/>
      <c r="BI166" s="64"/>
      <c r="BJ166" s="73"/>
      <c r="BK166" s="64">
        <f t="shared" si="390"/>
        <v>345</v>
      </c>
      <c r="BL166" s="64"/>
      <c r="BM166" s="65">
        <v>345</v>
      </c>
      <c r="BN166" s="64"/>
      <c r="BO166" s="74"/>
      <c r="BP166" s="64">
        <f t="shared" si="391"/>
        <v>299.95164</v>
      </c>
      <c r="BQ166" s="64"/>
      <c r="BR166" s="74">
        <f>299.95164</f>
        <v>299.95164</v>
      </c>
      <c r="BS166" s="64"/>
      <c r="BT166" s="74"/>
      <c r="BU166" s="64">
        <f t="shared" si="359"/>
        <v>109.81836</v>
      </c>
      <c r="BV166" s="64"/>
      <c r="BW166" s="64">
        <v>109.81836</v>
      </c>
      <c r="BX166" s="64"/>
      <c r="BY166" s="64"/>
      <c r="BZ166" s="60">
        <f t="shared" si="392"/>
        <v>409.77</v>
      </c>
      <c r="CA166" s="64">
        <f t="shared" si="297"/>
        <v>409.77</v>
      </c>
      <c r="CB166" s="64">
        <f t="shared" si="298"/>
        <v>0</v>
      </c>
      <c r="CC166" s="64">
        <f t="shared" si="299"/>
        <v>409.77</v>
      </c>
      <c r="CD166" s="64">
        <f t="shared" si="300"/>
        <v>0</v>
      </c>
      <c r="CE166" s="64">
        <f t="shared" si="393"/>
        <v>0</v>
      </c>
      <c r="CF166" s="64">
        <f t="shared" si="301"/>
        <v>45.048360000000002</v>
      </c>
      <c r="CG166" s="64">
        <f t="shared" si="302"/>
        <v>0</v>
      </c>
      <c r="CH166" s="64">
        <f t="shared" si="303"/>
        <v>45.048360000000002</v>
      </c>
      <c r="CI166" s="64">
        <f t="shared" si="304"/>
        <v>0</v>
      </c>
      <c r="CJ166" s="64">
        <f t="shared" si="394"/>
        <v>0</v>
      </c>
      <c r="CK166" s="66"/>
      <c r="CL166" s="67"/>
      <c r="CM166" s="67"/>
      <c r="CN166" s="64">
        <f t="shared" si="395"/>
        <v>0</v>
      </c>
      <c r="CO166" s="64"/>
      <c r="CP166" s="73"/>
      <c r="CQ166" s="64"/>
      <c r="CR166" s="73"/>
      <c r="CS166" s="64">
        <f t="shared" si="396"/>
        <v>0</v>
      </c>
      <c r="CT166" s="64"/>
      <c r="CU166" s="73"/>
      <c r="CV166" s="64"/>
      <c r="CW166" s="73"/>
      <c r="CX166" s="64">
        <f t="shared" si="397"/>
        <v>0</v>
      </c>
      <c r="CY166" s="64">
        <f t="shared" si="398"/>
        <v>0</v>
      </c>
      <c r="CZ166" s="64">
        <f t="shared" si="398"/>
        <v>0</v>
      </c>
      <c r="DA166" s="64">
        <f t="shared" si="398"/>
        <v>0</v>
      </c>
      <c r="DB166" s="64">
        <f t="shared" si="398"/>
        <v>0</v>
      </c>
      <c r="DC166" s="64"/>
      <c r="DD166" s="64"/>
      <c r="DE166" s="64"/>
      <c r="DF166" s="64">
        <f t="shared" si="399"/>
        <v>45.048360000000002</v>
      </c>
      <c r="DH166" s="64">
        <f t="shared" si="400"/>
        <v>345</v>
      </c>
      <c r="DI166" s="64">
        <f t="shared" si="401"/>
        <v>299.95164</v>
      </c>
      <c r="DK166" s="64"/>
      <c r="DL166" s="64"/>
      <c r="DN166" s="64"/>
      <c r="DQ166" s="64">
        <f t="shared" si="404"/>
        <v>299.95164</v>
      </c>
      <c r="DR166" s="64"/>
      <c r="DS166" s="74">
        <f>299.95164</f>
        <v>299.95164</v>
      </c>
      <c r="DT166" s="64"/>
      <c r="DU166" s="74"/>
      <c r="DV166" s="64">
        <f t="shared" si="405"/>
        <v>109.81836</v>
      </c>
      <c r="DW166" s="64"/>
      <c r="DX166" s="64">
        <v>109.81836</v>
      </c>
      <c r="DY166" s="64"/>
      <c r="DZ166" s="64"/>
      <c r="EA166" s="375"/>
      <c r="EB166" s="375"/>
      <c r="EC166" s="375"/>
      <c r="ED166" s="375"/>
      <c r="EE166" s="375"/>
      <c r="EF166" s="375"/>
      <c r="EG166" s="375"/>
      <c r="EH166" s="375"/>
      <c r="EI166" s="375"/>
      <c r="EJ166" s="375"/>
      <c r="EK166" s="375"/>
      <c r="EL166" s="375"/>
      <c r="EM166" s="375"/>
      <c r="EN166" s="375"/>
      <c r="EO166" s="375"/>
      <c r="EP166" s="375"/>
      <c r="EQ166" s="375"/>
      <c r="ER166" s="375"/>
      <c r="ES166" s="375"/>
      <c r="ET166" s="375"/>
      <c r="EU166" s="375"/>
      <c r="EV166" s="375"/>
      <c r="EW166" s="375"/>
      <c r="EX166" s="375"/>
      <c r="EY166" s="375"/>
      <c r="EZ166" s="375"/>
      <c r="FA166" s="375"/>
      <c r="FB166" s="375"/>
      <c r="FC166" s="375"/>
      <c r="FD166" s="375"/>
      <c r="FE166" s="375"/>
      <c r="FF166" s="375"/>
      <c r="FG166" s="375"/>
      <c r="FH166" s="375"/>
      <c r="FI166" s="375"/>
      <c r="FJ166" s="375"/>
      <c r="FK166" s="375"/>
      <c r="FL166" s="375"/>
      <c r="FM166" s="375"/>
      <c r="FN166" s="375"/>
      <c r="FO166" s="375"/>
      <c r="FP166" s="375"/>
      <c r="FQ166" s="375"/>
      <c r="FR166" s="375"/>
      <c r="FS166" s="375"/>
      <c r="FT166" s="375"/>
      <c r="FU166" s="375"/>
      <c r="FV166" s="375"/>
      <c r="FW166" s="375"/>
      <c r="FX166" s="375"/>
      <c r="FY166" s="375"/>
      <c r="FZ166" s="375"/>
      <c r="GA166" s="375"/>
      <c r="GB166" s="375"/>
      <c r="GC166" s="375"/>
      <c r="GD166" s="375"/>
      <c r="GE166" s="375"/>
      <c r="GF166" s="375"/>
      <c r="GG166" s="375"/>
      <c r="GH166" s="375"/>
      <c r="GI166" s="375"/>
      <c r="GJ166" s="375"/>
      <c r="GK166" s="375"/>
      <c r="GL166" s="375"/>
      <c r="GM166" s="375"/>
      <c r="GN166" s="375"/>
      <c r="GO166" s="375"/>
      <c r="GP166" s="375"/>
      <c r="GQ166" s="375"/>
      <c r="GR166" s="375"/>
    </row>
    <row r="167" spans="1:200" s="61" customFormat="1" ht="15.75" customHeight="1" x14ac:dyDescent="0.3">
      <c r="A167" s="280"/>
      <c r="B167" s="281"/>
      <c r="C167" s="282"/>
      <c r="D167" s="282">
        <v>1</v>
      </c>
      <c r="E167" s="4">
        <v>139</v>
      </c>
      <c r="F167" s="281"/>
      <c r="G167" s="282"/>
      <c r="H167" s="282"/>
      <c r="I167" s="280"/>
      <c r="J167" s="280"/>
      <c r="K167" s="280"/>
      <c r="L167" s="280"/>
      <c r="M167" s="4">
        <v>136</v>
      </c>
      <c r="N167" s="62" t="s">
        <v>120</v>
      </c>
      <c r="O167" s="62" t="s">
        <v>522</v>
      </c>
      <c r="P167" s="62" t="s">
        <v>448</v>
      </c>
      <c r="Q167" s="60">
        <f t="shared" si="305"/>
        <v>0</v>
      </c>
      <c r="R167" s="60">
        <f t="shared" si="306"/>
        <v>15.316349999999943</v>
      </c>
      <c r="S167" s="60">
        <f t="shared" si="307"/>
        <v>0</v>
      </c>
      <c r="T167" s="60">
        <v>1</v>
      </c>
      <c r="U167" s="60">
        <v>1</v>
      </c>
      <c r="V167" s="64">
        <f t="shared" si="383"/>
        <v>562.99199999999996</v>
      </c>
      <c r="W167" s="64"/>
      <c r="X167" s="65">
        <v>562.99199999999996</v>
      </c>
      <c r="Y167" s="64"/>
      <c r="Z167" s="78"/>
      <c r="AA167" s="64">
        <f t="shared" si="384"/>
        <v>692.3</v>
      </c>
      <c r="AB167" s="64"/>
      <c r="AC167" s="65">
        <v>692.3</v>
      </c>
      <c r="AD167" s="64"/>
      <c r="AE167" s="78"/>
      <c r="AF167" s="64">
        <f t="shared" si="385"/>
        <v>692.3</v>
      </c>
      <c r="AG167" s="64"/>
      <c r="AH167" s="65">
        <v>692.3</v>
      </c>
      <c r="AI167" s="64"/>
      <c r="AJ167" s="78"/>
      <c r="AK167" s="64">
        <f t="shared" si="386"/>
        <v>301</v>
      </c>
      <c r="AL167" s="64"/>
      <c r="AM167" s="65">
        <v>301</v>
      </c>
      <c r="AN167" s="64"/>
      <c r="AP167" s="60" t="s">
        <v>549</v>
      </c>
      <c r="AQ167" s="64">
        <f t="shared" si="387"/>
        <v>562.99199999999996</v>
      </c>
      <c r="AR167" s="64"/>
      <c r="AS167" s="64">
        <v>562.99199999999996</v>
      </c>
      <c r="AT167" s="64"/>
      <c r="AU167" s="64"/>
      <c r="AV167" s="64">
        <f t="shared" si="293"/>
        <v>0</v>
      </c>
      <c r="AW167" s="64">
        <f t="shared" si="294"/>
        <v>0</v>
      </c>
      <c r="AX167" s="64">
        <f t="shared" si="295"/>
        <v>0</v>
      </c>
      <c r="AY167" s="64">
        <f t="shared" si="296"/>
        <v>0</v>
      </c>
      <c r="AZ167" s="64" t="e">
        <f>#REF!-AU167</f>
        <v>#REF!</v>
      </c>
      <c r="BA167" s="64">
        <f t="shared" si="388"/>
        <v>562.99199999999996</v>
      </c>
      <c r="BB167" s="64"/>
      <c r="BC167" s="64">
        <v>562.99199999999996</v>
      </c>
      <c r="BD167" s="64"/>
      <c r="BE167" s="64"/>
      <c r="BF167" s="64">
        <f t="shared" si="389"/>
        <v>0</v>
      </c>
      <c r="BG167" s="64"/>
      <c r="BH167" s="64"/>
      <c r="BI167" s="64"/>
      <c r="BJ167" s="64"/>
      <c r="BK167" s="64">
        <f t="shared" si="390"/>
        <v>562.99199999999996</v>
      </c>
      <c r="BL167" s="64"/>
      <c r="BM167" s="64">
        <v>562.99199999999996</v>
      </c>
      <c r="BN167" s="64"/>
      <c r="BO167" s="64"/>
      <c r="BP167" s="64">
        <f t="shared" si="391"/>
        <v>547.67565000000002</v>
      </c>
      <c r="BQ167" s="64"/>
      <c r="BR167" s="64">
        <v>547.67565000000002</v>
      </c>
      <c r="BS167" s="64"/>
      <c r="BT167" s="64"/>
      <c r="BU167" s="64">
        <f t="shared" si="359"/>
        <v>192.42659</v>
      </c>
      <c r="BV167" s="64"/>
      <c r="BW167" s="64">
        <v>192.42659</v>
      </c>
      <c r="BX167" s="64"/>
      <c r="BY167" s="64"/>
      <c r="BZ167" s="60">
        <f t="shared" si="392"/>
        <v>740.10224000000005</v>
      </c>
      <c r="CA167" s="64">
        <f t="shared" si="297"/>
        <v>740.10224000000005</v>
      </c>
      <c r="CB167" s="64">
        <f t="shared" si="298"/>
        <v>0</v>
      </c>
      <c r="CC167" s="64">
        <f t="shared" si="299"/>
        <v>740.10224000000005</v>
      </c>
      <c r="CD167" s="64">
        <f t="shared" si="300"/>
        <v>0</v>
      </c>
      <c r="CE167" s="64">
        <f t="shared" si="393"/>
        <v>0</v>
      </c>
      <c r="CF167" s="64">
        <f t="shared" si="301"/>
        <v>15.316349999999943</v>
      </c>
      <c r="CG167" s="64">
        <f t="shared" si="302"/>
        <v>0</v>
      </c>
      <c r="CH167" s="64">
        <f t="shared" si="303"/>
        <v>15.316349999999943</v>
      </c>
      <c r="CI167" s="64">
        <f t="shared" si="304"/>
        <v>0</v>
      </c>
      <c r="CJ167" s="64">
        <f t="shared" si="394"/>
        <v>0</v>
      </c>
      <c r="CK167" s="66"/>
      <c r="CL167" s="67"/>
      <c r="CM167" s="67"/>
      <c r="CN167" s="64">
        <f t="shared" si="395"/>
        <v>0</v>
      </c>
      <c r="CO167" s="64"/>
      <c r="CP167" s="64"/>
      <c r="CQ167" s="64"/>
      <c r="CR167" s="64"/>
      <c r="CS167" s="64">
        <f t="shared" si="396"/>
        <v>0</v>
      </c>
      <c r="CT167" s="64"/>
      <c r="CU167" s="64"/>
      <c r="CV167" s="64"/>
      <c r="CW167" s="64"/>
      <c r="CX167" s="64">
        <f t="shared" si="397"/>
        <v>0</v>
      </c>
      <c r="CY167" s="64">
        <f t="shared" si="398"/>
        <v>0</v>
      </c>
      <c r="CZ167" s="64">
        <f t="shared" si="398"/>
        <v>0</v>
      </c>
      <c r="DA167" s="64">
        <f t="shared" si="398"/>
        <v>0</v>
      </c>
      <c r="DB167" s="64">
        <f t="shared" si="398"/>
        <v>0</v>
      </c>
      <c r="DC167" s="64"/>
      <c r="DD167" s="64"/>
      <c r="DE167" s="64"/>
      <c r="DF167" s="64">
        <f t="shared" si="399"/>
        <v>15.316349999999943</v>
      </c>
      <c r="DH167" s="64">
        <f t="shared" si="400"/>
        <v>562.99199999999996</v>
      </c>
      <c r="DI167" s="64">
        <f t="shared" si="401"/>
        <v>547.67565000000002</v>
      </c>
      <c r="DK167" s="64"/>
      <c r="DL167" s="64"/>
      <c r="DN167" s="64"/>
      <c r="DQ167" s="64">
        <f t="shared" si="404"/>
        <v>547.67565000000002</v>
      </c>
      <c r="DR167" s="64"/>
      <c r="DS167" s="64">
        <v>547.67565000000002</v>
      </c>
      <c r="DT167" s="64"/>
      <c r="DU167" s="64"/>
      <c r="DV167" s="64">
        <f t="shared" si="405"/>
        <v>0</v>
      </c>
      <c r="DW167" s="64"/>
      <c r="DX167" s="64"/>
      <c r="DY167" s="64"/>
      <c r="DZ167" s="64"/>
      <c r="EA167" s="375"/>
      <c r="EB167" s="375"/>
      <c r="EC167" s="375"/>
      <c r="ED167" s="375"/>
      <c r="EE167" s="375"/>
      <c r="EF167" s="375"/>
      <c r="EG167" s="375"/>
      <c r="EH167" s="375"/>
      <c r="EI167" s="375"/>
      <c r="EJ167" s="375"/>
      <c r="EK167" s="375"/>
      <c r="EL167" s="375"/>
      <c r="EM167" s="375"/>
      <c r="EN167" s="375"/>
      <c r="EO167" s="375"/>
      <c r="EP167" s="375"/>
      <c r="EQ167" s="375"/>
      <c r="ER167" s="375"/>
      <c r="ES167" s="375"/>
      <c r="ET167" s="375"/>
      <c r="EU167" s="375"/>
      <c r="EV167" s="375"/>
      <c r="EW167" s="375"/>
      <c r="EX167" s="375"/>
      <c r="EY167" s="375"/>
      <c r="EZ167" s="375"/>
      <c r="FA167" s="375"/>
      <c r="FB167" s="375"/>
      <c r="FC167" s="375"/>
      <c r="FD167" s="375"/>
      <c r="FE167" s="375"/>
      <c r="FF167" s="375"/>
      <c r="FG167" s="375"/>
      <c r="FH167" s="375"/>
      <c r="FI167" s="375"/>
      <c r="FJ167" s="375"/>
      <c r="FK167" s="375"/>
      <c r="FL167" s="375"/>
      <c r="FM167" s="375"/>
      <c r="FN167" s="375"/>
      <c r="FO167" s="375"/>
      <c r="FP167" s="375"/>
      <c r="FQ167" s="375"/>
      <c r="FR167" s="375"/>
      <c r="FS167" s="375"/>
      <c r="FT167" s="375"/>
      <c r="FU167" s="375"/>
      <c r="FV167" s="375"/>
      <c r="FW167" s="375"/>
      <c r="FX167" s="375"/>
      <c r="FY167" s="375"/>
      <c r="FZ167" s="375"/>
      <c r="GA167" s="375"/>
      <c r="GB167" s="375"/>
      <c r="GC167" s="375"/>
      <c r="GD167" s="375"/>
      <c r="GE167" s="375"/>
      <c r="GF167" s="375"/>
      <c r="GG167" s="375"/>
      <c r="GH167" s="375"/>
      <c r="GI167" s="375"/>
      <c r="GJ167" s="375"/>
      <c r="GK167" s="375"/>
      <c r="GL167" s="375"/>
      <c r="GM167" s="375"/>
      <c r="GN167" s="375"/>
      <c r="GO167" s="375"/>
      <c r="GP167" s="375"/>
      <c r="GQ167" s="375"/>
      <c r="GR167" s="375"/>
    </row>
    <row r="168" spans="1:200" s="61" customFormat="1" ht="15.75" customHeight="1" x14ac:dyDescent="0.3">
      <c r="A168" s="280"/>
      <c r="B168" s="281"/>
      <c r="C168" s="282"/>
      <c r="D168" s="282">
        <v>1</v>
      </c>
      <c r="E168" s="4">
        <v>140</v>
      </c>
      <c r="F168" s="281"/>
      <c r="G168" s="282"/>
      <c r="H168" s="282">
        <v>1</v>
      </c>
      <c r="I168" s="4"/>
      <c r="J168" s="283"/>
      <c r="K168" s="283"/>
      <c r="L168" s="286"/>
      <c r="M168" s="4">
        <v>137</v>
      </c>
      <c r="N168" s="62" t="s">
        <v>121</v>
      </c>
      <c r="O168" s="62" t="s">
        <v>448</v>
      </c>
      <c r="P168" s="62" t="s">
        <v>448</v>
      </c>
      <c r="Q168" s="60">
        <f t="shared" si="305"/>
        <v>0</v>
      </c>
      <c r="R168" s="60">
        <f t="shared" si="306"/>
        <v>3.2300800000000436</v>
      </c>
      <c r="S168" s="60">
        <f t="shared" si="307"/>
        <v>0</v>
      </c>
      <c r="T168" s="60">
        <v>1</v>
      </c>
      <c r="U168" s="60">
        <v>2</v>
      </c>
      <c r="V168" s="64">
        <f t="shared" si="383"/>
        <v>690</v>
      </c>
      <c r="W168" s="64"/>
      <c r="X168" s="65">
        <v>690</v>
      </c>
      <c r="Y168" s="64"/>
      <c r="Z168" s="73"/>
      <c r="AA168" s="64">
        <f t="shared" si="384"/>
        <v>690</v>
      </c>
      <c r="AB168" s="64"/>
      <c r="AC168" s="65">
        <v>690</v>
      </c>
      <c r="AD168" s="64"/>
      <c r="AE168" s="73"/>
      <c r="AF168" s="64">
        <f t="shared" si="385"/>
        <v>690</v>
      </c>
      <c r="AG168" s="64"/>
      <c r="AH168" s="65">
        <v>690</v>
      </c>
      <c r="AI168" s="64"/>
      <c r="AJ168" s="73"/>
      <c r="AK168" s="64">
        <f t="shared" si="386"/>
        <v>300</v>
      </c>
      <c r="AL168" s="64"/>
      <c r="AM168" s="65">
        <v>300</v>
      </c>
      <c r="AN168" s="64"/>
      <c r="AO168" s="107"/>
      <c r="AP168" s="60" t="s">
        <v>496</v>
      </c>
      <c r="AQ168" s="64">
        <f t="shared" si="387"/>
        <v>690</v>
      </c>
      <c r="AR168" s="64"/>
      <c r="AS168" s="65">
        <f>300+390</f>
        <v>690</v>
      </c>
      <c r="AT168" s="64"/>
      <c r="AU168" s="73"/>
      <c r="AV168" s="64">
        <f t="shared" si="293"/>
        <v>0</v>
      </c>
      <c r="AW168" s="64">
        <f t="shared" si="294"/>
        <v>0</v>
      </c>
      <c r="AX168" s="64">
        <f t="shared" si="295"/>
        <v>0</v>
      </c>
      <c r="AY168" s="64">
        <f t="shared" si="296"/>
        <v>0</v>
      </c>
      <c r="AZ168" s="64" t="e">
        <f>#REF!-AU168</f>
        <v>#REF!</v>
      </c>
      <c r="BA168" s="64">
        <f t="shared" si="388"/>
        <v>690</v>
      </c>
      <c r="BB168" s="64"/>
      <c r="BC168" s="65">
        <f>300+390</f>
        <v>690</v>
      </c>
      <c r="BD168" s="64"/>
      <c r="BE168" s="73"/>
      <c r="BF168" s="64">
        <f t="shared" si="389"/>
        <v>0</v>
      </c>
      <c r="BG168" s="64"/>
      <c r="BH168" s="65"/>
      <c r="BI168" s="64"/>
      <c r="BJ168" s="73"/>
      <c r="BK168" s="64">
        <f t="shared" si="390"/>
        <v>690</v>
      </c>
      <c r="BL168" s="64"/>
      <c r="BM168" s="65">
        <f>300+390</f>
        <v>690</v>
      </c>
      <c r="BN168" s="64"/>
      <c r="BO168" s="74"/>
      <c r="BP168" s="64">
        <f t="shared" si="391"/>
        <v>686.76991999999996</v>
      </c>
      <c r="BQ168" s="64"/>
      <c r="BR168" s="74">
        <f>390+296.76992</f>
        <v>686.76991999999996</v>
      </c>
      <c r="BS168" s="64"/>
      <c r="BT168" s="74"/>
      <c r="BU168" s="64">
        <f t="shared" si="359"/>
        <v>233.22621999999998</v>
      </c>
      <c r="BV168" s="64"/>
      <c r="BW168" s="64">
        <f>99.22008+134.00614</f>
        <v>233.22621999999998</v>
      </c>
      <c r="BX168" s="64"/>
      <c r="BY168" s="64"/>
      <c r="BZ168" s="60">
        <f t="shared" si="392"/>
        <v>919.99613999999997</v>
      </c>
      <c r="CA168" s="64">
        <f t="shared" si="297"/>
        <v>919.99613999999997</v>
      </c>
      <c r="CB168" s="64">
        <f t="shared" si="298"/>
        <v>0</v>
      </c>
      <c r="CC168" s="64">
        <f t="shared" si="299"/>
        <v>919.99613999999997</v>
      </c>
      <c r="CD168" s="64">
        <f t="shared" si="300"/>
        <v>0</v>
      </c>
      <c r="CE168" s="64">
        <f t="shared" si="393"/>
        <v>0</v>
      </c>
      <c r="CF168" s="64">
        <f t="shared" si="301"/>
        <v>3.2300800000000436</v>
      </c>
      <c r="CG168" s="64">
        <f t="shared" si="302"/>
        <v>0</v>
      </c>
      <c r="CH168" s="64">
        <f t="shared" si="303"/>
        <v>3.2300800000000436</v>
      </c>
      <c r="CI168" s="64">
        <f t="shared" si="304"/>
        <v>0</v>
      </c>
      <c r="CJ168" s="64">
        <f t="shared" si="394"/>
        <v>0</v>
      </c>
      <c r="CK168" s="66"/>
      <c r="CL168" s="67"/>
      <c r="CM168" s="67"/>
      <c r="CN168" s="64">
        <f t="shared" si="395"/>
        <v>0</v>
      </c>
      <c r="CO168" s="64"/>
      <c r="CP168" s="65"/>
      <c r="CQ168" s="64"/>
      <c r="CR168" s="73"/>
      <c r="CS168" s="64">
        <f t="shared" si="396"/>
        <v>0</v>
      </c>
      <c r="CT168" s="64"/>
      <c r="CU168" s="65"/>
      <c r="CV168" s="64"/>
      <c r="CW168" s="73"/>
      <c r="CX168" s="64">
        <f t="shared" si="397"/>
        <v>0</v>
      </c>
      <c r="CY168" s="64">
        <f t="shared" si="398"/>
        <v>0</v>
      </c>
      <c r="CZ168" s="64">
        <f t="shared" si="398"/>
        <v>0</v>
      </c>
      <c r="DA168" s="64">
        <f t="shared" si="398"/>
        <v>0</v>
      </c>
      <c r="DB168" s="64">
        <f t="shared" si="398"/>
        <v>0</v>
      </c>
      <c r="DC168" s="64"/>
      <c r="DD168" s="64"/>
      <c r="DE168" s="64"/>
      <c r="DF168" s="64">
        <f t="shared" si="399"/>
        <v>3.2300800000000436</v>
      </c>
      <c r="DH168" s="64">
        <f t="shared" si="400"/>
        <v>690</v>
      </c>
      <c r="DI168" s="64">
        <f t="shared" si="401"/>
        <v>686.76991999999996</v>
      </c>
      <c r="DK168" s="64"/>
      <c r="DL168" s="64"/>
      <c r="DN168" s="64"/>
      <c r="DQ168" s="64">
        <f t="shared" si="404"/>
        <v>686.76991999999996</v>
      </c>
      <c r="DR168" s="64"/>
      <c r="DS168" s="74">
        <f>390+296.76992</f>
        <v>686.76991999999996</v>
      </c>
      <c r="DT168" s="64"/>
      <c r="DU168" s="74"/>
      <c r="DV168" s="64">
        <f t="shared" si="405"/>
        <v>0</v>
      </c>
      <c r="DW168" s="64"/>
      <c r="DX168" s="64"/>
      <c r="DY168" s="64"/>
      <c r="DZ168" s="64"/>
      <c r="EA168" s="375"/>
      <c r="EB168" s="375"/>
      <c r="EC168" s="375"/>
      <c r="ED168" s="375"/>
      <c r="EE168" s="375"/>
      <c r="EF168" s="375"/>
      <c r="EG168" s="375"/>
      <c r="EH168" s="375"/>
      <c r="EI168" s="375"/>
      <c r="EJ168" s="375"/>
      <c r="EK168" s="375"/>
      <c r="EL168" s="375"/>
      <c r="EM168" s="375"/>
      <c r="EN168" s="375"/>
      <c r="EO168" s="375"/>
      <c r="EP168" s="375"/>
      <c r="EQ168" s="375"/>
      <c r="ER168" s="375"/>
      <c r="ES168" s="375"/>
      <c r="ET168" s="375"/>
      <c r="EU168" s="375"/>
      <c r="EV168" s="375"/>
      <c r="EW168" s="375"/>
      <c r="EX168" s="375"/>
      <c r="EY168" s="375"/>
      <c r="EZ168" s="375"/>
      <c r="FA168" s="375"/>
      <c r="FB168" s="375"/>
      <c r="FC168" s="375"/>
      <c r="FD168" s="375"/>
      <c r="FE168" s="375"/>
      <c r="FF168" s="375"/>
      <c r="FG168" s="375"/>
      <c r="FH168" s="375"/>
      <c r="FI168" s="375"/>
      <c r="FJ168" s="375"/>
      <c r="FK168" s="375"/>
      <c r="FL168" s="375"/>
      <c r="FM168" s="375"/>
      <c r="FN168" s="375"/>
      <c r="FO168" s="375"/>
      <c r="FP168" s="375"/>
      <c r="FQ168" s="375"/>
      <c r="FR168" s="375"/>
      <c r="FS168" s="375"/>
      <c r="FT168" s="375"/>
      <c r="FU168" s="375"/>
      <c r="FV168" s="375"/>
      <c r="FW168" s="375"/>
      <c r="FX168" s="375"/>
      <c r="FY168" s="375"/>
      <c r="FZ168" s="375"/>
      <c r="GA168" s="375"/>
      <c r="GB168" s="375"/>
      <c r="GC168" s="375"/>
      <c r="GD168" s="375"/>
      <c r="GE168" s="375"/>
      <c r="GF168" s="375"/>
      <c r="GG168" s="375"/>
      <c r="GH168" s="375"/>
      <c r="GI168" s="375"/>
      <c r="GJ168" s="375"/>
      <c r="GK168" s="375"/>
      <c r="GL168" s="375"/>
      <c r="GM168" s="375"/>
      <c r="GN168" s="375"/>
      <c r="GO168" s="375"/>
      <c r="GP168" s="375"/>
      <c r="GQ168" s="375"/>
      <c r="GR168" s="375"/>
    </row>
    <row r="169" spans="1:200" s="61" customFormat="1" ht="15.75" customHeight="1" x14ac:dyDescent="0.3">
      <c r="A169" s="280"/>
      <c r="B169" s="281"/>
      <c r="C169" s="282"/>
      <c r="D169" s="282">
        <v>1</v>
      </c>
      <c r="E169" s="4">
        <v>141</v>
      </c>
      <c r="F169" s="281"/>
      <c r="G169" s="282"/>
      <c r="H169" s="282">
        <v>1</v>
      </c>
      <c r="I169" s="4"/>
      <c r="J169" s="283"/>
      <c r="K169" s="283"/>
      <c r="L169" s="286"/>
      <c r="M169" s="4">
        <v>138</v>
      </c>
      <c r="N169" s="62" t="s">
        <v>231</v>
      </c>
      <c r="O169" s="62" t="s">
        <v>448</v>
      </c>
      <c r="P169" s="62" t="s">
        <v>448</v>
      </c>
      <c r="Q169" s="60">
        <f t="shared" si="305"/>
        <v>0</v>
      </c>
      <c r="R169" s="60">
        <f t="shared" si="306"/>
        <v>0</v>
      </c>
      <c r="S169" s="60">
        <f t="shared" si="307"/>
        <v>570.27328000000034</v>
      </c>
      <c r="T169" s="60">
        <v>1</v>
      </c>
      <c r="U169" s="60">
        <v>2</v>
      </c>
      <c r="V169" s="64">
        <f t="shared" si="383"/>
        <v>6633.78</v>
      </c>
      <c r="W169" s="64"/>
      <c r="X169" s="65">
        <v>0</v>
      </c>
      <c r="Y169" s="64">
        <v>6633.78</v>
      </c>
      <c r="Z169" s="73"/>
      <c r="AA169" s="64">
        <f t="shared" si="384"/>
        <v>6634.1180000000004</v>
      </c>
      <c r="AB169" s="64"/>
      <c r="AC169" s="65">
        <v>0</v>
      </c>
      <c r="AD169" s="64">
        <v>6634.1180000000004</v>
      </c>
      <c r="AE169" s="73"/>
      <c r="AF169" s="64">
        <f t="shared" si="385"/>
        <v>8250</v>
      </c>
      <c r="AG169" s="64"/>
      <c r="AH169" s="65">
        <v>0</v>
      </c>
      <c r="AI169" s="64">
        <v>8250</v>
      </c>
      <c r="AJ169" s="73"/>
      <c r="AK169" s="64">
        <f t="shared" si="386"/>
        <v>8254</v>
      </c>
      <c r="AL169" s="64"/>
      <c r="AM169" s="65">
        <v>4</v>
      </c>
      <c r="AN169" s="64">
        <v>8250</v>
      </c>
      <c r="AO169" s="107"/>
      <c r="AP169" s="60" t="s">
        <v>478</v>
      </c>
      <c r="AQ169" s="64">
        <f t="shared" si="387"/>
        <v>6633.78</v>
      </c>
      <c r="AR169" s="64"/>
      <c r="AS169" s="65"/>
      <c r="AT169" s="64">
        <f>6146.616+487.164</f>
        <v>6633.78</v>
      </c>
      <c r="AU169" s="64"/>
      <c r="AV169" s="64">
        <f t="shared" si="293"/>
        <v>0</v>
      </c>
      <c r="AW169" s="64">
        <f t="shared" si="294"/>
        <v>0</v>
      </c>
      <c r="AX169" s="64">
        <f t="shared" si="295"/>
        <v>0</v>
      </c>
      <c r="AY169" s="64">
        <f t="shared" si="296"/>
        <v>0</v>
      </c>
      <c r="AZ169" s="64" t="e">
        <f>#REF!-AU169</f>
        <v>#REF!</v>
      </c>
      <c r="BA169" s="64">
        <f t="shared" si="388"/>
        <v>6633.78</v>
      </c>
      <c r="BB169" s="64"/>
      <c r="BC169" s="65"/>
      <c r="BD169" s="64">
        <f>6146.616+487.164</f>
        <v>6633.78</v>
      </c>
      <c r="BE169" s="64"/>
      <c r="BF169" s="64">
        <f t="shared" si="389"/>
        <v>0</v>
      </c>
      <c r="BG169" s="64"/>
      <c r="BH169" s="65"/>
      <c r="BI169" s="64"/>
      <c r="BJ169" s="64"/>
      <c r="BK169" s="64">
        <f t="shared" si="390"/>
        <v>6633.78</v>
      </c>
      <c r="BL169" s="64"/>
      <c r="BM169" s="74"/>
      <c r="BN169" s="64">
        <f>6146.616+487.164</f>
        <v>6633.78</v>
      </c>
      <c r="BO169" s="64"/>
      <c r="BP169" s="64">
        <f t="shared" si="391"/>
        <v>6063.5067199999994</v>
      </c>
      <c r="BQ169" s="64"/>
      <c r="BR169" s="74"/>
      <c r="BS169" s="64">
        <f>706.986+487.164+4869.35672</f>
        <v>6063.5067199999994</v>
      </c>
      <c r="BT169" s="64"/>
      <c r="BU169" s="64">
        <f t="shared" si="359"/>
        <v>2021.1712299999999</v>
      </c>
      <c r="BV169" s="64"/>
      <c r="BW169" s="64"/>
      <c r="BX169" s="64">
        <f>235.663+162.388+1623.12023</f>
        <v>2021.1712299999999</v>
      </c>
      <c r="BY169" s="64"/>
      <c r="BZ169" s="60">
        <f t="shared" si="392"/>
        <v>8084.6779499999993</v>
      </c>
      <c r="CA169" s="64">
        <f t="shared" si="297"/>
        <v>8084.6779499999993</v>
      </c>
      <c r="CB169" s="64">
        <f t="shared" si="298"/>
        <v>0</v>
      </c>
      <c r="CC169" s="64">
        <f t="shared" si="299"/>
        <v>0</v>
      </c>
      <c r="CD169" s="64">
        <f t="shared" si="300"/>
        <v>8084.6779499999993</v>
      </c>
      <c r="CE169" s="64">
        <f t="shared" si="393"/>
        <v>0</v>
      </c>
      <c r="CF169" s="64">
        <f t="shared" si="301"/>
        <v>570.27328000000034</v>
      </c>
      <c r="CG169" s="64">
        <f t="shared" si="302"/>
        <v>0</v>
      </c>
      <c r="CH169" s="64">
        <f t="shared" si="303"/>
        <v>0</v>
      </c>
      <c r="CI169" s="64">
        <f t="shared" si="304"/>
        <v>570.27328000000034</v>
      </c>
      <c r="CJ169" s="64">
        <f t="shared" si="394"/>
        <v>0</v>
      </c>
      <c r="CK169" s="66"/>
      <c r="CL169" s="67"/>
      <c r="CM169" s="67"/>
      <c r="CN169" s="64">
        <f t="shared" si="395"/>
        <v>0</v>
      </c>
      <c r="CO169" s="64"/>
      <c r="CP169" s="65"/>
      <c r="CQ169" s="64"/>
      <c r="CR169" s="64"/>
      <c r="CS169" s="64">
        <f t="shared" si="396"/>
        <v>0</v>
      </c>
      <c r="CT169" s="64"/>
      <c r="CU169" s="65"/>
      <c r="CV169" s="64"/>
      <c r="CW169" s="64"/>
      <c r="CX169" s="64">
        <f t="shared" si="397"/>
        <v>0</v>
      </c>
      <c r="CY169" s="64">
        <f t="shared" si="398"/>
        <v>0</v>
      </c>
      <c r="CZ169" s="64">
        <f t="shared" si="398"/>
        <v>0</v>
      </c>
      <c r="DA169" s="64">
        <f t="shared" si="398"/>
        <v>0</v>
      </c>
      <c r="DB169" s="64">
        <f t="shared" si="398"/>
        <v>0</v>
      </c>
      <c r="DC169" s="64"/>
      <c r="DD169" s="64"/>
      <c r="DE169" s="64"/>
      <c r="DF169" s="64">
        <f t="shared" si="399"/>
        <v>570.27328000000034</v>
      </c>
      <c r="DH169" s="64">
        <f t="shared" si="400"/>
        <v>6633.78</v>
      </c>
      <c r="DI169" s="64">
        <f t="shared" si="401"/>
        <v>6063.5067199999994</v>
      </c>
      <c r="DK169" s="64"/>
      <c r="DL169" s="64"/>
      <c r="DN169" s="64"/>
      <c r="DQ169" s="64">
        <f t="shared" si="404"/>
        <v>4936.46497</v>
      </c>
      <c r="DR169" s="64"/>
      <c r="DS169" s="74"/>
      <c r="DT169" s="64">
        <v>4936.46497</v>
      </c>
      <c r="DU169" s="64"/>
      <c r="DV169" s="64">
        <f t="shared" si="405"/>
        <v>1645.4883199999999</v>
      </c>
      <c r="DW169" s="64"/>
      <c r="DX169" s="64"/>
      <c r="DY169" s="64">
        <v>1645.4883199999999</v>
      </c>
      <c r="DZ169" s="64"/>
      <c r="EA169" s="375"/>
      <c r="EB169" s="375"/>
      <c r="EC169" s="375"/>
      <c r="ED169" s="375"/>
      <c r="EE169" s="375"/>
      <c r="EF169" s="375"/>
      <c r="EG169" s="375"/>
      <c r="EH169" s="375"/>
      <c r="EI169" s="375"/>
      <c r="EJ169" s="375"/>
      <c r="EK169" s="375"/>
      <c r="EL169" s="375"/>
      <c r="EM169" s="375"/>
      <c r="EN169" s="375"/>
      <c r="EO169" s="375"/>
      <c r="EP169" s="375"/>
      <c r="EQ169" s="375"/>
      <c r="ER169" s="375"/>
      <c r="ES169" s="375"/>
      <c r="ET169" s="375"/>
      <c r="EU169" s="375"/>
      <c r="EV169" s="375"/>
      <c r="EW169" s="375"/>
      <c r="EX169" s="375"/>
      <c r="EY169" s="375"/>
      <c r="EZ169" s="375"/>
      <c r="FA169" s="375"/>
      <c r="FB169" s="375"/>
      <c r="FC169" s="375"/>
      <c r="FD169" s="375"/>
      <c r="FE169" s="375"/>
      <c r="FF169" s="375"/>
      <c r="FG169" s="375"/>
      <c r="FH169" s="375"/>
      <c r="FI169" s="375"/>
      <c r="FJ169" s="375"/>
      <c r="FK169" s="375"/>
      <c r="FL169" s="375"/>
      <c r="FM169" s="375"/>
      <c r="FN169" s="375"/>
      <c r="FO169" s="375"/>
      <c r="FP169" s="375"/>
      <c r="FQ169" s="375"/>
      <c r="FR169" s="375"/>
      <c r="FS169" s="375"/>
      <c r="FT169" s="375"/>
      <c r="FU169" s="375"/>
      <c r="FV169" s="375"/>
      <c r="FW169" s="375"/>
      <c r="FX169" s="375"/>
      <c r="FY169" s="375"/>
      <c r="FZ169" s="375"/>
      <c r="GA169" s="375"/>
      <c r="GB169" s="375"/>
      <c r="GC169" s="375"/>
      <c r="GD169" s="375"/>
      <c r="GE169" s="375"/>
      <c r="GF169" s="375"/>
      <c r="GG169" s="375"/>
      <c r="GH169" s="375"/>
      <c r="GI169" s="375"/>
      <c r="GJ169" s="375"/>
      <c r="GK169" s="375"/>
      <c r="GL169" s="375"/>
      <c r="GM169" s="375"/>
      <c r="GN169" s="375"/>
      <c r="GO169" s="375"/>
      <c r="GP169" s="375"/>
      <c r="GQ169" s="375"/>
      <c r="GR169" s="375"/>
    </row>
    <row r="170" spans="1:200" s="61" customFormat="1" ht="15.75" customHeight="1" x14ac:dyDescent="0.3">
      <c r="A170" s="280"/>
      <c r="B170" s="281"/>
      <c r="C170" s="282">
        <v>1</v>
      </c>
      <c r="D170" s="282"/>
      <c r="E170" s="4">
        <v>142</v>
      </c>
      <c r="F170" s="281"/>
      <c r="G170" s="282">
        <v>1</v>
      </c>
      <c r="H170" s="282"/>
      <c r="I170" s="4"/>
      <c r="J170" s="283"/>
      <c r="K170" s="283"/>
      <c r="L170" s="286"/>
      <c r="M170" s="4">
        <v>139</v>
      </c>
      <c r="N170" s="62" t="s">
        <v>57</v>
      </c>
      <c r="O170" s="62" t="s">
        <v>448</v>
      </c>
      <c r="P170" s="62" t="s">
        <v>448</v>
      </c>
      <c r="Q170" s="60">
        <f t="shared" si="305"/>
        <v>0</v>
      </c>
      <c r="R170" s="60">
        <f t="shared" si="306"/>
        <v>253.31376999999998</v>
      </c>
      <c r="S170" s="60">
        <f t="shared" si="307"/>
        <v>0</v>
      </c>
      <c r="T170" s="60">
        <v>1</v>
      </c>
      <c r="U170" s="60">
        <v>2</v>
      </c>
      <c r="V170" s="64">
        <f t="shared" si="383"/>
        <v>1369.268</v>
      </c>
      <c r="W170" s="64"/>
      <c r="X170" s="65">
        <v>1369.268</v>
      </c>
      <c r="Y170" s="64"/>
      <c r="Z170" s="73"/>
      <c r="AA170" s="64">
        <f t="shared" si="384"/>
        <v>1389.2</v>
      </c>
      <c r="AB170" s="64"/>
      <c r="AC170" s="65">
        <v>1389.2</v>
      </c>
      <c r="AD170" s="64"/>
      <c r="AE170" s="73"/>
      <c r="AF170" s="64">
        <f t="shared" si="385"/>
        <v>1389.2</v>
      </c>
      <c r="AG170" s="64"/>
      <c r="AH170" s="65">
        <v>1389.2</v>
      </c>
      <c r="AI170" s="64"/>
      <c r="AJ170" s="73"/>
      <c r="AK170" s="64">
        <f t="shared" si="386"/>
        <v>604</v>
      </c>
      <c r="AL170" s="64"/>
      <c r="AM170" s="65">
        <v>604</v>
      </c>
      <c r="AN170" s="64"/>
      <c r="AO170" s="107"/>
      <c r="AP170" s="60" t="s">
        <v>519</v>
      </c>
      <c r="AQ170" s="64">
        <f t="shared" si="387"/>
        <v>1369.268</v>
      </c>
      <c r="AR170" s="64"/>
      <c r="AS170" s="65">
        <f>566.999+802.269</f>
        <v>1369.268</v>
      </c>
      <c r="AT170" s="64"/>
      <c r="AU170" s="64"/>
      <c r="AV170" s="64">
        <f t="shared" si="293"/>
        <v>0</v>
      </c>
      <c r="AW170" s="64">
        <f t="shared" si="294"/>
        <v>0</v>
      </c>
      <c r="AX170" s="64">
        <f t="shared" si="295"/>
        <v>0</v>
      </c>
      <c r="AY170" s="64">
        <f t="shared" si="296"/>
        <v>0</v>
      </c>
      <c r="AZ170" s="64" t="e">
        <f>#REF!-AU170</f>
        <v>#REF!</v>
      </c>
      <c r="BA170" s="64">
        <f t="shared" si="388"/>
        <v>1369.268</v>
      </c>
      <c r="BB170" s="64"/>
      <c r="BC170" s="65">
        <f>566.999+802.269</f>
        <v>1369.268</v>
      </c>
      <c r="BD170" s="64"/>
      <c r="BE170" s="64"/>
      <c r="BF170" s="64">
        <f t="shared" si="389"/>
        <v>0</v>
      </c>
      <c r="BG170" s="64"/>
      <c r="BH170" s="64"/>
      <c r="BI170" s="64"/>
      <c r="BJ170" s="64"/>
      <c r="BK170" s="64">
        <f t="shared" si="390"/>
        <v>1369.268</v>
      </c>
      <c r="BL170" s="64"/>
      <c r="BM170" s="65">
        <f>566.999+802.269</f>
        <v>1369.268</v>
      </c>
      <c r="BN170" s="64"/>
      <c r="BO170" s="64"/>
      <c r="BP170" s="64">
        <f t="shared" si="391"/>
        <v>1115.9542300000001</v>
      </c>
      <c r="BQ170" s="64"/>
      <c r="BR170" s="64">
        <v>1115.9542300000001</v>
      </c>
      <c r="BS170" s="64"/>
      <c r="BT170" s="64"/>
      <c r="BU170" s="64">
        <f t="shared" si="359"/>
        <v>371.98475000000002</v>
      </c>
      <c r="BV170" s="64"/>
      <c r="BW170" s="64">
        <v>371.98475000000002</v>
      </c>
      <c r="BX170" s="64"/>
      <c r="BY170" s="64"/>
      <c r="BZ170" s="60">
        <f t="shared" si="392"/>
        <v>1487.9389800000001</v>
      </c>
      <c r="CA170" s="64">
        <f t="shared" si="297"/>
        <v>1487.9389800000001</v>
      </c>
      <c r="CB170" s="64">
        <f t="shared" si="298"/>
        <v>0</v>
      </c>
      <c r="CC170" s="64">
        <f t="shared" si="299"/>
        <v>1487.9389800000001</v>
      </c>
      <c r="CD170" s="64">
        <f t="shared" si="300"/>
        <v>0</v>
      </c>
      <c r="CE170" s="64">
        <f t="shared" si="393"/>
        <v>0</v>
      </c>
      <c r="CF170" s="64">
        <f t="shared" si="301"/>
        <v>253.31376999999998</v>
      </c>
      <c r="CG170" s="64">
        <f t="shared" si="302"/>
        <v>0</v>
      </c>
      <c r="CH170" s="64">
        <f t="shared" si="303"/>
        <v>253.31376999999998</v>
      </c>
      <c r="CI170" s="64">
        <f t="shared" si="304"/>
        <v>0</v>
      </c>
      <c r="CJ170" s="64">
        <f t="shared" si="394"/>
        <v>0</v>
      </c>
      <c r="CK170" s="66"/>
      <c r="CL170" s="67"/>
      <c r="CM170" s="67"/>
      <c r="CN170" s="64">
        <f t="shared" si="395"/>
        <v>0</v>
      </c>
      <c r="CO170" s="64"/>
      <c r="CP170" s="64"/>
      <c r="CQ170" s="64"/>
      <c r="CR170" s="64"/>
      <c r="CS170" s="64">
        <f t="shared" si="396"/>
        <v>0</v>
      </c>
      <c r="CT170" s="64"/>
      <c r="CU170" s="64"/>
      <c r="CV170" s="64"/>
      <c r="CW170" s="64"/>
      <c r="CX170" s="64">
        <f t="shared" si="397"/>
        <v>0</v>
      </c>
      <c r="CY170" s="64">
        <f t="shared" si="398"/>
        <v>0</v>
      </c>
      <c r="CZ170" s="64">
        <f t="shared" si="398"/>
        <v>0</v>
      </c>
      <c r="DA170" s="64">
        <f t="shared" si="398"/>
        <v>0</v>
      </c>
      <c r="DB170" s="64">
        <f t="shared" si="398"/>
        <v>0</v>
      </c>
      <c r="DC170" s="64"/>
      <c r="DD170" s="64"/>
      <c r="DE170" s="64"/>
      <c r="DF170" s="64">
        <f t="shared" si="399"/>
        <v>253.31376999999998</v>
      </c>
      <c r="DH170" s="64">
        <f t="shared" si="400"/>
        <v>1369.268</v>
      </c>
      <c r="DI170" s="64">
        <f t="shared" si="401"/>
        <v>1115.9542300000001</v>
      </c>
      <c r="DK170" s="64"/>
      <c r="DL170" s="64"/>
      <c r="DN170" s="64"/>
      <c r="DQ170" s="64">
        <f t="shared" si="404"/>
        <v>1115.9542300000001</v>
      </c>
      <c r="DR170" s="64"/>
      <c r="DS170" s="64">
        <v>1115.9542300000001</v>
      </c>
      <c r="DT170" s="64"/>
      <c r="DU170" s="64"/>
      <c r="DV170" s="64">
        <f t="shared" si="405"/>
        <v>0</v>
      </c>
      <c r="DW170" s="64"/>
      <c r="DX170" s="64"/>
      <c r="DY170" s="64"/>
      <c r="DZ170" s="64"/>
      <c r="EA170" s="375"/>
      <c r="EB170" s="375"/>
      <c r="EC170" s="375"/>
      <c r="ED170" s="375"/>
      <c r="EE170" s="375"/>
      <c r="EF170" s="375"/>
      <c r="EG170" s="375"/>
      <c r="EH170" s="375"/>
      <c r="EI170" s="375"/>
      <c r="EJ170" s="375"/>
      <c r="EK170" s="375"/>
      <c r="EL170" s="375"/>
      <c r="EM170" s="375"/>
      <c r="EN170" s="375"/>
      <c r="EO170" s="375"/>
      <c r="EP170" s="375"/>
      <c r="EQ170" s="375"/>
      <c r="ER170" s="375"/>
      <c r="ES170" s="375"/>
      <c r="ET170" s="375"/>
      <c r="EU170" s="375"/>
      <c r="EV170" s="375"/>
      <c r="EW170" s="375"/>
      <c r="EX170" s="375"/>
      <c r="EY170" s="375"/>
      <c r="EZ170" s="375"/>
      <c r="FA170" s="375"/>
      <c r="FB170" s="375"/>
      <c r="FC170" s="375"/>
      <c r="FD170" s="375"/>
      <c r="FE170" s="375"/>
      <c r="FF170" s="375"/>
      <c r="FG170" s="375"/>
      <c r="FH170" s="375"/>
      <c r="FI170" s="375"/>
      <c r="FJ170" s="375"/>
      <c r="FK170" s="375"/>
      <c r="FL170" s="375"/>
      <c r="FM170" s="375"/>
      <c r="FN170" s="375"/>
      <c r="FO170" s="375"/>
      <c r="FP170" s="375"/>
      <c r="FQ170" s="375"/>
      <c r="FR170" s="375"/>
      <c r="FS170" s="375"/>
      <c r="FT170" s="375"/>
      <c r="FU170" s="375"/>
      <c r="FV170" s="375"/>
      <c r="FW170" s="375"/>
      <c r="FX170" s="375"/>
      <c r="FY170" s="375"/>
      <c r="FZ170" s="375"/>
      <c r="GA170" s="375"/>
      <c r="GB170" s="375"/>
      <c r="GC170" s="375"/>
      <c r="GD170" s="375"/>
      <c r="GE170" s="375"/>
      <c r="GF170" s="375"/>
      <c r="GG170" s="375"/>
      <c r="GH170" s="375"/>
      <c r="GI170" s="375"/>
      <c r="GJ170" s="375"/>
      <c r="GK170" s="375"/>
      <c r="GL170" s="375"/>
      <c r="GM170" s="375"/>
      <c r="GN170" s="375"/>
      <c r="GO170" s="375"/>
      <c r="GP170" s="375"/>
      <c r="GQ170" s="375"/>
      <c r="GR170" s="375"/>
    </row>
    <row r="171" spans="1:200" s="61" customFormat="1" ht="18" customHeight="1" x14ac:dyDescent="0.3">
      <c r="A171" s="280"/>
      <c r="B171" s="281"/>
      <c r="C171" s="282"/>
      <c r="D171" s="282">
        <v>1</v>
      </c>
      <c r="E171" s="4">
        <v>143</v>
      </c>
      <c r="F171" s="281"/>
      <c r="G171" s="282"/>
      <c r="H171" s="282">
        <v>1</v>
      </c>
      <c r="I171" s="4"/>
      <c r="J171" s="283"/>
      <c r="K171" s="283"/>
      <c r="L171" s="286"/>
      <c r="M171" s="4">
        <v>140</v>
      </c>
      <c r="N171" s="62" t="s">
        <v>122</v>
      </c>
      <c r="O171" s="62" t="s">
        <v>448</v>
      </c>
      <c r="P171" s="62" t="s">
        <v>448</v>
      </c>
      <c r="Q171" s="60">
        <f t="shared" si="305"/>
        <v>0</v>
      </c>
      <c r="R171" s="60">
        <f t="shared" si="306"/>
        <v>0</v>
      </c>
      <c r="S171" s="60">
        <f t="shared" si="307"/>
        <v>0</v>
      </c>
      <c r="T171" s="60">
        <v>1</v>
      </c>
      <c r="U171" s="60">
        <v>1</v>
      </c>
      <c r="V171" s="64">
        <f t="shared" si="383"/>
        <v>1281.0999999999999</v>
      </c>
      <c r="W171" s="64"/>
      <c r="X171" s="65">
        <v>1281.0999999999999</v>
      </c>
      <c r="Y171" s="64"/>
      <c r="Z171" s="73"/>
      <c r="AA171" s="64">
        <f t="shared" si="384"/>
        <v>1281.0999999999999</v>
      </c>
      <c r="AB171" s="64"/>
      <c r="AC171" s="65">
        <v>1281.0999999999999</v>
      </c>
      <c r="AD171" s="64"/>
      <c r="AE171" s="73"/>
      <c r="AF171" s="64">
        <f t="shared" si="385"/>
        <v>1281.0999999999999</v>
      </c>
      <c r="AG171" s="64"/>
      <c r="AH171" s="65">
        <v>1281.0999999999999</v>
      </c>
      <c r="AI171" s="64"/>
      <c r="AJ171" s="73"/>
      <c r="AK171" s="64">
        <f t="shared" si="386"/>
        <v>557</v>
      </c>
      <c r="AL171" s="64"/>
      <c r="AM171" s="65">
        <v>557</v>
      </c>
      <c r="AN171" s="64"/>
      <c r="AO171" s="107"/>
      <c r="AP171" s="60" t="s">
        <v>355</v>
      </c>
      <c r="AQ171" s="64">
        <f t="shared" si="387"/>
        <v>1281.0999999999999</v>
      </c>
      <c r="AR171" s="64"/>
      <c r="AS171" s="65">
        <f>557+724.1</f>
        <v>1281.0999999999999</v>
      </c>
      <c r="AT171" s="64"/>
      <c r="AU171" s="73"/>
      <c r="AV171" s="64">
        <f t="shared" si="293"/>
        <v>0</v>
      </c>
      <c r="AW171" s="64">
        <f t="shared" si="294"/>
        <v>0</v>
      </c>
      <c r="AX171" s="64">
        <f t="shared" si="295"/>
        <v>0</v>
      </c>
      <c r="AY171" s="64">
        <f t="shared" si="296"/>
        <v>0</v>
      </c>
      <c r="AZ171" s="64" t="e">
        <f>#REF!-AU171</f>
        <v>#REF!</v>
      </c>
      <c r="BA171" s="64">
        <f t="shared" si="388"/>
        <v>1281.0999999999999</v>
      </c>
      <c r="BB171" s="64"/>
      <c r="BC171" s="65">
        <f>557+724.1</f>
        <v>1281.0999999999999</v>
      </c>
      <c r="BD171" s="64"/>
      <c r="BE171" s="73"/>
      <c r="BF171" s="64">
        <f t="shared" si="389"/>
        <v>0</v>
      </c>
      <c r="BG171" s="64"/>
      <c r="BH171" s="73"/>
      <c r="BI171" s="64"/>
      <c r="BJ171" s="73"/>
      <c r="BK171" s="64">
        <f t="shared" si="390"/>
        <v>1281.0999999999999</v>
      </c>
      <c r="BL171" s="64"/>
      <c r="BM171" s="65">
        <f>557+724.1</f>
        <v>1281.0999999999999</v>
      </c>
      <c r="BN171" s="64"/>
      <c r="BO171" s="74"/>
      <c r="BP171" s="64">
        <f t="shared" si="391"/>
        <v>1281.0999999999999</v>
      </c>
      <c r="BQ171" s="64"/>
      <c r="BR171" s="74">
        <f>724.1+557</f>
        <v>1281.0999999999999</v>
      </c>
      <c r="BS171" s="64"/>
      <c r="BT171" s="74"/>
      <c r="BU171" s="64">
        <f t="shared" si="359"/>
        <v>932.51800000000003</v>
      </c>
      <c r="BV171" s="64"/>
      <c r="BW171" s="64">
        <f>307.432+625.086</f>
        <v>932.51800000000003</v>
      </c>
      <c r="BX171" s="64"/>
      <c r="BY171" s="64"/>
      <c r="BZ171" s="60">
        <f t="shared" si="392"/>
        <v>2213.6179999999999</v>
      </c>
      <c r="CA171" s="64">
        <f t="shared" si="297"/>
        <v>2213.6179999999999</v>
      </c>
      <c r="CB171" s="64">
        <f t="shared" si="298"/>
        <v>0</v>
      </c>
      <c r="CC171" s="64">
        <f t="shared" si="299"/>
        <v>2213.6179999999999</v>
      </c>
      <c r="CD171" s="64">
        <f t="shared" si="300"/>
        <v>0</v>
      </c>
      <c r="CE171" s="64">
        <f t="shared" si="393"/>
        <v>0</v>
      </c>
      <c r="CF171" s="64">
        <f t="shared" si="301"/>
        <v>0</v>
      </c>
      <c r="CG171" s="64">
        <f t="shared" si="302"/>
        <v>0</v>
      </c>
      <c r="CH171" s="64">
        <f t="shared" si="303"/>
        <v>0</v>
      </c>
      <c r="CI171" s="64">
        <f t="shared" si="304"/>
        <v>0</v>
      </c>
      <c r="CJ171" s="64">
        <f t="shared" si="394"/>
        <v>0</v>
      </c>
      <c r="CK171" s="66"/>
      <c r="CL171" s="67"/>
      <c r="CM171" s="67"/>
      <c r="CN171" s="64">
        <f t="shared" si="395"/>
        <v>0</v>
      </c>
      <c r="CO171" s="64"/>
      <c r="CP171" s="73"/>
      <c r="CQ171" s="64"/>
      <c r="CR171" s="73"/>
      <c r="CS171" s="64">
        <f t="shared" si="396"/>
        <v>0</v>
      </c>
      <c r="CT171" s="64"/>
      <c r="CU171" s="73"/>
      <c r="CV171" s="64"/>
      <c r="CW171" s="73"/>
      <c r="CX171" s="64">
        <f t="shared" si="397"/>
        <v>0</v>
      </c>
      <c r="CY171" s="64">
        <f t="shared" si="398"/>
        <v>0</v>
      </c>
      <c r="CZ171" s="64">
        <f t="shared" si="398"/>
        <v>0</v>
      </c>
      <c r="DA171" s="64">
        <f t="shared" si="398"/>
        <v>0</v>
      </c>
      <c r="DB171" s="64">
        <f t="shared" si="398"/>
        <v>0</v>
      </c>
      <c r="DC171" s="64"/>
      <c r="DD171" s="64"/>
      <c r="DE171" s="64"/>
      <c r="DF171" s="64">
        <f t="shared" si="399"/>
        <v>0</v>
      </c>
      <c r="DH171" s="64">
        <f t="shared" si="400"/>
        <v>1281.0999999999999</v>
      </c>
      <c r="DI171" s="64">
        <f t="shared" si="401"/>
        <v>1281.0999999999999</v>
      </c>
      <c r="DK171" s="64"/>
      <c r="DL171" s="64"/>
      <c r="DN171" s="64"/>
      <c r="DQ171" s="64">
        <f t="shared" si="404"/>
        <v>1281.0999999999999</v>
      </c>
      <c r="DR171" s="64"/>
      <c r="DS171" s="74">
        <f>724.1+557</f>
        <v>1281.0999999999999</v>
      </c>
      <c r="DT171" s="64"/>
      <c r="DU171" s="74"/>
      <c r="DV171" s="64">
        <f t="shared" si="405"/>
        <v>0</v>
      </c>
      <c r="DW171" s="64"/>
      <c r="DX171" s="64"/>
      <c r="DY171" s="64"/>
      <c r="DZ171" s="64"/>
      <c r="EA171" s="375"/>
      <c r="EB171" s="375"/>
      <c r="EC171" s="375"/>
      <c r="ED171" s="375"/>
      <c r="EE171" s="375"/>
      <c r="EF171" s="375"/>
      <c r="EG171" s="375"/>
      <c r="EH171" s="375"/>
      <c r="EI171" s="375"/>
      <c r="EJ171" s="375"/>
      <c r="EK171" s="375"/>
      <c r="EL171" s="375"/>
      <c r="EM171" s="375"/>
      <c r="EN171" s="375"/>
      <c r="EO171" s="375"/>
      <c r="EP171" s="375"/>
      <c r="EQ171" s="375"/>
      <c r="ER171" s="375"/>
      <c r="ES171" s="375"/>
      <c r="ET171" s="375"/>
      <c r="EU171" s="375"/>
      <c r="EV171" s="375"/>
      <c r="EW171" s="375"/>
      <c r="EX171" s="375"/>
      <c r="EY171" s="375"/>
      <c r="EZ171" s="375"/>
      <c r="FA171" s="375"/>
      <c r="FB171" s="375"/>
      <c r="FC171" s="375"/>
      <c r="FD171" s="375"/>
      <c r="FE171" s="375"/>
      <c r="FF171" s="375"/>
      <c r="FG171" s="375"/>
      <c r="FH171" s="375"/>
      <c r="FI171" s="375"/>
      <c r="FJ171" s="375"/>
      <c r="FK171" s="375"/>
      <c r="FL171" s="375"/>
      <c r="FM171" s="375"/>
      <c r="FN171" s="375"/>
      <c r="FO171" s="375"/>
      <c r="FP171" s="375"/>
      <c r="FQ171" s="375"/>
      <c r="FR171" s="375"/>
      <c r="FS171" s="375"/>
      <c r="FT171" s="375"/>
      <c r="FU171" s="375"/>
      <c r="FV171" s="375"/>
      <c r="FW171" s="375"/>
      <c r="FX171" s="375"/>
      <c r="FY171" s="375"/>
      <c r="FZ171" s="375"/>
      <c r="GA171" s="375"/>
      <c r="GB171" s="375"/>
      <c r="GC171" s="375"/>
      <c r="GD171" s="375"/>
      <c r="GE171" s="375"/>
      <c r="GF171" s="375"/>
      <c r="GG171" s="375"/>
      <c r="GH171" s="375"/>
      <c r="GI171" s="375"/>
      <c r="GJ171" s="375"/>
      <c r="GK171" s="375"/>
      <c r="GL171" s="375"/>
      <c r="GM171" s="375"/>
      <c r="GN171" s="375"/>
      <c r="GO171" s="375"/>
      <c r="GP171" s="375"/>
      <c r="GQ171" s="375"/>
      <c r="GR171" s="375"/>
    </row>
    <row r="172" spans="1:200" s="61" customFormat="1" ht="16.95" customHeight="1" x14ac:dyDescent="0.3">
      <c r="A172" s="280"/>
      <c r="B172" s="281"/>
      <c r="C172" s="282"/>
      <c r="D172" s="282">
        <v>1</v>
      </c>
      <c r="E172" s="4">
        <v>144</v>
      </c>
      <c r="F172" s="281"/>
      <c r="G172" s="282"/>
      <c r="H172" s="282">
        <v>1</v>
      </c>
      <c r="I172" s="280"/>
      <c r="J172" s="280"/>
      <c r="K172" s="280"/>
      <c r="L172" s="280"/>
      <c r="M172" s="4">
        <v>141</v>
      </c>
      <c r="N172" s="62" t="s">
        <v>123</v>
      </c>
      <c r="O172" s="62" t="s">
        <v>448</v>
      </c>
      <c r="P172" s="62" t="s">
        <v>448</v>
      </c>
      <c r="Q172" s="60">
        <f t="shared" si="305"/>
        <v>0</v>
      </c>
      <c r="R172" s="60">
        <f t="shared" si="306"/>
        <v>81.638500000000022</v>
      </c>
      <c r="S172" s="60">
        <f t="shared" si="307"/>
        <v>0</v>
      </c>
      <c r="T172" s="60">
        <v>1</v>
      </c>
      <c r="U172" s="60">
        <v>1</v>
      </c>
      <c r="V172" s="64">
        <f t="shared" si="383"/>
        <v>526.70000000000005</v>
      </c>
      <c r="W172" s="64"/>
      <c r="X172" s="64">
        <v>526.70000000000005</v>
      </c>
      <c r="Y172" s="64"/>
      <c r="Z172" s="78"/>
      <c r="AA172" s="64">
        <f t="shared" si="384"/>
        <v>526.70000000000005</v>
      </c>
      <c r="AB172" s="64"/>
      <c r="AC172" s="64">
        <v>526.70000000000005</v>
      </c>
      <c r="AD172" s="64"/>
      <c r="AE172" s="78"/>
      <c r="AF172" s="64">
        <f t="shared" si="385"/>
        <v>526.70000000000005</v>
      </c>
      <c r="AG172" s="64"/>
      <c r="AH172" s="64">
        <v>526.70000000000005</v>
      </c>
      <c r="AI172" s="64"/>
      <c r="AJ172" s="78"/>
      <c r="AK172" s="64">
        <f t="shared" si="386"/>
        <v>229</v>
      </c>
      <c r="AL172" s="64"/>
      <c r="AM172" s="64">
        <v>229</v>
      </c>
      <c r="AN172" s="64"/>
      <c r="AP172" s="60" t="s">
        <v>543</v>
      </c>
      <c r="AQ172" s="64">
        <f t="shared" si="387"/>
        <v>526.70000000000005</v>
      </c>
      <c r="AR172" s="64"/>
      <c r="AS172" s="64">
        <v>526.70000000000005</v>
      </c>
      <c r="AT172" s="64"/>
      <c r="AU172" s="64"/>
      <c r="AV172" s="64">
        <f t="shared" si="293"/>
        <v>0</v>
      </c>
      <c r="AW172" s="64">
        <f t="shared" si="294"/>
        <v>0</v>
      </c>
      <c r="AX172" s="64">
        <f t="shared" si="295"/>
        <v>0</v>
      </c>
      <c r="AY172" s="64">
        <f t="shared" si="296"/>
        <v>0</v>
      </c>
      <c r="AZ172" s="64" t="e">
        <f>#REF!-AU172</f>
        <v>#REF!</v>
      </c>
      <c r="BA172" s="64">
        <f t="shared" si="388"/>
        <v>526.70000000000005</v>
      </c>
      <c r="BB172" s="64"/>
      <c r="BC172" s="64">
        <v>526.70000000000005</v>
      </c>
      <c r="BD172" s="64"/>
      <c r="BE172" s="64"/>
      <c r="BF172" s="64">
        <f t="shared" si="389"/>
        <v>0</v>
      </c>
      <c r="BG172" s="64"/>
      <c r="BH172" s="65"/>
      <c r="BI172" s="64"/>
      <c r="BJ172" s="64"/>
      <c r="BK172" s="64">
        <f t="shared" si="390"/>
        <v>526.70000000000005</v>
      </c>
      <c r="BL172" s="64"/>
      <c r="BM172" s="64">
        <v>526.70000000000005</v>
      </c>
      <c r="BN172" s="64"/>
      <c r="BO172" s="64"/>
      <c r="BP172" s="64">
        <f t="shared" si="391"/>
        <v>445.06150000000002</v>
      </c>
      <c r="BQ172" s="64"/>
      <c r="BR172" s="74">
        <v>445.06150000000002</v>
      </c>
      <c r="BS172" s="64"/>
      <c r="BT172" s="64"/>
      <c r="BU172" s="64">
        <f t="shared" si="359"/>
        <v>198.36375000000001</v>
      </c>
      <c r="BV172" s="64"/>
      <c r="BW172" s="64">
        <v>198.36375000000001</v>
      </c>
      <c r="BX172" s="64"/>
      <c r="BY172" s="64"/>
      <c r="BZ172" s="60">
        <f t="shared" si="392"/>
        <v>643.42525000000001</v>
      </c>
      <c r="CA172" s="64">
        <f t="shared" si="297"/>
        <v>643.42525000000001</v>
      </c>
      <c r="CB172" s="64">
        <f t="shared" si="298"/>
        <v>0</v>
      </c>
      <c r="CC172" s="64">
        <f t="shared" si="299"/>
        <v>643.42525000000001</v>
      </c>
      <c r="CD172" s="64">
        <f t="shared" si="300"/>
        <v>0</v>
      </c>
      <c r="CE172" s="64">
        <f t="shared" si="393"/>
        <v>0</v>
      </c>
      <c r="CF172" s="64">
        <f t="shared" si="301"/>
        <v>81.638500000000022</v>
      </c>
      <c r="CG172" s="64">
        <f t="shared" si="302"/>
        <v>0</v>
      </c>
      <c r="CH172" s="64">
        <f t="shared" si="303"/>
        <v>81.638500000000022</v>
      </c>
      <c r="CI172" s="64">
        <f t="shared" si="304"/>
        <v>0</v>
      </c>
      <c r="CJ172" s="64">
        <f t="shared" si="394"/>
        <v>0</v>
      </c>
      <c r="CK172" s="66"/>
      <c r="CL172" s="67"/>
      <c r="CM172" s="67"/>
      <c r="CN172" s="64">
        <f t="shared" si="395"/>
        <v>0</v>
      </c>
      <c r="CO172" s="64"/>
      <c r="CP172" s="65"/>
      <c r="CQ172" s="64"/>
      <c r="CR172" s="64"/>
      <c r="CS172" s="64">
        <f t="shared" si="396"/>
        <v>0</v>
      </c>
      <c r="CT172" s="64"/>
      <c r="CU172" s="65"/>
      <c r="CV172" s="64"/>
      <c r="CW172" s="64"/>
      <c r="CX172" s="64">
        <f t="shared" si="397"/>
        <v>0</v>
      </c>
      <c r="CY172" s="64">
        <f t="shared" si="398"/>
        <v>0</v>
      </c>
      <c r="CZ172" s="64">
        <f t="shared" si="398"/>
        <v>0</v>
      </c>
      <c r="DA172" s="64">
        <f t="shared" si="398"/>
        <v>0</v>
      </c>
      <c r="DB172" s="64">
        <f t="shared" si="398"/>
        <v>0</v>
      </c>
      <c r="DC172" s="64"/>
      <c r="DD172" s="64"/>
      <c r="DE172" s="64"/>
      <c r="DF172" s="64">
        <f t="shared" si="399"/>
        <v>81.638500000000022</v>
      </c>
      <c r="DH172" s="64">
        <f t="shared" si="400"/>
        <v>526.70000000000005</v>
      </c>
      <c r="DI172" s="64">
        <f t="shared" si="401"/>
        <v>445.06150000000002</v>
      </c>
      <c r="DK172" s="64"/>
      <c r="DL172" s="64"/>
      <c r="DN172" s="64"/>
      <c r="DQ172" s="64">
        <f t="shared" si="404"/>
        <v>445.06150000000002</v>
      </c>
      <c r="DR172" s="64"/>
      <c r="DS172" s="74">
        <v>445.06150000000002</v>
      </c>
      <c r="DT172" s="64"/>
      <c r="DU172" s="64"/>
      <c r="DV172" s="64">
        <f t="shared" si="405"/>
        <v>198.36375000000001</v>
      </c>
      <c r="DW172" s="64"/>
      <c r="DX172" s="64">
        <v>198.36375000000001</v>
      </c>
      <c r="DY172" s="64"/>
      <c r="DZ172" s="64"/>
      <c r="EA172" s="375"/>
      <c r="EB172" s="375"/>
      <c r="EC172" s="375"/>
      <c r="ED172" s="375"/>
      <c r="EE172" s="375"/>
      <c r="EF172" s="375"/>
      <c r="EG172" s="375"/>
      <c r="EH172" s="375"/>
      <c r="EI172" s="375"/>
      <c r="EJ172" s="375"/>
      <c r="EK172" s="375"/>
      <c r="EL172" s="375"/>
      <c r="EM172" s="375"/>
      <c r="EN172" s="375"/>
      <c r="EO172" s="375"/>
      <c r="EP172" s="375"/>
      <c r="EQ172" s="375"/>
      <c r="ER172" s="375"/>
      <c r="ES172" s="375"/>
      <c r="ET172" s="375"/>
      <c r="EU172" s="375"/>
      <c r="EV172" s="375"/>
      <c r="EW172" s="375"/>
      <c r="EX172" s="375"/>
      <c r="EY172" s="375"/>
      <c r="EZ172" s="375"/>
      <c r="FA172" s="375"/>
      <c r="FB172" s="375"/>
      <c r="FC172" s="375"/>
      <c r="FD172" s="375"/>
      <c r="FE172" s="375"/>
      <c r="FF172" s="375"/>
      <c r="FG172" s="375"/>
      <c r="FH172" s="375"/>
      <c r="FI172" s="375"/>
      <c r="FJ172" s="375"/>
      <c r="FK172" s="375"/>
      <c r="FL172" s="375"/>
      <c r="FM172" s="375"/>
      <c r="FN172" s="375"/>
      <c r="FO172" s="375"/>
      <c r="FP172" s="375"/>
      <c r="FQ172" s="375"/>
      <c r="FR172" s="375"/>
      <c r="FS172" s="375"/>
      <c r="FT172" s="375"/>
      <c r="FU172" s="375"/>
      <c r="FV172" s="375"/>
      <c r="FW172" s="375"/>
      <c r="FX172" s="375"/>
      <c r="FY172" s="375"/>
      <c r="FZ172" s="375"/>
      <c r="GA172" s="375"/>
      <c r="GB172" s="375"/>
      <c r="GC172" s="375"/>
      <c r="GD172" s="375"/>
      <c r="GE172" s="375"/>
      <c r="GF172" s="375"/>
      <c r="GG172" s="375"/>
      <c r="GH172" s="375"/>
      <c r="GI172" s="375"/>
      <c r="GJ172" s="375"/>
      <c r="GK172" s="375"/>
      <c r="GL172" s="375"/>
      <c r="GM172" s="375"/>
      <c r="GN172" s="375"/>
      <c r="GO172" s="375"/>
      <c r="GP172" s="375"/>
      <c r="GQ172" s="375"/>
      <c r="GR172" s="375"/>
    </row>
    <row r="173" spans="1:200" s="61" customFormat="1" ht="19.95" customHeight="1" x14ac:dyDescent="0.3">
      <c r="A173" s="280"/>
      <c r="B173" s="281"/>
      <c r="C173" s="282"/>
      <c r="D173" s="282">
        <v>1</v>
      </c>
      <c r="E173" s="4">
        <v>145</v>
      </c>
      <c r="F173" s="281"/>
      <c r="G173" s="282"/>
      <c r="H173" s="282">
        <v>1</v>
      </c>
      <c r="I173" s="4"/>
      <c r="J173" s="283"/>
      <c r="K173" s="283"/>
      <c r="L173" s="286"/>
      <c r="M173" s="4">
        <v>142</v>
      </c>
      <c r="N173" s="62" t="s">
        <v>124</v>
      </c>
      <c r="O173" s="62" t="s">
        <v>448</v>
      </c>
      <c r="P173" s="62" t="s">
        <v>448</v>
      </c>
      <c r="Q173" s="60">
        <f t="shared" si="305"/>
        <v>0</v>
      </c>
      <c r="R173" s="60">
        <f t="shared" si="306"/>
        <v>7.464999999999975</v>
      </c>
      <c r="S173" s="60">
        <f t="shared" si="307"/>
        <v>0</v>
      </c>
      <c r="T173" s="60">
        <v>1</v>
      </c>
      <c r="U173" s="60">
        <v>2</v>
      </c>
      <c r="V173" s="64">
        <f t="shared" si="383"/>
        <v>239.2</v>
      </c>
      <c r="W173" s="64"/>
      <c r="X173" s="65">
        <v>239.2</v>
      </c>
      <c r="Y173" s="64"/>
      <c r="Z173" s="73"/>
      <c r="AA173" s="64">
        <f t="shared" si="384"/>
        <v>239.2</v>
      </c>
      <c r="AB173" s="64"/>
      <c r="AC173" s="65">
        <v>239.2</v>
      </c>
      <c r="AD173" s="64"/>
      <c r="AE173" s="73"/>
      <c r="AF173" s="64">
        <f t="shared" si="385"/>
        <v>239.2</v>
      </c>
      <c r="AG173" s="64"/>
      <c r="AH173" s="65">
        <v>239.2</v>
      </c>
      <c r="AI173" s="64"/>
      <c r="AJ173" s="73"/>
      <c r="AK173" s="64">
        <f t="shared" si="386"/>
        <v>104</v>
      </c>
      <c r="AL173" s="64"/>
      <c r="AM173" s="65">
        <v>104</v>
      </c>
      <c r="AN173" s="64"/>
      <c r="AO173" s="107"/>
      <c r="AP173" s="60" t="s">
        <v>540</v>
      </c>
      <c r="AQ173" s="64">
        <f t="shared" si="387"/>
        <v>239.2</v>
      </c>
      <c r="AR173" s="64"/>
      <c r="AS173" s="65">
        <f>104+135.2</f>
        <v>239.2</v>
      </c>
      <c r="AT173" s="64"/>
      <c r="AU173" s="73"/>
      <c r="AV173" s="64">
        <f t="shared" si="293"/>
        <v>0</v>
      </c>
      <c r="AW173" s="64">
        <f t="shared" si="294"/>
        <v>0</v>
      </c>
      <c r="AX173" s="64">
        <f t="shared" si="295"/>
        <v>0</v>
      </c>
      <c r="AY173" s="64">
        <f t="shared" si="296"/>
        <v>0</v>
      </c>
      <c r="AZ173" s="64" t="e">
        <f>#REF!-AU173</f>
        <v>#REF!</v>
      </c>
      <c r="BA173" s="64">
        <f t="shared" si="388"/>
        <v>239.2</v>
      </c>
      <c r="BB173" s="64"/>
      <c r="BC173" s="65">
        <f>104+135.2</f>
        <v>239.2</v>
      </c>
      <c r="BD173" s="64"/>
      <c r="BE173" s="73"/>
      <c r="BF173" s="64">
        <f t="shared" si="389"/>
        <v>0</v>
      </c>
      <c r="BG173" s="64"/>
      <c r="BH173" s="65"/>
      <c r="BI173" s="64"/>
      <c r="BJ173" s="73"/>
      <c r="BK173" s="64">
        <f t="shared" si="390"/>
        <v>239.2</v>
      </c>
      <c r="BL173" s="64"/>
      <c r="BM173" s="65">
        <f>104+135.2</f>
        <v>239.2</v>
      </c>
      <c r="BN173" s="64"/>
      <c r="BO173" s="74"/>
      <c r="BP173" s="64">
        <f t="shared" si="391"/>
        <v>231.73500000000001</v>
      </c>
      <c r="BQ173" s="64"/>
      <c r="BR173" s="74">
        <f>100.26+131.475</f>
        <v>231.73500000000001</v>
      </c>
      <c r="BS173" s="64"/>
      <c r="BT173" s="74"/>
      <c r="BU173" s="64">
        <f t="shared" si="359"/>
        <v>77.245000000000005</v>
      </c>
      <c r="BV173" s="64"/>
      <c r="BW173" s="64">
        <f>43.825+33.42</f>
        <v>77.245000000000005</v>
      </c>
      <c r="BX173" s="64"/>
      <c r="BY173" s="64"/>
      <c r="BZ173" s="60">
        <f t="shared" si="392"/>
        <v>308.98</v>
      </c>
      <c r="CA173" s="64">
        <f t="shared" si="297"/>
        <v>308.98</v>
      </c>
      <c r="CB173" s="64">
        <f t="shared" si="298"/>
        <v>0</v>
      </c>
      <c r="CC173" s="64">
        <f t="shared" si="299"/>
        <v>308.98</v>
      </c>
      <c r="CD173" s="64">
        <f t="shared" si="300"/>
        <v>0</v>
      </c>
      <c r="CE173" s="64">
        <f t="shared" si="393"/>
        <v>0</v>
      </c>
      <c r="CF173" s="64">
        <f t="shared" si="301"/>
        <v>7.464999999999975</v>
      </c>
      <c r="CG173" s="64">
        <f t="shared" si="302"/>
        <v>0</v>
      </c>
      <c r="CH173" s="64">
        <f t="shared" si="303"/>
        <v>7.464999999999975</v>
      </c>
      <c r="CI173" s="64">
        <f t="shared" si="304"/>
        <v>0</v>
      </c>
      <c r="CJ173" s="64">
        <f t="shared" si="394"/>
        <v>0</v>
      </c>
      <c r="CK173" s="66"/>
      <c r="CL173" s="67"/>
      <c r="CM173" s="67"/>
      <c r="CN173" s="64">
        <f t="shared" si="395"/>
        <v>0</v>
      </c>
      <c r="CO173" s="64"/>
      <c r="CP173" s="65"/>
      <c r="CQ173" s="64"/>
      <c r="CR173" s="73"/>
      <c r="CS173" s="64">
        <f t="shared" si="396"/>
        <v>0</v>
      </c>
      <c r="CT173" s="64"/>
      <c r="CU173" s="65"/>
      <c r="CV173" s="64"/>
      <c r="CW173" s="73"/>
      <c r="CX173" s="64">
        <f t="shared" si="397"/>
        <v>0</v>
      </c>
      <c r="CY173" s="64">
        <f t="shared" si="398"/>
        <v>0</v>
      </c>
      <c r="CZ173" s="64">
        <f t="shared" si="398"/>
        <v>0</v>
      </c>
      <c r="DA173" s="64">
        <f t="shared" si="398"/>
        <v>0</v>
      </c>
      <c r="DB173" s="64">
        <f t="shared" si="398"/>
        <v>0</v>
      </c>
      <c r="DC173" s="64"/>
      <c r="DD173" s="64"/>
      <c r="DE173" s="64"/>
      <c r="DF173" s="64">
        <f t="shared" si="399"/>
        <v>7.464999999999975</v>
      </c>
      <c r="DH173" s="64">
        <f t="shared" si="400"/>
        <v>239.2</v>
      </c>
      <c r="DI173" s="64">
        <f t="shared" si="401"/>
        <v>231.73500000000001</v>
      </c>
      <c r="DK173" s="64"/>
      <c r="DL173" s="64"/>
      <c r="DN173" s="64"/>
      <c r="DQ173" s="64">
        <f t="shared" si="404"/>
        <v>231.73500000000001</v>
      </c>
      <c r="DR173" s="64"/>
      <c r="DS173" s="74">
        <f>100.26+131.475</f>
        <v>231.73500000000001</v>
      </c>
      <c r="DT173" s="64"/>
      <c r="DU173" s="74"/>
      <c r="DV173" s="64">
        <f t="shared" si="405"/>
        <v>0</v>
      </c>
      <c r="DW173" s="64"/>
      <c r="DX173" s="64"/>
      <c r="DY173" s="64"/>
      <c r="DZ173" s="64"/>
      <c r="EA173" s="375"/>
      <c r="EB173" s="375"/>
      <c r="EC173" s="375"/>
      <c r="ED173" s="375"/>
      <c r="EE173" s="375"/>
      <c r="EF173" s="375"/>
      <c r="EG173" s="375"/>
      <c r="EH173" s="375"/>
      <c r="EI173" s="375"/>
      <c r="EJ173" s="375"/>
      <c r="EK173" s="375"/>
      <c r="EL173" s="375"/>
      <c r="EM173" s="375"/>
      <c r="EN173" s="375"/>
      <c r="EO173" s="375"/>
      <c r="EP173" s="375"/>
      <c r="EQ173" s="375"/>
      <c r="ER173" s="375"/>
      <c r="ES173" s="375"/>
      <c r="ET173" s="375"/>
      <c r="EU173" s="375"/>
      <c r="EV173" s="375"/>
      <c r="EW173" s="375"/>
      <c r="EX173" s="375"/>
      <c r="EY173" s="375"/>
      <c r="EZ173" s="375"/>
      <c r="FA173" s="375"/>
      <c r="FB173" s="375"/>
      <c r="FC173" s="375"/>
      <c r="FD173" s="375"/>
      <c r="FE173" s="375"/>
      <c r="FF173" s="375"/>
      <c r="FG173" s="375"/>
      <c r="FH173" s="375"/>
      <c r="FI173" s="375"/>
      <c r="FJ173" s="375"/>
      <c r="FK173" s="375"/>
      <c r="FL173" s="375"/>
      <c r="FM173" s="375"/>
      <c r="FN173" s="375"/>
      <c r="FO173" s="375"/>
      <c r="FP173" s="375"/>
      <c r="FQ173" s="375"/>
      <c r="FR173" s="375"/>
      <c r="FS173" s="375"/>
      <c r="FT173" s="375"/>
      <c r="FU173" s="375"/>
      <c r="FV173" s="375"/>
      <c r="FW173" s="375"/>
      <c r="FX173" s="375"/>
      <c r="FY173" s="375"/>
      <c r="FZ173" s="375"/>
      <c r="GA173" s="375"/>
      <c r="GB173" s="375"/>
      <c r="GC173" s="375"/>
      <c r="GD173" s="375"/>
      <c r="GE173" s="375"/>
      <c r="GF173" s="375"/>
      <c r="GG173" s="375"/>
      <c r="GH173" s="375"/>
      <c r="GI173" s="375"/>
      <c r="GJ173" s="375"/>
      <c r="GK173" s="375"/>
      <c r="GL173" s="375"/>
      <c r="GM173" s="375"/>
      <c r="GN173" s="375"/>
      <c r="GO173" s="375"/>
      <c r="GP173" s="375"/>
      <c r="GQ173" s="375"/>
      <c r="GR173" s="375"/>
    </row>
    <row r="174" spans="1:200" s="61" customFormat="1" ht="18.75" customHeight="1" x14ac:dyDescent="0.3">
      <c r="A174" s="280"/>
      <c r="B174" s="281"/>
      <c r="C174" s="282"/>
      <c r="D174" s="282">
        <v>1</v>
      </c>
      <c r="E174" s="4">
        <v>146</v>
      </c>
      <c r="F174" s="281"/>
      <c r="G174" s="282"/>
      <c r="H174" s="282">
        <v>1</v>
      </c>
      <c r="I174" s="280"/>
      <c r="J174" s="280"/>
      <c r="K174" s="280"/>
      <c r="L174" s="280"/>
      <c r="M174" s="4">
        <v>143</v>
      </c>
      <c r="N174" s="62" t="s">
        <v>125</v>
      </c>
      <c r="O174" s="62" t="s">
        <v>448</v>
      </c>
      <c r="P174" s="62" t="s">
        <v>450</v>
      </c>
      <c r="Q174" s="60">
        <f t="shared" si="305"/>
        <v>0</v>
      </c>
      <c r="R174" s="60">
        <f t="shared" si="306"/>
        <v>0</v>
      </c>
      <c r="S174" s="60">
        <f t="shared" si="307"/>
        <v>0</v>
      </c>
      <c r="T174" s="60">
        <v>1</v>
      </c>
      <c r="U174" s="60">
        <v>1</v>
      </c>
      <c r="V174" s="64">
        <f t="shared" si="383"/>
        <v>478.4</v>
      </c>
      <c r="W174" s="64"/>
      <c r="X174" s="65">
        <v>478.4</v>
      </c>
      <c r="Y174" s="64"/>
      <c r="Z174" s="78"/>
      <c r="AA174" s="64">
        <f t="shared" si="384"/>
        <v>478.4</v>
      </c>
      <c r="AB174" s="64"/>
      <c r="AC174" s="65">
        <v>478.4</v>
      </c>
      <c r="AD174" s="64"/>
      <c r="AE174" s="78"/>
      <c r="AF174" s="64">
        <f t="shared" si="385"/>
        <v>478.4</v>
      </c>
      <c r="AG174" s="64"/>
      <c r="AH174" s="65">
        <v>478.4</v>
      </c>
      <c r="AI174" s="64"/>
      <c r="AJ174" s="78"/>
      <c r="AK174" s="64">
        <f t="shared" si="386"/>
        <v>208</v>
      </c>
      <c r="AL174" s="64"/>
      <c r="AM174" s="65">
        <v>208</v>
      </c>
      <c r="AN174" s="64"/>
      <c r="AP174" s="60" t="s">
        <v>511</v>
      </c>
      <c r="AQ174" s="64">
        <f t="shared" si="387"/>
        <v>478.4</v>
      </c>
      <c r="AR174" s="64"/>
      <c r="AS174" s="65">
        <v>478.4</v>
      </c>
      <c r="AT174" s="64"/>
      <c r="AU174" s="64"/>
      <c r="AV174" s="64">
        <f t="shared" si="293"/>
        <v>0</v>
      </c>
      <c r="AW174" s="64">
        <f t="shared" si="294"/>
        <v>0</v>
      </c>
      <c r="AX174" s="64">
        <f t="shared" si="295"/>
        <v>0</v>
      </c>
      <c r="AY174" s="64">
        <f t="shared" si="296"/>
        <v>0</v>
      </c>
      <c r="AZ174" s="64" t="e">
        <f>#REF!-AU174</f>
        <v>#REF!</v>
      </c>
      <c r="BA174" s="64">
        <f t="shared" si="388"/>
        <v>478.4</v>
      </c>
      <c r="BB174" s="64"/>
      <c r="BC174" s="65">
        <v>478.4</v>
      </c>
      <c r="BD174" s="64"/>
      <c r="BE174" s="64"/>
      <c r="BF174" s="64">
        <f t="shared" si="389"/>
        <v>0</v>
      </c>
      <c r="BG174" s="64"/>
      <c r="BH174" s="65"/>
      <c r="BI174" s="64"/>
      <c r="BJ174" s="64"/>
      <c r="BK174" s="64">
        <f t="shared" si="390"/>
        <v>478.4</v>
      </c>
      <c r="BL174" s="64"/>
      <c r="BM174" s="65">
        <v>478.4</v>
      </c>
      <c r="BN174" s="64"/>
      <c r="BO174" s="64"/>
      <c r="BP174" s="64">
        <f t="shared" si="391"/>
        <v>478.4</v>
      </c>
      <c r="BQ174" s="64"/>
      <c r="BR174" s="74">
        <v>478.4</v>
      </c>
      <c r="BS174" s="64"/>
      <c r="BT174" s="64"/>
      <c r="BU174" s="64">
        <f t="shared" si="359"/>
        <v>514.53477999999996</v>
      </c>
      <c r="BV174" s="64"/>
      <c r="BW174" s="64">
        <v>514.53477999999996</v>
      </c>
      <c r="BX174" s="64"/>
      <c r="BY174" s="64"/>
      <c r="BZ174" s="60">
        <f t="shared" si="392"/>
        <v>992.93477999999993</v>
      </c>
      <c r="CA174" s="64">
        <f t="shared" si="297"/>
        <v>992.93477999999993</v>
      </c>
      <c r="CB174" s="64">
        <f t="shared" si="298"/>
        <v>0</v>
      </c>
      <c r="CC174" s="64">
        <f t="shared" si="299"/>
        <v>992.93477999999993</v>
      </c>
      <c r="CD174" s="64">
        <f t="shared" si="300"/>
        <v>0</v>
      </c>
      <c r="CE174" s="64">
        <f t="shared" si="393"/>
        <v>0</v>
      </c>
      <c r="CF174" s="64">
        <f t="shared" si="301"/>
        <v>0</v>
      </c>
      <c r="CG174" s="64">
        <f t="shared" si="302"/>
        <v>0</v>
      </c>
      <c r="CH174" s="64">
        <f t="shared" si="303"/>
        <v>0</v>
      </c>
      <c r="CI174" s="64">
        <f t="shared" si="304"/>
        <v>0</v>
      </c>
      <c r="CJ174" s="64">
        <f t="shared" si="394"/>
        <v>0</v>
      </c>
      <c r="CK174" s="66"/>
      <c r="CL174" s="67"/>
      <c r="CM174" s="67"/>
      <c r="CN174" s="64">
        <f t="shared" si="395"/>
        <v>0</v>
      </c>
      <c r="CO174" s="64"/>
      <c r="CP174" s="65"/>
      <c r="CQ174" s="64"/>
      <c r="CR174" s="64"/>
      <c r="CS174" s="64">
        <f t="shared" si="396"/>
        <v>0</v>
      </c>
      <c r="CT174" s="64"/>
      <c r="CU174" s="65"/>
      <c r="CV174" s="64"/>
      <c r="CW174" s="64"/>
      <c r="CX174" s="64">
        <f t="shared" si="397"/>
        <v>0</v>
      </c>
      <c r="CY174" s="64">
        <f t="shared" si="398"/>
        <v>0</v>
      </c>
      <c r="CZ174" s="64">
        <f t="shared" si="398"/>
        <v>0</v>
      </c>
      <c r="DA174" s="64">
        <f t="shared" si="398"/>
        <v>0</v>
      </c>
      <c r="DB174" s="64">
        <f t="shared" si="398"/>
        <v>0</v>
      </c>
      <c r="DC174" s="64"/>
      <c r="DD174" s="64"/>
      <c r="DE174" s="64"/>
      <c r="DF174" s="64">
        <f t="shared" si="399"/>
        <v>0</v>
      </c>
      <c r="DH174" s="64">
        <f t="shared" si="400"/>
        <v>478.4</v>
      </c>
      <c r="DI174" s="64">
        <f t="shared" si="401"/>
        <v>478.4</v>
      </c>
      <c r="DK174" s="64"/>
      <c r="DL174" s="64"/>
      <c r="DN174" s="64"/>
      <c r="DQ174" s="64">
        <f t="shared" si="404"/>
        <v>478.4</v>
      </c>
      <c r="DR174" s="64"/>
      <c r="DS174" s="74">
        <v>478.4</v>
      </c>
      <c r="DT174" s="64"/>
      <c r="DU174" s="64"/>
      <c r="DV174" s="64">
        <f t="shared" si="405"/>
        <v>0</v>
      </c>
      <c r="DW174" s="64"/>
      <c r="DX174" s="64"/>
      <c r="DY174" s="64"/>
      <c r="DZ174" s="64"/>
      <c r="EA174" s="375"/>
      <c r="EB174" s="375"/>
      <c r="EC174" s="375"/>
      <c r="ED174" s="375"/>
      <c r="EE174" s="375"/>
      <c r="EF174" s="375"/>
      <c r="EG174" s="375"/>
      <c r="EH174" s="375"/>
      <c r="EI174" s="375"/>
      <c r="EJ174" s="375"/>
      <c r="EK174" s="375"/>
      <c r="EL174" s="375"/>
      <c r="EM174" s="375"/>
      <c r="EN174" s="375"/>
      <c r="EO174" s="375"/>
      <c r="EP174" s="375"/>
      <c r="EQ174" s="375"/>
      <c r="ER174" s="375"/>
      <c r="ES174" s="375"/>
      <c r="ET174" s="375"/>
      <c r="EU174" s="375"/>
      <c r="EV174" s="375"/>
      <c r="EW174" s="375"/>
      <c r="EX174" s="375"/>
      <c r="EY174" s="375"/>
      <c r="EZ174" s="375"/>
      <c r="FA174" s="375"/>
      <c r="FB174" s="375"/>
      <c r="FC174" s="375"/>
      <c r="FD174" s="375"/>
      <c r="FE174" s="375"/>
      <c r="FF174" s="375"/>
      <c r="FG174" s="375"/>
      <c r="FH174" s="375"/>
      <c r="FI174" s="375"/>
      <c r="FJ174" s="375"/>
      <c r="FK174" s="375"/>
      <c r="FL174" s="375"/>
      <c r="FM174" s="375"/>
      <c r="FN174" s="375"/>
      <c r="FO174" s="375"/>
      <c r="FP174" s="375"/>
      <c r="FQ174" s="375"/>
      <c r="FR174" s="375"/>
      <c r="FS174" s="375"/>
      <c r="FT174" s="375"/>
      <c r="FU174" s="375"/>
      <c r="FV174" s="375"/>
      <c r="FW174" s="375"/>
      <c r="FX174" s="375"/>
      <c r="FY174" s="375"/>
      <c r="FZ174" s="375"/>
      <c r="GA174" s="375"/>
      <c r="GB174" s="375"/>
      <c r="GC174" s="375"/>
      <c r="GD174" s="375"/>
      <c r="GE174" s="375"/>
      <c r="GF174" s="375"/>
      <c r="GG174" s="375"/>
      <c r="GH174" s="375"/>
      <c r="GI174" s="375"/>
      <c r="GJ174" s="375"/>
      <c r="GK174" s="375"/>
      <c r="GL174" s="375"/>
      <c r="GM174" s="375"/>
      <c r="GN174" s="375"/>
      <c r="GO174" s="375"/>
      <c r="GP174" s="375"/>
      <c r="GQ174" s="375"/>
      <c r="GR174" s="375"/>
    </row>
    <row r="175" spans="1:200" s="61" customFormat="1" ht="15.6" customHeight="1" x14ac:dyDescent="0.3">
      <c r="A175" s="280"/>
      <c r="B175" s="281"/>
      <c r="C175" s="282"/>
      <c r="D175" s="282">
        <v>1</v>
      </c>
      <c r="E175" s="4">
        <v>147</v>
      </c>
      <c r="F175" s="281"/>
      <c r="G175" s="282"/>
      <c r="H175" s="282">
        <v>1</v>
      </c>
      <c r="I175" s="4"/>
      <c r="J175" s="283"/>
      <c r="K175" s="283"/>
      <c r="L175" s="286"/>
      <c r="M175" s="4">
        <v>144</v>
      </c>
      <c r="N175" s="62" t="s">
        <v>126</v>
      </c>
      <c r="O175" s="62" t="s">
        <v>448</v>
      </c>
      <c r="P175" s="62" t="s">
        <v>448</v>
      </c>
      <c r="Q175" s="60">
        <f t="shared" si="305"/>
        <v>0</v>
      </c>
      <c r="R175" s="60">
        <f t="shared" si="306"/>
        <v>50.715970000000198</v>
      </c>
      <c r="S175" s="60">
        <f t="shared" si="307"/>
        <v>0</v>
      </c>
      <c r="T175" s="60">
        <v>1</v>
      </c>
      <c r="U175" s="60">
        <v>1</v>
      </c>
      <c r="V175" s="64">
        <f t="shared" si="383"/>
        <v>1248.9000000000001</v>
      </c>
      <c r="W175" s="64"/>
      <c r="X175" s="65">
        <v>1248.9000000000001</v>
      </c>
      <c r="Y175" s="64"/>
      <c r="Z175" s="73"/>
      <c r="AA175" s="64">
        <f t="shared" si="384"/>
        <v>1248.9000000000001</v>
      </c>
      <c r="AB175" s="64"/>
      <c r="AC175" s="65">
        <v>1248.9000000000001</v>
      </c>
      <c r="AD175" s="64"/>
      <c r="AE175" s="73"/>
      <c r="AF175" s="64">
        <f t="shared" si="385"/>
        <v>1248.9000000000001</v>
      </c>
      <c r="AG175" s="64"/>
      <c r="AH175" s="65">
        <v>1248.9000000000001</v>
      </c>
      <c r="AI175" s="64"/>
      <c r="AJ175" s="73"/>
      <c r="AK175" s="64">
        <f t="shared" si="386"/>
        <v>543</v>
      </c>
      <c r="AL175" s="64"/>
      <c r="AM175" s="65">
        <v>543</v>
      </c>
      <c r="AN175" s="64"/>
      <c r="AO175" s="107"/>
      <c r="AP175" s="60" t="s">
        <v>390</v>
      </c>
      <c r="AQ175" s="64">
        <f t="shared" si="387"/>
        <v>1248.9000000000001</v>
      </c>
      <c r="AR175" s="64"/>
      <c r="AS175" s="65">
        <f>543+705.9</f>
        <v>1248.9000000000001</v>
      </c>
      <c r="AT175" s="64"/>
      <c r="AU175" s="73"/>
      <c r="AV175" s="64">
        <f t="shared" si="293"/>
        <v>0</v>
      </c>
      <c r="AW175" s="64">
        <f t="shared" si="294"/>
        <v>0</v>
      </c>
      <c r="AX175" s="64">
        <f t="shared" si="295"/>
        <v>0</v>
      </c>
      <c r="AY175" s="64">
        <f t="shared" si="296"/>
        <v>0</v>
      </c>
      <c r="AZ175" s="64" t="e">
        <f>#REF!-AU175</f>
        <v>#REF!</v>
      </c>
      <c r="BA175" s="64">
        <f t="shared" si="388"/>
        <v>1248.9000000000001</v>
      </c>
      <c r="BB175" s="64"/>
      <c r="BC175" s="65">
        <f>543+705.9</f>
        <v>1248.9000000000001</v>
      </c>
      <c r="BD175" s="64"/>
      <c r="BE175" s="64"/>
      <c r="BF175" s="64">
        <f t="shared" si="389"/>
        <v>0</v>
      </c>
      <c r="BG175" s="64"/>
      <c r="BH175" s="73"/>
      <c r="BI175" s="64"/>
      <c r="BJ175" s="73"/>
      <c r="BK175" s="64">
        <f t="shared" si="390"/>
        <v>1248.9000000000001</v>
      </c>
      <c r="BL175" s="64"/>
      <c r="BM175" s="65">
        <f>543+705.9</f>
        <v>1248.9000000000001</v>
      </c>
      <c r="BN175" s="64"/>
      <c r="BO175" s="74"/>
      <c r="BP175" s="64">
        <f t="shared" si="391"/>
        <v>1198.1840299999999</v>
      </c>
      <c r="BQ175" s="64"/>
      <c r="BR175" s="74">
        <f>662.27074+535.91329</f>
        <v>1198.1840299999999</v>
      </c>
      <c r="BS175" s="64"/>
      <c r="BT175" s="74"/>
      <c r="BU175" s="64">
        <f t="shared" si="359"/>
        <v>755.19740999999999</v>
      </c>
      <c r="BV175" s="64"/>
      <c r="BW175" s="64">
        <f>221.1988+533.99861</f>
        <v>755.19740999999999</v>
      </c>
      <c r="BX175" s="64"/>
      <c r="BY175" s="64"/>
      <c r="BZ175" s="60">
        <f t="shared" si="392"/>
        <v>1953.3814399999999</v>
      </c>
      <c r="CA175" s="64">
        <f t="shared" si="297"/>
        <v>1953.3814399999999</v>
      </c>
      <c r="CB175" s="64">
        <f t="shared" si="298"/>
        <v>0</v>
      </c>
      <c r="CC175" s="64">
        <f t="shared" si="299"/>
        <v>1953.3814399999999</v>
      </c>
      <c r="CD175" s="64">
        <f t="shared" si="300"/>
        <v>0</v>
      </c>
      <c r="CE175" s="64">
        <f t="shared" si="393"/>
        <v>0</v>
      </c>
      <c r="CF175" s="64">
        <f t="shared" si="301"/>
        <v>50.715970000000198</v>
      </c>
      <c r="CG175" s="64">
        <f t="shared" si="302"/>
        <v>0</v>
      </c>
      <c r="CH175" s="64">
        <f t="shared" si="303"/>
        <v>50.715970000000198</v>
      </c>
      <c r="CI175" s="64">
        <f t="shared" si="304"/>
        <v>0</v>
      </c>
      <c r="CJ175" s="64">
        <f t="shared" si="394"/>
        <v>0</v>
      </c>
      <c r="CK175" s="66"/>
      <c r="CL175" s="67"/>
      <c r="CM175" s="67"/>
      <c r="CN175" s="64">
        <f t="shared" si="395"/>
        <v>0</v>
      </c>
      <c r="CO175" s="64"/>
      <c r="CP175" s="73"/>
      <c r="CQ175" s="64"/>
      <c r="CR175" s="73"/>
      <c r="CS175" s="64">
        <f t="shared" si="396"/>
        <v>0</v>
      </c>
      <c r="CT175" s="64"/>
      <c r="CU175" s="73"/>
      <c r="CV175" s="64"/>
      <c r="CW175" s="73"/>
      <c r="CX175" s="64">
        <f t="shared" si="397"/>
        <v>0</v>
      </c>
      <c r="CY175" s="64">
        <f t="shared" si="398"/>
        <v>0</v>
      </c>
      <c r="CZ175" s="64">
        <f t="shared" si="398"/>
        <v>0</v>
      </c>
      <c r="DA175" s="64">
        <f t="shared" si="398"/>
        <v>0</v>
      </c>
      <c r="DB175" s="64">
        <f t="shared" si="398"/>
        <v>0</v>
      </c>
      <c r="DC175" s="64"/>
      <c r="DD175" s="64"/>
      <c r="DE175" s="64"/>
      <c r="DF175" s="64">
        <f t="shared" si="399"/>
        <v>50.715970000000198</v>
      </c>
      <c r="DH175" s="64">
        <f t="shared" si="400"/>
        <v>1248.9000000000001</v>
      </c>
      <c r="DI175" s="64">
        <f t="shared" si="401"/>
        <v>1198.1840299999999</v>
      </c>
      <c r="DK175" s="64"/>
      <c r="DL175" s="64"/>
      <c r="DN175" s="64"/>
      <c r="DQ175" s="64">
        <f t="shared" si="404"/>
        <v>1198.1840299999999</v>
      </c>
      <c r="DR175" s="64"/>
      <c r="DS175" s="74">
        <f>662.27074+535.91329</f>
        <v>1198.1840299999999</v>
      </c>
      <c r="DT175" s="64"/>
      <c r="DU175" s="74"/>
      <c r="DV175" s="64">
        <f t="shared" si="405"/>
        <v>0</v>
      </c>
      <c r="DW175" s="64"/>
      <c r="DX175" s="64"/>
      <c r="DY175" s="64"/>
      <c r="DZ175" s="64"/>
      <c r="EA175" s="375"/>
      <c r="EB175" s="375"/>
      <c r="EC175" s="375"/>
      <c r="ED175" s="375"/>
      <c r="EE175" s="375"/>
      <c r="EF175" s="375"/>
      <c r="EG175" s="375"/>
      <c r="EH175" s="375"/>
      <c r="EI175" s="375"/>
      <c r="EJ175" s="375"/>
      <c r="EK175" s="375"/>
      <c r="EL175" s="375"/>
      <c r="EM175" s="375"/>
      <c r="EN175" s="375"/>
      <c r="EO175" s="375"/>
      <c r="EP175" s="375"/>
      <c r="EQ175" s="375"/>
      <c r="ER175" s="375"/>
      <c r="ES175" s="375"/>
      <c r="ET175" s="375"/>
      <c r="EU175" s="375"/>
      <c r="EV175" s="375"/>
      <c r="EW175" s="375"/>
      <c r="EX175" s="375"/>
      <c r="EY175" s="375"/>
      <c r="EZ175" s="375"/>
      <c r="FA175" s="375"/>
      <c r="FB175" s="375"/>
      <c r="FC175" s="375"/>
      <c r="FD175" s="375"/>
      <c r="FE175" s="375"/>
      <c r="FF175" s="375"/>
      <c r="FG175" s="375"/>
      <c r="FH175" s="375"/>
      <c r="FI175" s="375"/>
      <c r="FJ175" s="375"/>
      <c r="FK175" s="375"/>
      <c r="FL175" s="375"/>
      <c r="FM175" s="375"/>
      <c r="FN175" s="375"/>
      <c r="FO175" s="375"/>
      <c r="FP175" s="375"/>
      <c r="FQ175" s="375"/>
      <c r="FR175" s="375"/>
      <c r="FS175" s="375"/>
      <c r="FT175" s="375"/>
      <c r="FU175" s="375"/>
      <c r="FV175" s="375"/>
      <c r="FW175" s="375"/>
      <c r="FX175" s="375"/>
      <c r="FY175" s="375"/>
      <c r="FZ175" s="375"/>
      <c r="GA175" s="375"/>
      <c r="GB175" s="375"/>
      <c r="GC175" s="375"/>
      <c r="GD175" s="375"/>
      <c r="GE175" s="375"/>
      <c r="GF175" s="375"/>
      <c r="GG175" s="375"/>
      <c r="GH175" s="375"/>
      <c r="GI175" s="375"/>
      <c r="GJ175" s="375"/>
      <c r="GK175" s="375"/>
      <c r="GL175" s="375"/>
      <c r="GM175" s="375"/>
      <c r="GN175" s="375"/>
      <c r="GO175" s="375"/>
      <c r="GP175" s="375"/>
      <c r="GQ175" s="375"/>
      <c r="GR175" s="375"/>
    </row>
    <row r="176" spans="1:200" s="61" customFormat="1" ht="16.2" customHeight="1" x14ac:dyDescent="0.3">
      <c r="A176" s="280"/>
      <c r="B176" s="281"/>
      <c r="C176" s="282"/>
      <c r="D176" s="282">
        <v>1</v>
      </c>
      <c r="E176" s="4">
        <v>148</v>
      </c>
      <c r="F176" s="281"/>
      <c r="G176" s="282"/>
      <c r="H176" s="282">
        <v>1</v>
      </c>
      <c r="I176" s="466" t="s">
        <v>272</v>
      </c>
      <c r="J176" s="467"/>
      <c r="K176" s="467"/>
      <c r="L176" s="467"/>
      <c r="M176" s="4">
        <v>145</v>
      </c>
      <c r="N176" s="62" t="s">
        <v>127</v>
      </c>
      <c r="O176" s="62" t="s">
        <v>450</v>
      </c>
      <c r="P176" s="62" t="s">
        <v>450</v>
      </c>
      <c r="Q176" s="60">
        <f t="shared" si="305"/>
        <v>0</v>
      </c>
      <c r="R176" s="60">
        <f t="shared" si="306"/>
        <v>0</v>
      </c>
      <c r="S176" s="60">
        <f t="shared" si="307"/>
        <v>0</v>
      </c>
      <c r="T176" s="60">
        <v>1</v>
      </c>
      <c r="U176" s="60">
        <v>1</v>
      </c>
      <c r="V176" s="64">
        <f t="shared" si="383"/>
        <v>305.89999999999998</v>
      </c>
      <c r="W176" s="64"/>
      <c r="X176" s="65">
        <v>305.89999999999998</v>
      </c>
      <c r="Y176" s="64"/>
      <c r="Z176" s="73"/>
      <c r="AA176" s="64">
        <f t="shared" si="384"/>
        <v>305.89999999999998</v>
      </c>
      <c r="AB176" s="64"/>
      <c r="AC176" s="65">
        <v>305.89999999999998</v>
      </c>
      <c r="AD176" s="64"/>
      <c r="AE176" s="73"/>
      <c r="AF176" s="64">
        <f t="shared" si="385"/>
        <v>305.89999999999998</v>
      </c>
      <c r="AG176" s="64"/>
      <c r="AH176" s="65">
        <v>305.89999999999998</v>
      </c>
      <c r="AI176" s="64"/>
      <c r="AJ176" s="73"/>
      <c r="AK176" s="64">
        <f t="shared" si="386"/>
        <v>133</v>
      </c>
      <c r="AL176" s="64"/>
      <c r="AM176" s="65">
        <v>133</v>
      </c>
      <c r="AN176" s="64"/>
      <c r="AO176" s="107"/>
      <c r="AP176" s="60" t="s">
        <v>392</v>
      </c>
      <c r="AQ176" s="64">
        <f t="shared" si="387"/>
        <v>305.89999999999998</v>
      </c>
      <c r="AR176" s="64"/>
      <c r="AS176" s="65">
        <f>133+172.9</f>
        <v>305.89999999999998</v>
      </c>
      <c r="AT176" s="64"/>
      <c r="AU176" s="73"/>
      <c r="AV176" s="64">
        <f t="shared" si="293"/>
        <v>0</v>
      </c>
      <c r="AW176" s="64">
        <f t="shared" si="294"/>
        <v>0</v>
      </c>
      <c r="AX176" s="64">
        <f t="shared" si="295"/>
        <v>0</v>
      </c>
      <c r="AY176" s="64">
        <f t="shared" si="296"/>
        <v>0</v>
      </c>
      <c r="AZ176" s="64" t="e">
        <f>#REF!-AU176</f>
        <v>#REF!</v>
      </c>
      <c r="BA176" s="64">
        <f t="shared" si="388"/>
        <v>305.89999999999998</v>
      </c>
      <c r="BB176" s="64"/>
      <c r="BC176" s="65">
        <f>133+172.9</f>
        <v>305.89999999999998</v>
      </c>
      <c r="BD176" s="64"/>
      <c r="BE176" s="73"/>
      <c r="BF176" s="64">
        <f t="shared" si="389"/>
        <v>0</v>
      </c>
      <c r="BG176" s="64"/>
      <c r="BH176" s="65"/>
      <c r="BI176" s="64"/>
      <c r="BJ176" s="73"/>
      <c r="BK176" s="64">
        <f t="shared" si="390"/>
        <v>305.89999999999998</v>
      </c>
      <c r="BL176" s="64"/>
      <c r="BM176" s="65">
        <f>133+172.9</f>
        <v>305.89999999999998</v>
      </c>
      <c r="BN176" s="64"/>
      <c r="BO176" s="74"/>
      <c r="BP176" s="64">
        <f t="shared" si="391"/>
        <v>305.89999999999998</v>
      </c>
      <c r="BQ176" s="64"/>
      <c r="BR176" s="74">
        <f>133+172.9</f>
        <v>305.89999999999998</v>
      </c>
      <c r="BS176" s="64"/>
      <c r="BT176" s="74"/>
      <c r="BU176" s="64">
        <f t="shared" si="359"/>
        <v>176.27132</v>
      </c>
      <c r="BV176" s="64"/>
      <c r="BW176" s="64">
        <f>99.6438+76.62752</f>
        <v>176.27132</v>
      </c>
      <c r="BX176" s="64"/>
      <c r="BY176" s="64"/>
      <c r="BZ176" s="60">
        <f t="shared" si="392"/>
        <v>482.17131999999998</v>
      </c>
      <c r="CA176" s="64">
        <f t="shared" si="297"/>
        <v>482.17131999999998</v>
      </c>
      <c r="CB176" s="64">
        <f t="shared" si="298"/>
        <v>0</v>
      </c>
      <c r="CC176" s="64">
        <f t="shared" si="299"/>
        <v>482.17131999999998</v>
      </c>
      <c r="CD176" s="64">
        <f t="shared" si="300"/>
        <v>0</v>
      </c>
      <c r="CE176" s="64">
        <f t="shared" si="393"/>
        <v>0</v>
      </c>
      <c r="CF176" s="64">
        <f t="shared" si="301"/>
        <v>0</v>
      </c>
      <c r="CG176" s="64">
        <f t="shared" si="302"/>
        <v>0</v>
      </c>
      <c r="CH176" s="64">
        <f t="shared" si="303"/>
        <v>0</v>
      </c>
      <c r="CI176" s="64">
        <f t="shared" si="304"/>
        <v>0</v>
      </c>
      <c r="CJ176" s="64">
        <f t="shared" si="394"/>
        <v>0</v>
      </c>
      <c r="CK176" s="66"/>
      <c r="CL176" s="67"/>
      <c r="CM176" s="67"/>
      <c r="CN176" s="64">
        <f t="shared" si="395"/>
        <v>0</v>
      </c>
      <c r="CO176" s="64"/>
      <c r="CP176" s="65"/>
      <c r="CQ176" s="64"/>
      <c r="CR176" s="73"/>
      <c r="CS176" s="64">
        <f t="shared" si="396"/>
        <v>0</v>
      </c>
      <c r="CT176" s="64"/>
      <c r="CU176" s="65"/>
      <c r="CV176" s="64"/>
      <c r="CW176" s="73"/>
      <c r="CX176" s="64">
        <f t="shared" si="397"/>
        <v>0</v>
      </c>
      <c r="CY176" s="64">
        <f t="shared" si="398"/>
        <v>0</v>
      </c>
      <c r="CZ176" s="64">
        <f t="shared" si="398"/>
        <v>0</v>
      </c>
      <c r="DA176" s="64">
        <f t="shared" si="398"/>
        <v>0</v>
      </c>
      <c r="DB176" s="64">
        <f t="shared" si="398"/>
        <v>0</v>
      </c>
      <c r="DC176" s="64"/>
      <c r="DD176" s="64"/>
      <c r="DE176" s="64"/>
      <c r="DF176" s="64">
        <f t="shared" si="399"/>
        <v>0</v>
      </c>
      <c r="DH176" s="64">
        <f t="shared" si="400"/>
        <v>305.89999999999998</v>
      </c>
      <c r="DI176" s="64">
        <f t="shared" si="401"/>
        <v>305.89999999999998</v>
      </c>
      <c r="DK176" s="64"/>
      <c r="DL176" s="64"/>
      <c r="DN176" s="64"/>
      <c r="DQ176" s="64">
        <f t="shared" si="404"/>
        <v>305.89999999999998</v>
      </c>
      <c r="DR176" s="64"/>
      <c r="DS176" s="74">
        <f>133+172.9</f>
        <v>305.89999999999998</v>
      </c>
      <c r="DT176" s="64"/>
      <c r="DU176" s="74"/>
      <c r="DV176" s="64">
        <f t="shared" si="405"/>
        <v>99.643799999999999</v>
      </c>
      <c r="DW176" s="64"/>
      <c r="DX176" s="64">
        <v>99.643799999999999</v>
      </c>
      <c r="DY176" s="64"/>
      <c r="DZ176" s="64"/>
      <c r="EA176" s="375"/>
      <c r="EB176" s="375"/>
      <c r="EC176" s="375"/>
      <c r="ED176" s="375"/>
      <c r="EE176" s="375"/>
      <c r="EF176" s="375"/>
      <c r="EG176" s="375"/>
      <c r="EH176" s="375"/>
      <c r="EI176" s="375"/>
      <c r="EJ176" s="375"/>
      <c r="EK176" s="375"/>
      <c r="EL176" s="375"/>
      <c r="EM176" s="375"/>
      <c r="EN176" s="375"/>
      <c r="EO176" s="375"/>
      <c r="EP176" s="375"/>
      <c r="EQ176" s="375"/>
      <c r="ER176" s="375"/>
      <c r="ES176" s="375"/>
      <c r="ET176" s="375"/>
      <c r="EU176" s="375"/>
      <c r="EV176" s="375"/>
      <c r="EW176" s="375"/>
      <c r="EX176" s="375"/>
      <c r="EY176" s="375"/>
      <c r="EZ176" s="375"/>
      <c r="FA176" s="375"/>
      <c r="FB176" s="375"/>
      <c r="FC176" s="375"/>
      <c r="FD176" s="375"/>
      <c r="FE176" s="375"/>
      <c r="FF176" s="375"/>
      <c r="FG176" s="375"/>
      <c r="FH176" s="375"/>
      <c r="FI176" s="375"/>
      <c r="FJ176" s="375"/>
      <c r="FK176" s="375"/>
      <c r="FL176" s="375"/>
      <c r="FM176" s="375"/>
      <c r="FN176" s="375"/>
      <c r="FO176" s="375"/>
      <c r="FP176" s="375"/>
      <c r="FQ176" s="375"/>
      <c r="FR176" s="375"/>
      <c r="FS176" s="375"/>
      <c r="FT176" s="375"/>
      <c r="FU176" s="375"/>
      <c r="FV176" s="375"/>
      <c r="FW176" s="375"/>
      <c r="FX176" s="375"/>
      <c r="FY176" s="375"/>
      <c r="FZ176" s="375"/>
      <c r="GA176" s="375"/>
      <c r="GB176" s="375"/>
      <c r="GC176" s="375"/>
      <c r="GD176" s="375"/>
      <c r="GE176" s="375"/>
      <c r="GF176" s="375"/>
      <c r="GG176" s="375"/>
      <c r="GH176" s="375"/>
      <c r="GI176" s="375"/>
      <c r="GJ176" s="375"/>
      <c r="GK176" s="375"/>
      <c r="GL176" s="375"/>
      <c r="GM176" s="375"/>
      <c r="GN176" s="375"/>
      <c r="GO176" s="375"/>
      <c r="GP176" s="375"/>
      <c r="GQ176" s="375"/>
      <c r="GR176" s="375"/>
    </row>
    <row r="177" spans="1:200" s="48" customFormat="1" ht="25.5" customHeight="1" x14ac:dyDescent="0.3">
      <c r="A177" s="276"/>
      <c r="B177" s="277"/>
      <c r="C177" s="278"/>
      <c r="D177" s="278"/>
      <c r="E177" s="279"/>
      <c r="F177" s="277"/>
      <c r="G177" s="278"/>
      <c r="H177" s="278"/>
      <c r="I177" s="279">
        <v>10</v>
      </c>
      <c r="J177" s="292" t="s">
        <v>266</v>
      </c>
      <c r="K177" s="292" t="s">
        <v>273</v>
      </c>
      <c r="L177" s="293">
        <f>5000</f>
        <v>5000</v>
      </c>
      <c r="M177" s="279"/>
      <c r="N177" s="42" t="s">
        <v>22</v>
      </c>
      <c r="O177" s="42"/>
      <c r="P177" s="42"/>
      <c r="Q177" s="43">
        <f t="shared" si="305"/>
        <v>0</v>
      </c>
      <c r="R177" s="43">
        <f t="shared" si="306"/>
        <v>635.83141000000614</v>
      </c>
      <c r="S177" s="43">
        <f t="shared" si="307"/>
        <v>2281.9769999999971</v>
      </c>
      <c r="T177" s="43">
        <f>T178+T179+T180+T181+T182+T183+T184+T185+T186+T187+T188+T189+T190+T191+T192+T193+T194</f>
        <v>15</v>
      </c>
      <c r="U177" s="43">
        <f>U178+U179+U180+U181+U182+U183+U184+U185+U186+U187+U188+U189+U190+U191+U192+U193+U194</f>
        <v>22</v>
      </c>
      <c r="V177" s="43">
        <f t="shared" ref="V177:Z177" si="406">SUM(V178:V194)-V179</f>
        <v>39112.436999999991</v>
      </c>
      <c r="W177" s="43">
        <f t="shared" si="406"/>
        <v>0</v>
      </c>
      <c r="X177" s="43">
        <f t="shared" si="406"/>
        <v>21307.200000000001</v>
      </c>
      <c r="Y177" s="43">
        <f t="shared" si="406"/>
        <v>17805.236999999997</v>
      </c>
      <c r="Z177" s="43">
        <f t="shared" si="406"/>
        <v>0</v>
      </c>
      <c r="AA177" s="43">
        <f t="shared" ref="AA177:AE177" si="407">SUM(AA178:AA194)-AA179</f>
        <v>38359.001999999993</v>
      </c>
      <c r="AB177" s="43">
        <f t="shared" si="407"/>
        <v>0</v>
      </c>
      <c r="AC177" s="43">
        <f t="shared" si="407"/>
        <v>21307.200000000001</v>
      </c>
      <c r="AD177" s="43">
        <f t="shared" si="407"/>
        <v>17051.802</v>
      </c>
      <c r="AE177" s="43">
        <f t="shared" si="407"/>
        <v>0</v>
      </c>
      <c r="AF177" s="43">
        <f t="shared" ref="AF177:AJ177" si="408">SUM(AF178:AF194)-AF179</f>
        <v>24717.424999999996</v>
      </c>
      <c r="AG177" s="43">
        <f t="shared" si="408"/>
        <v>0</v>
      </c>
      <c r="AH177" s="43">
        <f t="shared" si="408"/>
        <v>21307.200000000001</v>
      </c>
      <c r="AI177" s="43">
        <f t="shared" si="408"/>
        <v>3410.2249999999999</v>
      </c>
      <c r="AJ177" s="43">
        <f t="shared" si="408"/>
        <v>0</v>
      </c>
      <c r="AK177" s="45">
        <f t="shared" ref="AK177:AO177" si="409">SUM(AK178:AK194)-AK179</f>
        <v>12674.225</v>
      </c>
      <c r="AL177" s="43">
        <f t="shared" si="409"/>
        <v>0</v>
      </c>
      <c r="AM177" s="43">
        <f t="shared" si="409"/>
        <v>9264</v>
      </c>
      <c r="AN177" s="43">
        <f t="shared" si="409"/>
        <v>3410.2249999999999</v>
      </c>
      <c r="AO177" s="43">
        <f t="shared" si="409"/>
        <v>0</v>
      </c>
      <c r="AP177" s="44"/>
      <c r="AQ177" s="43">
        <f>SUM(AQ178:AQ194)-AQ179</f>
        <v>39112.436999999991</v>
      </c>
      <c r="AR177" s="43">
        <f>SUM(AR178:AR194)-AR179</f>
        <v>0</v>
      </c>
      <c r="AS177" s="43">
        <f>SUM(AS178:AS194)-AS179</f>
        <v>21307.200000000001</v>
      </c>
      <c r="AT177" s="43">
        <f>SUM(AT178:AT194)-AT179</f>
        <v>17805.236999999997</v>
      </c>
      <c r="AU177" s="43">
        <f>SUM(AU178:AU194)-AU179</f>
        <v>0</v>
      </c>
      <c r="AV177" s="43">
        <f t="shared" si="293"/>
        <v>0</v>
      </c>
      <c r="AW177" s="43">
        <f t="shared" si="294"/>
        <v>0</v>
      </c>
      <c r="AX177" s="43">
        <f t="shared" si="295"/>
        <v>0</v>
      </c>
      <c r="AY177" s="43">
        <f t="shared" si="296"/>
        <v>0</v>
      </c>
      <c r="AZ177" s="43" t="e">
        <f t="shared" ref="AZ177:BE177" si="410">SUM(AZ178:AZ194)-AZ179</f>
        <v>#REF!</v>
      </c>
      <c r="BA177" s="43">
        <f t="shared" si="410"/>
        <v>39112.436999999991</v>
      </c>
      <c r="BB177" s="43">
        <f t="shared" si="410"/>
        <v>0</v>
      </c>
      <c r="BC177" s="43">
        <f t="shared" si="410"/>
        <v>21307.200000000001</v>
      </c>
      <c r="BD177" s="43">
        <f t="shared" si="410"/>
        <v>17805.236999999997</v>
      </c>
      <c r="BE177" s="43">
        <f t="shared" si="410"/>
        <v>0</v>
      </c>
      <c r="BF177" s="43">
        <f t="shared" ref="BF177:CJ177" si="411">SUM(BF178:BF194)-BF179</f>
        <v>0</v>
      </c>
      <c r="BG177" s="43">
        <f t="shared" si="411"/>
        <v>0</v>
      </c>
      <c r="BH177" s="43">
        <f t="shared" si="411"/>
        <v>0</v>
      </c>
      <c r="BI177" s="43">
        <f t="shared" si="411"/>
        <v>0</v>
      </c>
      <c r="BJ177" s="43">
        <f t="shared" si="411"/>
        <v>0</v>
      </c>
      <c r="BK177" s="43">
        <f t="shared" si="411"/>
        <v>39112.436999999991</v>
      </c>
      <c r="BL177" s="43">
        <f t="shared" si="411"/>
        <v>0</v>
      </c>
      <c r="BM177" s="43">
        <f t="shared" si="411"/>
        <v>21307.200000000001</v>
      </c>
      <c r="BN177" s="43">
        <f t="shared" si="411"/>
        <v>17805.236999999997</v>
      </c>
      <c r="BO177" s="43">
        <f t="shared" si="411"/>
        <v>0</v>
      </c>
      <c r="BP177" s="43">
        <f t="shared" si="411"/>
        <v>36194.628589999993</v>
      </c>
      <c r="BQ177" s="43">
        <f t="shared" si="411"/>
        <v>0</v>
      </c>
      <c r="BR177" s="43">
        <f t="shared" si="411"/>
        <v>20671.368589999995</v>
      </c>
      <c r="BS177" s="43">
        <f t="shared" si="411"/>
        <v>15523.26</v>
      </c>
      <c r="BT177" s="43">
        <f t="shared" si="411"/>
        <v>0</v>
      </c>
      <c r="BU177" s="45">
        <f t="shared" si="411"/>
        <v>16092.359460000003</v>
      </c>
      <c r="BV177" s="304">
        <f t="shared" si="411"/>
        <v>0</v>
      </c>
      <c r="BW177" s="304">
        <f t="shared" si="411"/>
        <v>10575.036210000002</v>
      </c>
      <c r="BX177" s="304">
        <f t="shared" si="411"/>
        <v>5517.3232500000004</v>
      </c>
      <c r="BY177" s="43">
        <f t="shared" si="411"/>
        <v>0</v>
      </c>
      <c r="BZ177" s="43">
        <f t="shared" si="411"/>
        <v>52286.988050000007</v>
      </c>
      <c r="CA177" s="43">
        <f t="shared" si="297"/>
        <v>52286.98805</v>
      </c>
      <c r="CB177" s="43">
        <f t="shared" si="298"/>
        <v>0</v>
      </c>
      <c r="CC177" s="43">
        <f t="shared" si="299"/>
        <v>31246.404799999997</v>
      </c>
      <c r="CD177" s="43">
        <f t="shared" si="300"/>
        <v>21040.58325</v>
      </c>
      <c r="CE177" s="43">
        <f t="shared" si="411"/>
        <v>0</v>
      </c>
      <c r="CF177" s="43">
        <f t="shared" si="301"/>
        <v>2917.8084100000033</v>
      </c>
      <c r="CG177" s="43">
        <f t="shared" si="302"/>
        <v>0</v>
      </c>
      <c r="CH177" s="43">
        <f t="shared" si="303"/>
        <v>635.83141000000614</v>
      </c>
      <c r="CI177" s="43">
        <f t="shared" si="304"/>
        <v>2281.9769999999971</v>
      </c>
      <c r="CJ177" s="43">
        <f t="shared" si="411"/>
        <v>0</v>
      </c>
      <c r="CK177" s="46">
        <f>CL177+CN177-BF177</f>
        <v>39112.436999999998</v>
      </c>
      <c r="CL177" s="47">
        <f t="shared" ref="CL177:DF177" si="412">SUM(CL178:CL194)-CL179</f>
        <v>39112.436999999998</v>
      </c>
      <c r="CM177" s="47">
        <f t="shared" si="412"/>
        <v>39112.436999999998</v>
      </c>
      <c r="CN177" s="43">
        <f t="shared" si="412"/>
        <v>0</v>
      </c>
      <c r="CO177" s="43">
        <f t="shared" si="412"/>
        <v>0</v>
      </c>
      <c r="CP177" s="43">
        <f t="shared" si="412"/>
        <v>0</v>
      </c>
      <c r="CQ177" s="43">
        <f t="shared" si="412"/>
        <v>0</v>
      </c>
      <c r="CR177" s="43">
        <f t="shared" si="412"/>
        <v>0</v>
      </c>
      <c r="CS177" s="43">
        <f t="shared" si="412"/>
        <v>0</v>
      </c>
      <c r="CT177" s="43">
        <f t="shared" si="412"/>
        <v>0</v>
      </c>
      <c r="CU177" s="43">
        <f t="shared" si="412"/>
        <v>0</v>
      </c>
      <c r="CV177" s="43">
        <f t="shared" si="412"/>
        <v>0</v>
      </c>
      <c r="CW177" s="43">
        <f t="shared" si="412"/>
        <v>0</v>
      </c>
      <c r="CX177" s="43">
        <f t="shared" si="412"/>
        <v>0</v>
      </c>
      <c r="CY177" s="43">
        <f t="shared" si="412"/>
        <v>0</v>
      </c>
      <c r="CZ177" s="43">
        <f t="shared" si="412"/>
        <v>0</v>
      </c>
      <c r="DA177" s="43">
        <f t="shared" si="412"/>
        <v>0</v>
      </c>
      <c r="DB177" s="43">
        <f t="shared" si="412"/>
        <v>0</v>
      </c>
      <c r="DC177" s="43">
        <f t="shared" si="412"/>
        <v>0</v>
      </c>
      <c r="DD177" s="43">
        <f t="shared" si="412"/>
        <v>0</v>
      </c>
      <c r="DE177" s="43">
        <f t="shared" si="412"/>
        <v>0</v>
      </c>
      <c r="DF177" s="43">
        <f t="shared" si="412"/>
        <v>2917.8084099999992</v>
      </c>
      <c r="DH177" s="43">
        <f>SUM(DH178:DH194)-DH179</f>
        <v>39112.436999999991</v>
      </c>
      <c r="DI177" s="43">
        <f>SUM(DI178:DI194)-DI179</f>
        <v>36194.628589999993</v>
      </c>
      <c r="DK177" s="43">
        <f>SUM(DK178:DK194)-DK179</f>
        <v>36194.62859</v>
      </c>
      <c r="DL177" s="43">
        <f>SUM(DL178:DL194)-DL179</f>
        <v>3221.8904099999991</v>
      </c>
      <c r="DN177" s="43">
        <f>SUM(DN178:DN194)-DN179</f>
        <v>2917.8084099999996</v>
      </c>
      <c r="DO177" s="49">
        <f>DF177-DN177</f>
        <v>0</v>
      </c>
      <c r="DP177" s="49"/>
      <c r="DQ177" s="43">
        <f>SUM(DQ178:DQ194)-DQ179</f>
        <v>23932.128589999997</v>
      </c>
      <c r="DR177" s="43">
        <f t="shared" ref="DR177:DU177" si="413">SUM(DR178:DR194)-DR179</f>
        <v>0</v>
      </c>
      <c r="DS177" s="43">
        <f t="shared" si="413"/>
        <v>20671.368589999995</v>
      </c>
      <c r="DT177" s="43">
        <f t="shared" si="413"/>
        <v>3260.76</v>
      </c>
      <c r="DU177" s="43">
        <f t="shared" si="413"/>
        <v>0</v>
      </c>
      <c r="DV177" s="43">
        <f>SUM(DV178:DV194)-DV179</f>
        <v>4696.2662999999993</v>
      </c>
      <c r="DW177" s="43">
        <f t="shared" ref="DW177:DZ177" si="414">SUM(DW178:DW194)-DW179</f>
        <v>0</v>
      </c>
      <c r="DX177" s="43">
        <f>SUM(DX178:DX194)-DX179</f>
        <v>3585.4878899999999</v>
      </c>
      <c r="DY177" s="43">
        <f t="shared" si="414"/>
        <v>1110.7784099999999</v>
      </c>
      <c r="DZ177" s="43">
        <f t="shared" si="414"/>
        <v>0</v>
      </c>
      <c r="EA177" s="372"/>
      <c r="EB177" s="372"/>
      <c r="EC177" s="372"/>
      <c r="ED177" s="372"/>
      <c r="EE177" s="372"/>
      <c r="EF177" s="372"/>
      <c r="EG177" s="372"/>
      <c r="EH177" s="372"/>
      <c r="EI177" s="372"/>
      <c r="EJ177" s="372"/>
      <c r="EK177" s="372"/>
      <c r="EL177" s="372"/>
      <c r="EM177" s="372"/>
      <c r="EN177" s="372"/>
      <c r="EO177" s="372"/>
      <c r="EP177" s="372"/>
      <c r="EQ177" s="372"/>
      <c r="ER177" s="372"/>
      <c r="ES177" s="372"/>
      <c r="ET177" s="372"/>
      <c r="EU177" s="372"/>
      <c r="EV177" s="372"/>
      <c r="EW177" s="372"/>
      <c r="EX177" s="372"/>
      <c r="EY177" s="372"/>
      <c r="EZ177" s="372"/>
      <c r="FA177" s="372"/>
      <c r="FB177" s="372"/>
      <c r="FC177" s="372"/>
      <c r="FD177" s="372"/>
      <c r="FE177" s="372"/>
      <c r="FF177" s="372"/>
      <c r="FG177" s="372"/>
      <c r="FH177" s="372"/>
      <c r="FI177" s="372"/>
      <c r="FJ177" s="372"/>
      <c r="FK177" s="372"/>
      <c r="FL177" s="372"/>
      <c r="FM177" s="372"/>
      <c r="FN177" s="372"/>
      <c r="FO177" s="372"/>
      <c r="FP177" s="372"/>
      <c r="FQ177" s="372"/>
      <c r="FR177" s="372"/>
      <c r="FS177" s="372"/>
      <c r="FT177" s="372"/>
      <c r="FU177" s="372"/>
      <c r="FV177" s="372"/>
      <c r="FW177" s="372"/>
      <c r="FX177" s="372"/>
      <c r="FY177" s="372"/>
      <c r="FZ177" s="372"/>
      <c r="GA177" s="372"/>
      <c r="GB177" s="372"/>
      <c r="GC177" s="372"/>
      <c r="GD177" s="372"/>
      <c r="GE177" s="372"/>
      <c r="GF177" s="372"/>
      <c r="GG177" s="372"/>
      <c r="GH177" s="372"/>
      <c r="GI177" s="372"/>
      <c r="GJ177" s="372"/>
      <c r="GK177" s="372"/>
      <c r="GL177" s="372"/>
      <c r="GM177" s="372"/>
      <c r="GN177" s="372"/>
      <c r="GO177" s="372"/>
      <c r="GP177" s="372"/>
      <c r="GQ177" s="372"/>
      <c r="GR177" s="372"/>
    </row>
    <row r="178" spans="1:200" s="61" customFormat="1" ht="15" customHeight="1" x14ac:dyDescent="0.3">
      <c r="A178" s="280"/>
      <c r="B178" s="281">
        <v>1</v>
      </c>
      <c r="C178" s="282"/>
      <c r="D178" s="282"/>
      <c r="E178" s="4">
        <v>149</v>
      </c>
      <c r="F178" s="281"/>
      <c r="G178" s="282"/>
      <c r="H178" s="282"/>
      <c r="I178" s="474" t="s">
        <v>270</v>
      </c>
      <c r="J178" s="475"/>
      <c r="K178" s="475"/>
      <c r="L178" s="288">
        <f>L177</f>
        <v>5000</v>
      </c>
      <c r="M178" s="4">
        <v>146</v>
      </c>
      <c r="N178" s="62" t="s">
        <v>233</v>
      </c>
      <c r="O178" s="62" t="s">
        <v>448</v>
      </c>
      <c r="P178" s="62" t="s">
        <v>450</v>
      </c>
      <c r="Q178" s="60">
        <f t="shared" si="305"/>
        <v>0</v>
      </c>
      <c r="R178" s="60">
        <f t="shared" si="306"/>
        <v>0</v>
      </c>
      <c r="S178" s="60">
        <f t="shared" si="307"/>
        <v>0</v>
      </c>
      <c r="T178" s="60">
        <v>1</v>
      </c>
      <c r="U178" s="60"/>
      <c r="V178" s="64">
        <f t="shared" ref="V178:V194" si="415">W178+X178+Y178+Z178</f>
        <v>7286.4</v>
      </c>
      <c r="W178" s="64"/>
      <c r="X178" s="65">
        <v>7286.4</v>
      </c>
      <c r="Y178" s="64"/>
      <c r="Z178" s="60"/>
      <c r="AA178" s="64">
        <f t="shared" ref="AA178:AA194" si="416">AB178+AC178+AD178+AE178</f>
        <v>7286.4</v>
      </c>
      <c r="AB178" s="64"/>
      <c r="AC178" s="65">
        <v>7286.4</v>
      </c>
      <c r="AD178" s="64"/>
      <c r="AE178" s="60"/>
      <c r="AF178" s="64">
        <f t="shared" ref="AF178:AF194" si="417">AG178+AH178+AI178+AJ178</f>
        <v>7286.4</v>
      </c>
      <c r="AG178" s="64"/>
      <c r="AH178" s="65">
        <v>7286.4</v>
      </c>
      <c r="AI178" s="64"/>
      <c r="AJ178" s="60"/>
      <c r="AK178" s="64">
        <f t="shared" ref="AK178:AK194" si="418">AL178+AM178+AN178+AO178</f>
        <v>3036</v>
      </c>
      <c r="AL178" s="64"/>
      <c r="AM178" s="65">
        <v>3036</v>
      </c>
      <c r="AN178" s="64"/>
      <c r="AO178" s="106"/>
      <c r="AP178" s="105" t="s">
        <v>361</v>
      </c>
      <c r="AQ178" s="64">
        <f t="shared" ref="AQ178:AQ194" si="419">AR178+AS178+AT178+AU178</f>
        <v>7286.4</v>
      </c>
      <c r="AR178" s="64"/>
      <c r="AS178" s="65">
        <v>7286.4</v>
      </c>
      <c r="AT178" s="64"/>
      <c r="AU178" s="64"/>
      <c r="AV178" s="64">
        <f t="shared" si="293"/>
        <v>0</v>
      </c>
      <c r="AW178" s="64">
        <f t="shared" si="294"/>
        <v>0</v>
      </c>
      <c r="AX178" s="64">
        <f t="shared" si="295"/>
        <v>0</v>
      </c>
      <c r="AY178" s="64">
        <f t="shared" si="296"/>
        <v>0</v>
      </c>
      <c r="AZ178" s="64" t="e">
        <f>#REF!-AU178</f>
        <v>#REF!</v>
      </c>
      <c r="BA178" s="64">
        <f t="shared" ref="BA178:BA194" si="420">BB178+BC178+BD178+BE178</f>
        <v>7286.4</v>
      </c>
      <c r="BB178" s="64"/>
      <c r="BC178" s="65">
        <v>7286.4</v>
      </c>
      <c r="BD178" s="64"/>
      <c r="BE178" s="64"/>
      <c r="BF178" s="64">
        <f t="shared" ref="BF178:BF194" si="421">BG178+BH178+BI178+BJ178</f>
        <v>0</v>
      </c>
      <c r="BG178" s="64"/>
      <c r="BH178" s="64"/>
      <c r="BI178" s="64"/>
      <c r="BJ178" s="64"/>
      <c r="BK178" s="64">
        <f t="shared" ref="BK178:BK194" si="422">BL178+BM178+BN178+BO178</f>
        <v>7286.4</v>
      </c>
      <c r="BL178" s="64"/>
      <c r="BM178" s="65">
        <v>7286.4</v>
      </c>
      <c r="BN178" s="64"/>
      <c r="BO178" s="64"/>
      <c r="BP178" s="64">
        <f t="shared" ref="BP178:BP194" si="423">BQ178+BR178+BS178+BT178</f>
        <v>7286.4</v>
      </c>
      <c r="BQ178" s="64"/>
      <c r="BR178" s="64">
        <f>900+820+3986.4+1580</f>
        <v>7286.4</v>
      </c>
      <c r="BS178" s="64"/>
      <c r="BT178" s="64"/>
      <c r="BU178" s="64">
        <f t="shared" ref="BU178:BU194" si="424">BV178+BW178+BX178+BY178</f>
        <v>4536.3560400000006</v>
      </c>
      <c r="BV178" s="64"/>
      <c r="BW178" s="64">
        <f>546.90204+362.30793+2911.46138+715.68469</f>
        <v>4536.3560400000006</v>
      </c>
      <c r="BX178" s="64"/>
      <c r="BY178" s="64"/>
      <c r="BZ178" s="60">
        <f t="shared" ref="BZ178:BZ194" si="425">CA178</f>
        <v>11822.75604</v>
      </c>
      <c r="CA178" s="64">
        <f t="shared" si="297"/>
        <v>11822.75604</v>
      </c>
      <c r="CB178" s="64">
        <f t="shared" si="298"/>
        <v>0</v>
      </c>
      <c r="CC178" s="64">
        <f t="shared" si="299"/>
        <v>11822.75604</v>
      </c>
      <c r="CD178" s="64">
        <f t="shared" si="300"/>
        <v>0</v>
      </c>
      <c r="CE178" s="64">
        <f t="shared" ref="CE178:CE194" si="426">BT178+BY178</f>
        <v>0</v>
      </c>
      <c r="CF178" s="64">
        <f t="shared" si="301"/>
        <v>0</v>
      </c>
      <c r="CG178" s="64">
        <f t="shared" si="302"/>
        <v>0</v>
      </c>
      <c r="CH178" s="64">
        <f t="shared" si="303"/>
        <v>0</v>
      </c>
      <c r="CI178" s="64">
        <f t="shared" si="304"/>
        <v>0</v>
      </c>
      <c r="CJ178" s="64">
        <f t="shared" ref="CJ178:CJ194" si="427">BO178-BT178</f>
        <v>0</v>
      </c>
      <c r="CK178" s="66"/>
      <c r="CL178" s="67">
        <f>BA178</f>
        <v>7286.4</v>
      </c>
      <c r="CM178" s="67">
        <f>CL178</f>
        <v>7286.4</v>
      </c>
      <c r="CN178" s="64">
        <f t="shared" ref="CN178:CN194" si="428">CO178+CP178+CQ178+CR178</f>
        <v>0</v>
      </c>
      <c r="CO178" s="64"/>
      <c r="CP178" s="64"/>
      <c r="CQ178" s="64"/>
      <c r="CR178" s="64"/>
      <c r="CS178" s="64">
        <f t="shared" ref="CS178:CS194" si="429">CT178+CU178+CV178+CW178</f>
        <v>0</v>
      </c>
      <c r="CT178" s="64"/>
      <c r="CU178" s="64"/>
      <c r="CV178" s="64"/>
      <c r="CW178" s="64"/>
      <c r="CX178" s="64">
        <f t="shared" ref="CX178:CX194" si="430">CY178+CZ178+DA178+DB178</f>
        <v>0</v>
      </c>
      <c r="CY178" s="64">
        <f t="shared" ref="CY178:DB194" si="431">CO178-CT178</f>
        <v>0</v>
      </c>
      <c r="CZ178" s="64">
        <f t="shared" si="431"/>
        <v>0</v>
      </c>
      <c r="DA178" s="64">
        <f t="shared" si="431"/>
        <v>0</v>
      </c>
      <c r="DB178" s="64">
        <f t="shared" si="431"/>
        <v>0</v>
      </c>
      <c r="DC178" s="64"/>
      <c r="DD178" s="64"/>
      <c r="DE178" s="64">
        <f>DC178-DD178</f>
        <v>0</v>
      </c>
      <c r="DF178" s="64">
        <f t="shared" ref="DF178:DF194" si="432">CF178+CX178+DE178</f>
        <v>0</v>
      </c>
      <c r="DH178" s="64">
        <f t="shared" ref="DH178:DH194" si="433">BK178+CN178+DC178</f>
        <v>7286.4</v>
      </c>
      <c r="DI178" s="64">
        <f t="shared" ref="DI178:DI194" si="434">BP178+CS178+DD178</f>
        <v>7286.4</v>
      </c>
      <c r="DK178" s="64">
        <f>DI178</f>
        <v>7286.4</v>
      </c>
      <c r="DL178" s="64">
        <f>DF178</f>
        <v>0</v>
      </c>
      <c r="DN178" s="64">
        <f>CM178-DK178</f>
        <v>0</v>
      </c>
      <c r="DQ178" s="64">
        <f t="shared" ref="DQ178:DQ194" si="435">DR178+DS178+DT178+DU178</f>
        <v>7286.4</v>
      </c>
      <c r="DR178" s="64"/>
      <c r="DS178" s="64">
        <f>900+820+3986.4+1580</f>
        <v>7286.4</v>
      </c>
      <c r="DT178" s="64"/>
      <c r="DU178" s="64"/>
      <c r="DV178" s="64">
        <f t="shared" ref="DV178:DV194" si="436">DW178+DX178+DY178+DZ178</f>
        <v>546.90204000000006</v>
      </c>
      <c r="DW178" s="64"/>
      <c r="DX178" s="64">
        <v>546.90204000000006</v>
      </c>
      <c r="DY178" s="64"/>
      <c r="DZ178" s="64"/>
      <c r="EA178" s="375"/>
      <c r="EB178" s="375"/>
      <c r="EC178" s="375"/>
      <c r="ED178" s="375"/>
      <c r="EE178" s="375"/>
      <c r="EF178" s="375"/>
      <c r="EG178" s="375"/>
      <c r="EH178" s="375"/>
      <c r="EI178" s="375"/>
      <c r="EJ178" s="375"/>
      <c r="EK178" s="375"/>
      <c r="EL178" s="375"/>
      <c r="EM178" s="375"/>
      <c r="EN178" s="375"/>
      <c r="EO178" s="375"/>
      <c r="EP178" s="375"/>
      <c r="EQ178" s="375"/>
      <c r="ER178" s="375"/>
      <c r="ES178" s="375"/>
      <c r="ET178" s="375"/>
      <c r="EU178" s="375"/>
      <c r="EV178" s="375"/>
      <c r="EW178" s="375"/>
      <c r="EX178" s="375"/>
      <c r="EY178" s="375"/>
      <c r="EZ178" s="375"/>
      <c r="FA178" s="375"/>
      <c r="FB178" s="375"/>
      <c r="FC178" s="375"/>
      <c r="FD178" s="375"/>
      <c r="FE178" s="375"/>
      <c r="FF178" s="375"/>
      <c r="FG178" s="375"/>
      <c r="FH178" s="375"/>
      <c r="FI178" s="375"/>
      <c r="FJ178" s="375"/>
      <c r="FK178" s="375"/>
      <c r="FL178" s="375"/>
      <c r="FM178" s="375"/>
      <c r="FN178" s="375"/>
      <c r="FO178" s="375"/>
      <c r="FP178" s="375"/>
      <c r="FQ178" s="375"/>
      <c r="FR178" s="375"/>
      <c r="FS178" s="375"/>
      <c r="FT178" s="375"/>
      <c r="FU178" s="375"/>
      <c r="FV178" s="375"/>
      <c r="FW178" s="375"/>
      <c r="FX178" s="375"/>
      <c r="FY178" s="375"/>
      <c r="FZ178" s="375"/>
      <c r="GA178" s="375"/>
      <c r="GB178" s="375"/>
      <c r="GC178" s="375"/>
      <c r="GD178" s="375"/>
      <c r="GE178" s="375"/>
      <c r="GF178" s="375"/>
      <c r="GG178" s="375"/>
      <c r="GH178" s="375"/>
      <c r="GI178" s="375"/>
      <c r="GJ178" s="375"/>
      <c r="GK178" s="375"/>
      <c r="GL178" s="375"/>
      <c r="GM178" s="375"/>
      <c r="GN178" s="375"/>
      <c r="GO178" s="375"/>
      <c r="GP178" s="375"/>
      <c r="GQ178" s="375"/>
      <c r="GR178" s="375"/>
    </row>
    <row r="179" spans="1:200" s="61" customFormat="1" ht="15.75" hidden="1" customHeight="1" x14ac:dyDescent="0.3">
      <c r="A179" s="280"/>
      <c r="B179" s="281"/>
      <c r="C179" s="282"/>
      <c r="D179" s="282"/>
      <c r="E179" s="4"/>
      <c r="F179" s="281"/>
      <c r="G179" s="282"/>
      <c r="H179" s="282"/>
      <c r="I179" s="466" t="s">
        <v>274</v>
      </c>
      <c r="J179" s="467"/>
      <c r="K179" s="467"/>
      <c r="L179" s="467"/>
      <c r="M179" s="4"/>
      <c r="N179" s="371" t="s">
        <v>249</v>
      </c>
      <c r="O179" s="69"/>
      <c r="P179" s="69"/>
      <c r="Q179" s="70">
        <f t="shared" si="305"/>
        <v>0</v>
      </c>
      <c r="R179" s="70">
        <f t="shared" si="306"/>
        <v>0</v>
      </c>
      <c r="S179" s="70">
        <f t="shared" si="307"/>
        <v>0</v>
      </c>
      <c r="T179" s="69"/>
      <c r="U179" s="69"/>
      <c r="V179" s="64">
        <f t="shared" si="415"/>
        <v>0</v>
      </c>
      <c r="W179" s="64"/>
      <c r="X179" s="65"/>
      <c r="Y179" s="64"/>
      <c r="Z179" s="60"/>
      <c r="AA179" s="64">
        <f t="shared" si="416"/>
        <v>0</v>
      </c>
      <c r="AB179" s="64"/>
      <c r="AC179" s="65"/>
      <c r="AD179" s="64"/>
      <c r="AE179" s="60"/>
      <c r="AF179" s="64">
        <f t="shared" si="417"/>
        <v>0</v>
      </c>
      <c r="AG179" s="64"/>
      <c r="AH179" s="65"/>
      <c r="AI179" s="64"/>
      <c r="AJ179" s="60"/>
      <c r="AK179" s="64">
        <f t="shared" si="418"/>
        <v>0</v>
      </c>
      <c r="AL179" s="64"/>
      <c r="AM179" s="65"/>
      <c r="AN179" s="64"/>
      <c r="AO179" s="106"/>
      <c r="AP179" s="60"/>
      <c r="AQ179" s="64">
        <f t="shared" si="419"/>
        <v>0</v>
      </c>
      <c r="AR179" s="64"/>
      <c r="AS179" s="64"/>
      <c r="AT179" s="64"/>
      <c r="AU179" s="64"/>
      <c r="AV179" s="64">
        <f t="shared" si="293"/>
        <v>0</v>
      </c>
      <c r="AW179" s="64">
        <f t="shared" si="294"/>
        <v>0</v>
      </c>
      <c r="AX179" s="64">
        <f t="shared" si="295"/>
        <v>0</v>
      </c>
      <c r="AY179" s="64">
        <f t="shared" si="296"/>
        <v>0</v>
      </c>
      <c r="AZ179" s="64" t="e">
        <f>#REF!-AU179</f>
        <v>#REF!</v>
      </c>
      <c r="BA179" s="64">
        <f t="shared" si="420"/>
        <v>0</v>
      </c>
      <c r="BB179" s="64"/>
      <c r="BC179" s="64"/>
      <c r="BD179" s="64"/>
      <c r="BE179" s="64"/>
      <c r="BF179" s="64">
        <f t="shared" si="421"/>
        <v>0</v>
      </c>
      <c r="BG179" s="64"/>
      <c r="BH179" s="64"/>
      <c r="BI179" s="64"/>
      <c r="BJ179" s="64"/>
      <c r="BK179" s="64">
        <f t="shared" si="422"/>
        <v>0</v>
      </c>
      <c r="BL179" s="64"/>
      <c r="BM179" s="64"/>
      <c r="BN179" s="64"/>
      <c r="BO179" s="64"/>
      <c r="BP179" s="64">
        <f t="shared" si="423"/>
        <v>0</v>
      </c>
      <c r="BQ179" s="64"/>
      <c r="BR179" s="64"/>
      <c r="BS179" s="64"/>
      <c r="BT179" s="64"/>
      <c r="BU179" s="64">
        <f t="shared" si="424"/>
        <v>0</v>
      </c>
      <c r="BV179" s="64"/>
      <c r="BW179" s="64"/>
      <c r="BX179" s="64"/>
      <c r="BY179" s="64"/>
      <c r="BZ179" s="60">
        <f t="shared" si="425"/>
        <v>0</v>
      </c>
      <c r="CA179" s="64">
        <f t="shared" si="297"/>
        <v>0</v>
      </c>
      <c r="CB179" s="64">
        <f t="shared" si="298"/>
        <v>0</v>
      </c>
      <c r="CC179" s="64">
        <f t="shared" si="299"/>
        <v>0</v>
      </c>
      <c r="CD179" s="64">
        <f t="shared" si="300"/>
        <v>0</v>
      </c>
      <c r="CE179" s="64">
        <f t="shared" si="426"/>
        <v>0</v>
      </c>
      <c r="CF179" s="64">
        <f t="shared" si="301"/>
        <v>0</v>
      </c>
      <c r="CG179" s="64">
        <f t="shared" si="302"/>
        <v>0</v>
      </c>
      <c r="CH179" s="64">
        <f t="shared" si="303"/>
        <v>0</v>
      </c>
      <c r="CI179" s="64">
        <f t="shared" si="304"/>
        <v>0</v>
      </c>
      <c r="CJ179" s="64">
        <f t="shared" si="427"/>
        <v>0</v>
      </c>
      <c r="CK179" s="66"/>
      <c r="CL179" s="67"/>
      <c r="CM179" s="67"/>
      <c r="CN179" s="64">
        <f t="shared" si="428"/>
        <v>0</v>
      </c>
      <c r="CO179" s="64"/>
      <c r="CP179" s="64"/>
      <c r="CQ179" s="64"/>
      <c r="CR179" s="64"/>
      <c r="CS179" s="64">
        <f t="shared" si="429"/>
        <v>0</v>
      </c>
      <c r="CT179" s="64"/>
      <c r="CU179" s="64"/>
      <c r="CV179" s="64"/>
      <c r="CW179" s="64"/>
      <c r="CX179" s="64">
        <f t="shared" si="430"/>
        <v>0</v>
      </c>
      <c r="CY179" s="64">
        <f t="shared" si="431"/>
        <v>0</v>
      </c>
      <c r="CZ179" s="64">
        <f t="shared" si="431"/>
        <v>0</v>
      </c>
      <c r="DA179" s="64">
        <f t="shared" si="431"/>
        <v>0</v>
      </c>
      <c r="DB179" s="64">
        <f t="shared" si="431"/>
        <v>0</v>
      </c>
      <c r="DC179" s="64"/>
      <c r="DD179" s="64"/>
      <c r="DE179" s="64"/>
      <c r="DF179" s="64">
        <f t="shared" si="432"/>
        <v>0</v>
      </c>
      <c r="DH179" s="64">
        <f t="shared" si="433"/>
        <v>0</v>
      </c>
      <c r="DI179" s="64">
        <f t="shared" si="434"/>
        <v>0</v>
      </c>
      <c r="DK179" s="64">
        <f>DI179</f>
        <v>0</v>
      </c>
      <c r="DL179" s="64">
        <f>DF179</f>
        <v>0</v>
      </c>
      <c r="DN179" s="64"/>
      <c r="DQ179" s="64">
        <f t="shared" si="435"/>
        <v>0</v>
      </c>
      <c r="DR179" s="64"/>
      <c r="DS179" s="64"/>
      <c r="DT179" s="64"/>
      <c r="DU179" s="64"/>
      <c r="DV179" s="64">
        <f t="shared" si="436"/>
        <v>0</v>
      </c>
      <c r="DW179" s="64"/>
      <c r="DX179" s="64"/>
      <c r="DY179" s="64"/>
      <c r="DZ179" s="64"/>
      <c r="EA179" s="375"/>
      <c r="EB179" s="375"/>
      <c r="EC179" s="375"/>
      <c r="ED179" s="375"/>
      <c r="EE179" s="375"/>
      <c r="EF179" s="375"/>
      <c r="EG179" s="375"/>
      <c r="EH179" s="375"/>
      <c r="EI179" s="375"/>
      <c r="EJ179" s="375"/>
      <c r="EK179" s="375"/>
      <c r="EL179" s="375"/>
      <c r="EM179" s="375"/>
      <c r="EN179" s="375"/>
      <c r="EO179" s="375"/>
      <c r="EP179" s="375"/>
      <c r="EQ179" s="375"/>
      <c r="ER179" s="375"/>
      <c r="ES179" s="375"/>
      <c r="ET179" s="375"/>
      <c r="EU179" s="375"/>
      <c r="EV179" s="375"/>
      <c r="EW179" s="375"/>
      <c r="EX179" s="375"/>
      <c r="EY179" s="375"/>
      <c r="EZ179" s="375"/>
      <c r="FA179" s="375"/>
      <c r="FB179" s="375"/>
      <c r="FC179" s="375"/>
      <c r="FD179" s="375"/>
      <c r="FE179" s="375"/>
      <c r="FF179" s="375"/>
      <c r="FG179" s="375"/>
      <c r="FH179" s="375"/>
      <c r="FI179" s="375"/>
      <c r="FJ179" s="375"/>
      <c r="FK179" s="375"/>
      <c r="FL179" s="375"/>
      <c r="FM179" s="375"/>
      <c r="FN179" s="375"/>
      <c r="FO179" s="375"/>
      <c r="FP179" s="375"/>
      <c r="FQ179" s="375"/>
      <c r="FR179" s="375"/>
      <c r="FS179" s="375"/>
      <c r="FT179" s="375"/>
      <c r="FU179" s="375"/>
      <c r="FV179" s="375"/>
      <c r="FW179" s="375"/>
      <c r="FX179" s="375"/>
      <c r="FY179" s="375"/>
      <c r="FZ179" s="375"/>
      <c r="GA179" s="375"/>
      <c r="GB179" s="375"/>
      <c r="GC179" s="375"/>
      <c r="GD179" s="375"/>
      <c r="GE179" s="375"/>
      <c r="GF179" s="375"/>
      <c r="GG179" s="375"/>
      <c r="GH179" s="375"/>
      <c r="GI179" s="375"/>
      <c r="GJ179" s="375"/>
      <c r="GK179" s="375"/>
      <c r="GL179" s="375"/>
      <c r="GM179" s="375"/>
      <c r="GN179" s="375"/>
      <c r="GO179" s="375"/>
      <c r="GP179" s="375"/>
      <c r="GQ179" s="375"/>
      <c r="GR179" s="375"/>
    </row>
    <row r="180" spans="1:200" s="61" customFormat="1" ht="15.75" customHeight="1" x14ac:dyDescent="0.3">
      <c r="A180" s="280"/>
      <c r="B180" s="281"/>
      <c r="C180" s="282"/>
      <c r="D180" s="282">
        <v>1</v>
      </c>
      <c r="E180" s="4">
        <v>150</v>
      </c>
      <c r="F180" s="281"/>
      <c r="G180" s="282"/>
      <c r="H180" s="282">
        <v>1</v>
      </c>
      <c r="I180" s="4">
        <v>11</v>
      </c>
      <c r="J180" s="283" t="s">
        <v>267</v>
      </c>
      <c r="K180" s="283" t="s">
        <v>275</v>
      </c>
      <c r="L180" s="286">
        <v>15000</v>
      </c>
      <c r="M180" s="4">
        <v>147</v>
      </c>
      <c r="N180" s="62" t="s">
        <v>128</v>
      </c>
      <c r="O180" s="62" t="s">
        <v>448</v>
      </c>
      <c r="P180" s="62" t="s">
        <v>450</v>
      </c>
      <c r="Q180" s="60">
        <f t="shared" si="305"/>
        <v>0</v>
      </c>
      <c r="R180" s="60">
        <f t="shared" si="306"/>
        <v>0</v>
      </c>
      <c r="S180" s="60">
        <f t="shared" si="307"/>
        <v>0</v>
      </c>
      <c r="T180" s="60">
        <v>1</v>
      </c>
      <c r="U180" s="60">
        <v>1</v>
      </c>
      <c r="V180" s="64">
        <f t="shared" si="415"/>
        <v>517.5</v>
      </c>
      <c r="W180" s="64"/>
      <c r="X180" s="65">
        <v>517.5</v>
      </c>
      <c r="Y180" s="64"/>
      <c r="Z180" s="73"/>
      <c r="AA180" s="64">
        <f t="shared" si="416"/>
        <v>517.5</v>
      </c>
      <c r="AB180" s="64"/>
      <c r="AC180" s="65">
        <v>517.5</v>
      </c>
      <c r="AD180" s="64"/>
      <c r="AE180" s="73"/>
      <c r="AF180" s="64">
        <f t="shared" si="417"/>
        <v>517.5</v>
      </c>
      <c r="AG180" s="64"/>
      <c r="AH180" s="65">
        <v>517.5</v>
      </c>
      <c r="AI180" s="64"/>
      <c r="AJ180" s="73"/>
      <c r="AK180" s="64">
        <f t="shared" si="418"/>
        <v>225</v>
      </c>
      <c r="AL180" s="64"/>
      <c r="AM180" s="65">
        <v>225</v>
      </c>
      <c r="AN180" s="64"/>
      <c r="AO180" s="107"/>
      <c r="AP180" s="60" t="s">
        <v>474</v>
      </c>
      <c r="AQ180" s="64">
        <f t="shared" si="419"/>
        <v>517.5</v>
      </c>
      <c r="AR180" s="64"/>
      <c r="AS180" s="65">
        <v>517.5</v>
      </c>
      <c r="AT180" s="64"/>
      <c r="AU180" s="73"/>
      <c r="AV180" s="64">
        <f t="shared" si="293"/>
        <v>0</v>
      </c>
      <c r="AW180" s="64">
        <f t="shared" si="294"/>
        <v>0</v>
      </c>
      <c r="AX180" s="64">
        <f t="shared" si="295"/>
        <v>0</v>
      </c>
      <c r="AY180" s="64">
        <f t="shared" si="296"/>
        <v>0</v>
      </c>
      <c r="AZ180" s="64" t="e">
        <f>#REF!-AU180</f>
        <v>#REF!</v>
      </c>
      <c r="BA180" s="64">
        <f t="shared" si="420"/>
        <v>517.5</v>
      </c>
      <c r="BB180" s="64"/>
      <c r="BC180" s="65">
        <v>517.5</v>
      </c>
      <c r="BD180" s="64"/>
      <c r="BE180" s="73"/>
      <c r="BF180" s="64">
        <f t="shared" si="421"/>
        <v>0</v>
      </c>
      <c r="BG180" s="64"/>
      <c r="BH180" s="65"/>
      <c r="BI180" s="64"/>
      <c r="BJ180" s="73"/>
      <c r="BK180" s="64">
        <f t="shared" si="422"/>
        <v>517.5</v>
      </c>
      <c r="BL180" s="64"/>
      <c r="BM180" s="65">
        <v>517.5</v>
      </c>
      <c r="BN180" s="64"/>
      <c r="BO180" s="74"/>
      <c r="BP180" s="64">
        <f t="shared" si="423"/>
        <v>517.5</v>
      </c>
      <c r="BQ180" s="64"/>
      <c r="BR180" s="74">
        <f>292.5+225</f>
        <v>517.5</v>
      </c>
      <c r="BS180" s="64"/>
      <c r="BT180" s="73"/>
      <c r="BU180" s="64">
        <f t="shared" si="424"/>
        <v>212.62972000000002</v>
      </c>
      <c r="BV180" s="64"/>
      <c r="BW180" s="64">
        <f>124.83032+87.7994</f>
        <v>212.62972000000002</v>
      </c>
      <c r="BX180" s="64"/>
      <c r="BY180" s="64"/>
      <c r="BZ180" s="60">
        <f t="shared" si="425"/>
        <v>730.12972000000002</v>
      </c>
      <c r="CA180" s="64">
        <f t="shared" si="297"/>
        <v>730.12972000000002</v>
      </c>
      <c r="CB180" s="64">
        <f t="shared" si="298"/>
        <v>0</v>
      </c>
      <c r="CC180" s="64">
        <f t="shared" si="299"/>
        <v>730.12972000000002</v>
      </c>
      <c r="CD180" s="64">
        <f t="shared" si="300"/>
        <v>0</v>
      </c>
      <c r="CE180" s="64">
        <f t="shared" si="426"/>
        <v>0</v>
      </c>
      <c r="CF180" s="64">
        <f t="shared" si="301"/>
        <v>0</v>
      </c>
      <c r="CG180" s="64">
        <f t="shared" si="302"/>
        <v>0</v>
      </c>
      <c r="CH180" s="64">
        <f t="shared" si="303"/>
        <v>0</v>
      </c>
      <c r="CI180" s="64">
        <f t="shared" si="304"/>
        <v>0</v>
      </c>
      <c r="CJ180" s="64">
        <f t="shared" si="427"/>
        <v>0</v>
      </c>
      <c r="CK180" s="66"/>
      <c r="CL180" s="67"/>
      <c r="CM180" s="67"/>
      <c r="CN180" s="64">
        <f t="shared" si="428"/>
        <v>0</v>
      </c>
      <c r="CO180" s="64"/>
      <c r="CP180" s="65"/>
      <c r="CQ180" s="64"/>
      <c r="CR180" s="73"/>
      <c r="CS180" s="64">
        <f t="shared" si="429"/>
        <v>0</v>
      </c>
      <c r="CT180" s="64"/>
      <c r="CU180" s="65"/>
      <c r="CV180" s="64"/>
      <c r="CW180" s="73"/>
      <c r="CX180" s="64">
        <f t="shared" si="430"/>
        <v>0</v>
      </c>
      <c r="CY180" s="64">
        <f t="shared" si="431"/>
        <v>0</v>
      </c>
      <c r="CZ180" s="64">
        <f t="shared" si="431"/>
        <v>0</v>
      </c>
      <c r="DA180" s="64">
        <f t="shared" si="431"/>
        <v>0</v>
      </c>
      <c r="DB180" s="64">
        <f t="shared" si="431"/>
        <v>0</v>
      </c>
      <c r="DC180" s="64"/>
      <c r="DD180" s="64"/>
      <c r="DE180" s="64"/>
      <c r="DF180" s="64">
        <f t="shared" si="432"/>
        <v>0</v>
      </c>
      <c r="DH180" s="64">
        <f t="shared" si="433"/>
        <v>517.5</v>
      </c>
      <c r="DI180" s="64">
        <f t="shared" si="434"/>
        <v>517.5</v>
      </c>
      <c r="DK180" s="64"/>
      <c r="DL180" s="64"/>
      <c r="DN180" s="64"/>
      <c r="DQ180" s="64">
        <f t="shared" si="435"/>
        <v>517.5</v>
      </c>
      <c r="DR180" s="64"/>
      <c r="DS180" s="74">
        <f>292.5+225</f>
        <v>517.5</v>
      </c>
      <c r="DT180" s="64"/>
      <c r="DU180" s="73"/>
      <c r="DV180" s="64">
        <f t="shared" si="436"/>
        <v>212.62971999999999</v>
      </c>
      <c r="DW180" s="64"/>
      <c r="DX180" s="64">
        <v>212.62971999999999</v>
      </c>
      <c r="DY180" s="64"/>
      <c r="DZ180" s="64"/>
      <c r="EA180" s="375"/>
      <c r="EB180" s="375"/>
      <c r="EC180" s="375"/>
      <c r="ED180" s="375"/>
      <c r="EE180" s="375"/>
      <c r="EF180" s="375"/>
      <c r="EG180" s="375"/>
      <c r="EH180" s="375"/>
      <c r="EI180" s="375"/>
      <c r="EJ180" s="375"/>
      <c r="EK180" s="375"/>
      <c r="EL180" s="375"/>
      <c r="EM180" s="375"/>
      <c r="EN180" s="375"/>
      <c r="EO180" s="375"/>
      <c r="EP180" s="375"/>
      <c r="EQ180" s="375"/>
      <c r="ER180" s="375"/>
      <c r="ES180" s="375"/>
      <c r="ET180" s="375"/>
      <c r="EU180" s="375"/>
      <c r="EV180" s="375"/>
      <c r="EW180" s="375"/>
      <c r="EX180" s="375"/>
      <c r="EY180" s="375"/>
      <c r="EZ180" s="375"/>
      <c r="FA180" s="375"/>
      <c r="FB180" s="375"/>
      <c r="FC180" s="375"/>
      <c r="FD180" s="375"/>
      <c r="FE180" s="375"/>
      <c r="FF180" s="375"/>
      <c r="FG180" s="375"/>
      <c r="FH180" s="375"/>
      <c r="FI180" s="375"/>
      <c r="FJ180" s="375"/>
      <c r="FK180" s="375"/>
      <c r="FL180" s="375"/>
      <c r="FM180" s="375"/>
      <c r="FN180" s="375"/>
      <c r="FO180" s="375"/>
      <c r="FP180" s="375"/>
      <c r="FQ180" s="375"/>
      <c r="FR180" s="375"/>
      <c r="FS180" s="375"/>
      <c r="FT180" s="375"/>
      <c r="FU180" s="375"/>
      <c r="FV180" s="375"/>
      <c r="FW180" s="375"/>
      <c r="FX180" s="375"/>
      <c r="FY180" s="375"/>
      <c r="FZ180" s="375"/>
      <c r="GA180" s="375"/>
      <c r="GB180" s="375"/>
      <c r="GC180" s="375"/>
      <c r="GD180" s="375"/>
      <c r="GE180" s="375"/>
      <c r="GF180" s="375"/>
      <c r="GG180" s="375"/>
      <c r="GH180" s="375"/>
      <c r="GI180" s="375"/>
      <c r="GJ180" s="375"/>
      <c r="GK180" s="375"/>
      <c r="GL180" s="375"/>
      <c r="GM180" s="375"/>
      <c r="GN180" s="375"/>
      <c r="GO180" s="375"/>
      <c r="GP180" s="375"/>
      <c r="GQ180" s="375"/>
      <c r="GR180" s="375"/>
    </row>
    <row r="181" spans="1:200" s="61" customFormat="1" ht="15.75" customHeight="1" x14ac:dyDescent="0.3">
      <c r="A181" s="280"/>
      <c r="B181" s="281"/>
      <c r="C181" s="282"/>
      <c r="D181" s="282">
        <v>1</v>
      </c>
      <c r="E181" s="4">
        <v>151</v>
      </c>
      <c r="F181" s="281"/>
      <c r="G181" s="282"/>
      <c r="H181" s="282"/>
      <c r="I181" s="474" t="s">
        <v>270</v>
      </c>
      <c r="J181" s="475"/>
      <c r="K181" s="475"/>
      <c r="L181" s="288">
        <f>L180</f>
        <v>15000</v>
      </c>
      <c r="M181" s="4">
        <v>148</v>
      </c>
      <c r="N181" s="62" t="s">
        <v>129</v>
      </c>
      <c r="O181" s="62" t="s">
        <v>450</v>
      </c>
      <c r="P181" s="62" t="s">
        <v>450</v>
      </c>
      <c r="Q181" s="60">
        <f t="shared" si="305"/>
        <v>0</v>
      </c>
      <c r="R181" s="60">
        <f t="shared" si="306"/>
        <v>0</v>
      </c>
      <c r="S181" s="60">
        <f t="shared" si="307"/>
        <v>0</v>
      </c>
      <c r="T181" s="60">
        <v>1</v>
      </c>
      <c r="U181" s="60"/>
      <c r="V181" s="64">
        <f t="shared" si="415"/>
        <v>372.6</v>
      </c>
      <c r="W181" s="64"/>
      <c r="X181" s="65">
        <v>372.6</v>
      </c>
      <c r="Y181" s="64"/>
      <c r="Z181" s="78"/>
      <c r="AA181" s="64">
        <f t="shared" si="416"/>
        <v>372.6</v>
      </c>
      <c r="AB181" s="64"/>
      <c r="AC181" s="65">
        <v>372.6</v>
      </c>
      <c r="AD181" s="64"/>
      <c r="AE181" s="78"/>
      <c r="AF181" s="64">
        <f t="shared" si="417"/>
        <v>372.6</v>
      </c>
      <c r="AG181" s="64"/>
      <c r="AH181" s="65">
        <v>372.6</v>
      </c>
      <c r="AI181" s="64"/>
      <c r="AJ181" s="78"/>
      <c r="AK181" s="64">
        <f t="shared" si="418"/>
        <v>162</v>
      </c>
      <c r="AL181" s="64"/>
      <c r="AM181" s="65">
        <v>162</v>
      </c>
      <c r="AN181" s="64"/>
      <c r="AP181" s="60" t="s">
        <v>438</v>
      </c>
      <c r="AQ181" s="64">
        <f t="shared" si="419"/>
        <v>372.6</v>
      </c>
      <c r="AR181" s="64"/>
      <c r="AS181" s="65">
        <v>372.6</v>
      </c>
      <c r="AT181" s="64"/>
      <c r="AU181" s="64"/>
      <c r="AV181" s="64">
        <f t="shared" si="293"/>
        <v>0</v>
      </c>
      <c r="AW181" s="64">
        <f t="shared" si="294"/>
        <v>0</v>
      </c>
      <c r="AX181" s="64">
        <f t="shared" si="295"/>
        <v>0</v>
      </c>
      <c r="AY181" s="64">
        <f t="shared" si="296"/>
        <v>0</v>
      </c>
      <c r="AZ181" s="64" t="e">
        <f>#REF!-AU181</f>
        <v>#REF!</v>
      </c>
      <c r="BA181" s="64">
        <f t="shared" si="420"/>
        <v>372.6</v>
      </c>
      <c r="BB181" s="64"/>
      <c r="BC181" s="65">
        <v>372.6</v>
      </c>
      <c r="BD181" s="64"/>
      <c r="BE181" s="64"/>
      <c r="BF181" s="64">
        <f t="shared" si="421"/>
        <v>0</v>
      </c>
      <c r="BG181" s="64"/>
      <c r="BH181" s="64"/>
      <c r="BI181" s="64"/>
      <c r="BJ181" s="64"/>
      <c r="BK181" s="64">
        <f t="shared" si="422"/>
        <v>372.6</v>
      </c>
      <c r="BL181" s="64"/>
      <c r="BM181" s="65">
        <v>372.6</v>
      </c>
      <c r="BN181" s="64"/>
      <c r="BO181" s="64"/>
      <c r="BP181" s="64">
        <f t="shared" si="423"/>
        <v>372.6</v>
      </c>
      <c r="BQ181" s="64"/>
      <c r="BR181" s="64">
        <v>372.6</v>
      </c>
      <c r="BS181" s="64"/>
      <c r="BT181" s="64"/>
      <c r="BU181" s="64">
        <f t="shared" si="424"/>
        <v>124.827</v>
      </c>
      <c r="BV181" s="64"/>
      <c r="BW181" s="64">
        <v>124.827</v>
      </c>
      <c r="BX181" s="64"/>
      <c r="BY181" s="64"/>
      <c r="BZ181" s="60">
        <f t="shared" si="425"/>
        <v>497.42700000000002</v>
      </c>
      <c r="CA181" s="64">
        <f t="shared" si="297"/>
        <v>497.42700000000002</v>
      </c>
      <c r="CB181" s="64">
        <f t="shared" si="298"/>
        <v>0</v>
      </c>
      <c r="CC181" s="64">
        <f t="shared" si="299"/>
        <v>497.42700000000002</v>
      </c>
      <c r="CD181" s="64">
        <f t="shared" si="300"/>
        <v>0</v>
      </c>
      <c r="CE181" s="64">
        <f t="shared" si="426"/>
        <v>0</v>
      </c>
      <c r="CF181" s="64">
        <f t="shared" si="301"/>
        <v>0</v>
      </c>
      <c r="CG181" s="64">
        <f t="shared" si="302"/>
        <v>0</v>
      </c>
      <c r="CH181" s="64">
        <f t="shared" si="303"/>
        <v>0</v>
      </c>
      <c r="CI181" s="64">
        <f t="shared" si="304"/>
        <v>0</v>
      </c>
      <c r="CJ181" s="64">
        <f t="shared" si="427"/>
        <v>0</v>
      </c>
      <c r="CK181" s="66"/>
      <c r="CL181" s="67"/>
      <c r="CM181" s="67"/>
      <c r="CN181" s="64">
        <f t="shared" si="428"/>
        <v>0</v>
      </c>
      <c r="CO181" s="64"/>
      <c r="CP181" s="64"/>
      <c r="CQ181" s="64"/>
      <c r="CR181" s="64"/>
      <c r="CS181" s="64">
        <f t="shared" si="429"/>
        <v>0</v>
      </c>
      <c r="CT181" s="64"/>
      <c r="CU181" s="64"/>
      <c r="CV181" s="64"/>
      <c r="CW181" s="64"/>
      <c r="CX181" s="64">
        <f t="shared" si="430"/>
        <v>0</v>
      </c>
      <c r="CY181" s="64">
        <f t="shared" si="431"/>
        <v>0</v>
      </c>
      <c r="CZ181" s="64">
        <f t="shared" si="431"/>
        <v>0</v>
      </c>
      <c r="DA181" s="64">
        <f t="shared" si="431"/>
        <v>0</v>
      </c>
      <c r="DB181" s="64">
        <f t="shared" si="431"/>
        <v>0</v>
      </c>
      <c r="DC181" s="64"/>
      <c r="DD181" s="64"/>
      <c r="DE181" s="64"/>
      <c r="DF181" s="64">
        <f t="shared" si="432"/>
        <v>0</v>
      </c>
      <c r="DH181" s="64">
        <f t="shared" si="433"/>
        <v>372.6</v>
      </c>
      <c r="DI181" s="64">
        <f t="shared" si="434"/>
        <v>372.6</v>
      </c>
      <c r="DK181" s="64"/>
      <c r="DL181" s="64"/>
      <c r="DN181" s="64"/>
      <c r="DQ181" s="64">
        <f t="shared" si="435"/>
        <v>372.6</v>
      </c>
      <c r="DR181" s="64"/>
      <c r="DS181" s="64">
        <v>372.6</v>
      </c>
      <c r="DT181" s="64"/>
      <c r="DU181" s="64"/>
      <c r="DV181" s="64">
        <f t="shared" si="436"/>
        <v>0</v>
      </c>
      <c r="DW181" s="64"/>
      <c r="DX181" s="64"/>
      <c r="DY181" s="64"/>
      <c r="DZ181" s="64"/>
      <c r="EA181" s="375"/>
      <c r="EB181" s="375"/>
      <c r="EC181" s="375"/>
      <c r="ED181" s="375"/>
      <c r="EE181" s="375"/>
      <c r="EF181" s="375"/>
      <c r="EG181" s="375"/>
      <c r="EH181" s="375"/>
      <c r="EI181" s="375"/>
      <c r="EJ181" s="375"/>
      <c r="EK181" s="375"/>
      <c r="EL181" s="375"/>
      <c r="EM181" s="375"/>
      <c r="EN181" s="375"/>
      <c r="EO181" s="375"/>
      <c r="EP181" s="375"/>
      <c r="EQ181" s="375"/>
      <c r="ER181" s="375"/>
      <c r="ES181" s="375"/>
      <c r="ET181" s="375"/>
      <c r="EU181" s="375"/>
      <c r="EV181" s="375"/>
      <c r="EW181" s="375"/>
      <c r="EX181" s="375"/>
      <c r="EY181" s="375"/>
      <c r="EZ181" s="375"/>
      <c r="FA181" s="375"/>
      <c r="FB181" s="375"/>
      <c r="FC181" s="375"/>
      <c r="FD181" s="375"/>
      <c r="FE181" s="375"/>
      <c r="FF181" s="375"/>
      <c r="FG181" s="375"/>
      <c r="FH181" s="375"/>
      <c r="FI181" s="375"/>
      <c r="FJ181" s="375"/>
      <c r="FK181" s="375"/>
      <c r="FL181" s="375"/>
      <c r="FM181" s="375"/>
      <c r="FN181" s="375"/>
      <c r="FO181" s="375"/>
      <c r="FP181" s="375"/>
      <c r="FQ181" s="375"/>
      <c r="FR181" s="375"/>
      <c r="FS181" s="375"/>
      <c r="FT181" s="375"/>
      <c r="FU181" s="375"/>
      <c r="FV181" s="375"/>
      <c r="FW181" s="375"/>
      <c r="FX181" s="375"/>
      <c r="FY181" s="375"/>
      <c r="FZ181" s="375"/>
      <c r="GA181" s="375"/>
      <c r="GB181" s="375"/>
      <c r="GC181" s="375"/>
      <c r="GD181" s="375"/>
      <c r="GE181" s="375"/>
      <c r="GF181" s="375"/>
      <c r="GG181" s="375"/>
      <c r="GH181" s="375"/>
      <c r="GI181" s="375"/>
      <c r="GJ181" s="375"/>
      <c r="GK181" s="375"/>
      <c r="GL181" s="375"/>
      <c r="GM181" s="375"/>
      <c r="GN181" s="375"/>
      <c r="GO181" s="375"/>
      <c r="GP181" s="375"/>
      <c r="GQ181" s="375"/>
      <c r="GR181" s="375"/>
    </row>
    <row r="182" spans="1:200" s="61" customFormat="1" ht="15.75" customHeight="1" x14ac:dyDescent="0.3">
      <c r="A182" s="280"/>
      <c r="B182" s="281"/>
      <c r="C182" s="282"/>
      <c r="D182" s="282">
        <v>1</v>
      </c>
      <c r="E182" s="4">
        <v>152</v>
      </c>
      <c r="F182" s="281"/>
      <c r="G182" s="282"/>
      <c r="H182" s="282">
        <v>1</v>
      </c>
      <c r="I182" s="466" t="s">
        <v>4</v>
      </c>
      <c r="J182" s="467"/>
      <c r="K182" s="467"/>
      <c r="L182" s="467"/>
      <c r="M182" s="4">
        <v>149</v>
      </c>
      <c r="N182" s="62" t="s">
        <v>130</v>
      </c>
      <c r="O182" s="62" t="s">
        <v>448</v>
      </c>
      <c r="P182" s="62" t="s">
        <v>448</v>
      </c>
      <c r="Q182" s="60">
        <f t="shared" si="305"/>
        <v>0</v>
      </c>
      <c r="R182" s="60">
        <f t="shared" si="306"/>
        <v>0</v>
      </c>
      <c r="S182" s="60">
        <f t="shared" si="307"/>
        <v>0</v>
      </c>
      <c r="T182" s="60">
        <v>1</v>
      </c>
      <c r="U182" s="60">
        <v>2</v>
      </c>
      <c r="V182" s="64">
        <f t="shared" si="415"/>
        <v>517.5</v>
      </c>
      <c r="W182" s="64"/>
      <c r="X182" s="65">
        <v>517.5</v>
      </c>
      <c r="Y182" s="64"/>
      <c r="Z182" s="73"/>
      <c r="AA182" s="64">
        <f t="shared" si="416"/>
        <v>517.5</v>
      </c>
      <c r="AB182" s="64"/>
      <c r="AC182" s="65">
        <v>517.5</v>
      </c>
      <c r="AD182" s="64"/>
      <c r="AE182" s="73"/>
      <c r="AF182" s="64">
        <f t="shared" si="417"/>
        <v>517.5</v>
      </c>
      <c r="AG182" s="64"/>
      <c r="AH182" s="65">
        <v>517.5</v>
      </c>
      <c r="AI182" s="64"/>
      <c r="AJ182" s="73"/>
      <c r="AK182" s="64">
        <f t="shared" si="418"/>
        <v>225</v>
      </c>
      <c r="AL182" s="64"/>
      <c r="AM182" s="65">
        <v>225</v>
      </c>
      <c r="AN182" s="64"/>
      <c r="AO182" s="107"/>
      <c r="AP182" s="60" t="s">
        <v>508</v>
      </c>
      <c r="AQ182" s="64">
        <f t="shared" si="419"/>
        <v>517.5</v>
      </c>
      <c r="AR182" s="64"/>
      <c r="AS182" s="65">
        <f>225+292.5</f>
        <v>517.5</v>
      </c>
      <c r="AT182" s="64"/>
      <c r="AU182" s="73"/>
      <c r="AV182" s="64">
        <f t="shared" si="293"/>
        <v>0</v>
      </c>
      <c r="AW182" s="64">
        <f t="shared" si="294"/>
        <v>0</v>
      </c>
      <c r="AX182" s="64">
        <f t="shared" si="295"/>
        <v>0</v>
      </c>
      <c r="AY182" s="64">
        <f t="shared" si="296"/>
        <v>0</v>
      </c>
      <c r="AZ182" s="64" t="e">
        <f>#REF!-AU182</f>
        <v>#REF!</v>
      </c>
      <c r="BA182" s="64">
        <f t="shared" si="420"/>
        <v>517.5</v>
      </c>
      <c r="BB182" s="64"/>
      <c r="BC182" s="65">
        <f>225+292.5</f>
        <v>517.5</v>
      </c>
      <c r="BD182" s="64"/>
      <c r="BE182" s="73"/>
      <c r="BF182" s="64">
        <f t="shared" si="421"/>
        <v>0</v>
      </c>
      <c r="BG182" s="64"/>
      <c r="BH182" s="65"/>
      <c r="BI182" s="64"/>
      <c r="BJ182" s="73"/>
      <c r="BK182" s="64">
        <f t="shared" si="422"/>
        <v>517.5</v>
      </c>
      <c r="BL182" s="64"/>
      <c r="BM182" s="65">
        <f>225+292.5</f>
        <v>517.5</v>
      </c>
      <c r="BN182" s="64"/>
      <c r="BO182" s="74"/>
      <c r="BP182" s="64">
        <f t="shared" si="423"/>
        <v>517.5</v>
      </c>
      <c r="BQ182" s="64"/>
      <c r="BR182" s="74">
        <f>225+292.5</f>
        <v>517.5</v>
      </c>
      <c r="BS182" s="64"/>
      <c r="BT182" s="73"/>
      <c r="BU182" s="64">
        <f t="shared" si="424"/>
        <v>476.62737000000004</v>
      </c>
      <c r="BV182" s="64"/>
      <c r="BW182" s="64">
        <f>225.68655+250.94082</f>
        <v>476.62737000000004</v>
      </c>
      <c r="BX182" s="64"/>
      <c r="BY182" s="64"/>
      <c r="BZ182" s="60">
        <f t="shared" si="425"/>
        <v>994.12737000000004</v>
      </c>
      <c r="CA182" s="64">
        <f t="shared" si="297"/>
        <v>994.12737000000004</v>
      </c>
      <c r="CB182" s="64">
        <f t="shared" si="298"/>
        <v>0</v>
      </c>
      <c r="CC182" s="64">
        <f t="shared" si="299"/>
        <v>994.12737000000004</v>
      </c>
      <c r="CD182" s="64">
        <f t="shared" si="300"/>
        <v>0</v>
      </c>
      <c r="CE182" s="64">
        <f t="shared" si="426"/>
        <v>0</v>
      </c>
      <c r="CF182" s="64">
        <f t="shared" si="301"/>
        <v>0</v>
      </c>
      <c r="CG182" s="64">
        <f t="shared" si="302"/>
        <v>0</v>
      </c>
      <c r="CH182" s="64">
        <f t="shared" si="303"/>
        <v>0</v>
      </c>
      <c r="CI182" s="64">
        <f t="shared" si="304"/>
        <v>0</v>
      </c>
      <c r="CJ182" s="64">
        <f t="shared" si="427"/>
        <v>0</v>
      </c>
      <c r="CK182" s="66"/>
      <c r="CL182" s="67"/>
      <c r="CM182" s="67"/>
      <c r="CN182" s="64">
        <f t="shared" si="428"/>
        <v>0</v>
      </c>
      <c r="CO182" s="64"/>
      <c r="CP182" s="65"/>
      <c r="CQ182" s="64"/>
      <c r="CR182" s="73"/>
      <c r="CS182" s="64">
        <f t="shared" si="429"/>
        <v>0</v>
      </c>
      <c r="CT182" s="64"/>
      <c r="CU182" s="65"/>
      <c r="CV182" s="64"/>
      <c r="CW182" s="73"/>
      <c r="CX182" s="64">
        <f t="shared" si="430"/>
        <v>0</v>
      </c>
      <c r="CY182" s="64">
        <f t="shared" si="431"/>
        <v>0</v>
      </c>
      <c r="CZ182" s="64">
        <f t="shared" si="431"/>
        <v>0</v>
      </c>
      <c r="DA182" s="64">
        <f t="shared" si="431"/>
        <v>0</v>
      </c>
      <c r="DB182" s="64">
        <f t="shared" si="431"/>
        <v>0</v>
      </c>
      <c r="DC182" s="64"/>
      <c r="DD182" s="64"/>
      <c r="DE182" s="64"/>
      <c r="DF182" s="64">
        <f t="shared" si="432"/>
        <v>0</v>
      </c>
      <c r="DH182" s="64">
        <f t="shared" si="433"/>
        <v>517.5</v>
      </c>
      <c r="DI182" s="64">
        <f t="shared" si="434"/>
        <v>517.5</v>
      </c>
      <c r="DK182" s="64"/>
      <c r="DL182" s="64"/>
      <c r="DN182" s="64"/>
      <c r="DQ182" s="64">
        <f t="shared" si="435"/>
        <v>517.5</v>
      </c>
      <c r="DR182" s="64"/>
      <c r="DS182" s="74">
        <f>225+292.5</f>
        <v>517.5</v>
      </c>
      <c r="DT182" s="64"/>
      <c r="DU182" s="73"/>
      <c r="DV182" s="64">
        <f t="shared" si="436"/>
        <v>476.62736999999998</v>
      </c>
      <c r="DW182" s="64"/>
      <c r="DX182" s="64">
        <v>476.62736999999998</v>
      </c>
      <c r="DY182" s="64"/>
      <c r="DZ182" s="64"/>
      <c r="EA182" s="375"/>
      <c r="EB182" s="375"/>
      <c r="EC182" s="375"/>
      <c r="ED182" s="375"/>
      <c r="EE182" s="375"/>
      <c r="EF182" s="375"/>
      <c r="EG182" s="375"/>
      <c r="EH182" s="375"/>
      <c r="EI182" s="375"/>
      <c r="EJ182" s="375"/>
      <c r="EK182" s="375"/>
      <c r="EL182" s="375"/>
      <c r="EM182" s="375"/>
      <c r="EN182" s="375"/>
      <c r="EO182" s="375"/>
      <c r="EP182" s="375"/>
      <c r="EQ182" s="375"/>
      <c r="ER182" s="375"/>
      <c r="ES182" s="375"/>
      <c r="ET182" s="375"/>
      <c r="EU182" s="375"/>
      <c r="EV182" s="375"/>
      <c r="EW182" s="375"/>
      <c r="EX182" s="375"/>
      <c r="EY182" s="375"/>
      <c r="EZ182" s="375"/>
      <c r="FA182" s="375"/>
      <c r="FB182" s="375"/>
      <c r="FC182" s="375"/>
      <c r="FD182" s="375"/>
      <c r="FE182" s="375"/>
      <c r="FF182" s="375"/>
      <c r="FG182" s="375"/>
      <c r="FH182" s="375"/>
      <c r="FI182" s="375"/>
      <c r="FJ182" s="375"/>
      <c r="FK182" s="375"/>
      <c r="FL182" s="375"/>
      <c r="FM182" s="375"/>
      <c r="FN182" s="375"/>
      <c r="FO182" s="375"/>
      <c r="FP182" s="375"/>
      <c r="FQ182" s="375"/>
      <c r="FR182" s="375"/>
      <c r="FS182" s="375"/>
      <c r="FT182" s="375"/>
      <c r="FU182" s="375"/>
      <c r="FV182" s="375"/>
      <c r="FW182" s="375"/>
      <c r="FX182" s="375"/>
      <c r="FY182" s="375"/>
      <c r="FZ182" s="375"/>
      <c r="GA182" s="375"/>
      <c r="GB182" s="375"/>
      <c r="GC182" s="375"/>
      <c r="GD182" s="375"/>
      <c r="GE182" s="375"/>
      <c r="GF182" s="375"/>
      <c r="GG182" s="375"/>
      <c r="GH182" s="375"/>
      <c r="GI182" s="375"/>
      <c r="GJ182" s="375"/>
      <c r="GK182" s="375"/>
      <c r="GL182" s="375"/>
      <c r="GM182" s="375"/>
      <c r="GN182" s="375"/>
      <c r="GO182" s="375"/>
      <c r="GP182" s="375"/>
      <c r="GQ182" s="375"/>
      <c r="GR182" s="375"/>
    </row>
    <row r="183" spans="1:200" s="61" customFormat="1" ht="15.75" customHeight="1" x14ac:dyDescent="0.3">
      <c r="A183" s="280"/>
      <c r="B183" s="281"/>
      <c r="C183" s="282"/>
      <c r="D183" s="282">
        <v>1</v>
      </c>
      <c r="E183" s="4">
        <v>153</v>
      </c>
      <c r="F183" s="281"/>
      <c r="G183" s="282"/>
      <c r="H183" s="282">
        <v>1</v>
      </c>
      <c r="I183" s="4">
        <v>12</v>
      </c>
      <c r="J183" s="283" t="s">
        <v>268</v>
      </c>
      <c r="K183" s="283" t="s">
        <v>276</v>
      </c>
      <c r="L183" s="286">
        <v>2200</v>
      </c>
      <c r="M183" s="4">
        <v>150</v>
      </c>
      <c r="N183" s="62" t="s">
        <v>131</v>
      </c>
      <c r="O183" s="62" t="s">
        <v>448</v>
      </c>
      <c r="P183" s="62" t="s">
        <v>450</v>
      </c>
      <c r="Q183" s="60">
        <f t="shared" si="305"/>
        <v>0</v>
      </c>
      <c r="R183" s="60">
        <f t="shared" si="306"/>
        <v>84.311770000000024</v>
      </c>
      <c r="S183" s="60">
        <f t="shared" si="307"/>
        <v>0</v>
      </c>
      <c r="T183" s="60">
        <v>1</v>
      </c>
      <c r="U183" s="60">
        <v>2</v>
      </c>
      <c r="V183" s="64">
        <f t="shared" si="415"/>
        <v>1598.5</v>
      </c>
      <c r="W183" s="64"/>
      <c r="X183" s="65">
        <v>1598.5</v>
      </c>
      <c r="Y183" s="64"/>
      <c r="Z183" s="73"/>
      <c r="AA183" s="64">
        <f t="shared" si="416"/>
        <v>1598.5</v>
      </c>
      <c r="AB183" s="64"/>
      <c r="AC183" s="65">
        <v>1598.5</v>
      </c>
      <c r="AD183" s="64"/>
      <c r="AE183" s="73"/>
      <c r="AF183" s="64">
        <f t="shared" si="417"/>
        <v>1598.5</v>
      </c>
      <c r="AG183" s="64"/>
      <c r="AH183" s="65">
        <v>1598.5</v>
      </c>
      <c r="AI183" s="64"/>
      <c r="AJ183" s="73"/>
      <c r="AK183" s="64">
        <f t="shared" si="418"/>
        <v>695</v>
      </c>
      <c r="AL183" s="64"/>
      <c r="AM183" s="65">
        <v>695</v>
      </c>
      <c r="AN183" s="64"/>
      <c r="AO183" s="107"/>
      <c r="AP183" s="60" t="s">
        <v>457</v>
      </c>
      <c r="AQ183" s="64">
        <f t="shared" si="419"/>
        <v>1598.5</v>
      </c>
      <c r="AR183" s="64"/>
      <c r="AS183" s="65">
        <f>695+903.5</f>
        <v>1598.5</v>
      </c>
      <c r="AT183" s="64"/>
      <c r="AU183" s="73"/>
      <c r="AV183" s="64">
        <f t="shared" si="293"/>
        <v>0</v>
      </c>
      <c r="AW183" s="64">
        <f t="shared" si="294"/>
        <v>0</v>
      </c>
      <c r="AX183" s="64">
        <f t="shared" si="295"/>
        <v>0</v>
      </c>
      <c r="AY183" s="64">
        <f t="shared" si="296"/>
        <v>0</v>
      </c>
      <c r="AZ183" s="64" t="e">
        <f>#REF!-AU183</f>
        <v>#REF!</v>
      </c>
      <c r="BA183" s="64">
        <f t="shared" si="420"/>
        <v>1598.5</v>
      </c>
      <c r="BB183" s="64"/>
      <c r="BC183" s="65">
        <f>695+903.5</f>
        <v>1598.5</v>
      </c>
      <c r="BD183" s="64"/>
      <c r="BE183" s="73"/>
      <c r="BF183" s="64">
        <f t="shared" si="421"/>
        <v>0</v>
      </c>
      <c r="BG183" s="64"/>
      <c r="BH183" s="73"/>
      <c r="BI183" s="64"/>
      <c r="BJ183" s="73"/>
      <c r="BK183" s="64">
        <f t="shared" si="422"/>
        <v>1598.5</v>
      </c>
      <c r="BL183" s="64"/>
      <c r="BM183" s="65">
        <f>695+903.5</f>
        <v>1598.5</v>
      </c>
      <c r="BN183" s="64"/>
      <c r="BO183" s="74"/>
      <c r="BP183" s="64">
        <f t="shared" si="423"/>
        <v>1514.18823</v>
      </c>
      <c r="BQ183" s="64"/>
      <c r="BR183" s="74">
        <f>339.16123+206.209+429.874+351.837+187.107</f>
        <v>1514.18823</v>
      </c>
      <c r="BS183" s="64"/>
      <c r="BT183" s="73"/>
      <c r="BU183" s="64">
        <f t="shared" si="424"/>
        <v>523.09488999999996</v>
      </c>
      <c r="BV183" s="64"/>
      <c r="BW183" s="64">
        <f>68.73635+113.41031+160.31423+117.882+62.752</f>
        <v>523.09488999999996</v>
      </c>
      <c r="BX183" s="64"/>
      <c r="BY183" s="64"/>
      <c r="BZ183" s="60">
        <f t="shared" si="425"/>
        <v>2037.2831200000001</v>
      </c>
      <c r="CA183" s="64">
        <f t="shared" si="297"/>
        <v>2037.2831200000001</v>
      </c>
      <c r="CB183" s="64">
        <f t="shared" si="298"/>
        <v>0</v>
      </c>
      <c r="CC183" s="64">
        <f t="shared" si="299"/>
        <v>2037.2831200000001</v>
      </c>
      <c r="CD183" s="64">
        <f t="shared" si="300"/>
        <v>0</v>
      </c>
      <c r="CE183" s="64">
        <f t="shared" si="426"/>
        <v>0</v>
      </c>
      <c r="CF183" s="64">
        <f t="shared" si="301"/>
        <v>84.311770000000024</v>
      </c>
      <c r="CG183" s="64">
        <f t="shared" si="302"/>
        <v>0</v>
      </c>
      <c r="CH183" s="64">
        <f t="shared" si="303"/>
        <v>84.311770000000024</v>
      </c>
      <c r="CI183" s="64">
        <f t="shared" si="304"/>
        <v>0</v>
      </c>
      <c r="CJ183" s="64">
        <f t="shared" si="427"/>
        <v>0</v>
      </c>
      <c r="CK183" s="66"/>
      <c r="CL183" s="67"/>
      <c r="CM183" s="67"/>
      <c r="CN183" s="64">
        <f t="shared" si="428"/>
        <v>0</v>
      </c>
      <c r="CO183" s="64"/>
      <c r="CP183" s="73"/>
      <c r="CQ183" s="64"/>
      <c r="CR183" s="73"/>
      <c r="CS183" s="64">
        <f t="shared" si="429"/>
        <v>0</v>
      </c>
      <c r="CT183" s="64"/>
      <c r="CU183" s="73"/>
      <c r="CV183" s="64"/>
      <c r="CW183" s="73"/>
      <c r="CX183" s="64">
        <f t="shared" si="430"/>
        <v>0</v>
      </c>
      <c r="CY183" s="64">
        <f t="shared" si="431"/>
        <v>0</v>
      </c>
      <c r="CZ183" s="64">
        <f t="shared" si="431"/>
        <v>0</v>
      </c>
      <c r="DA183" s="64">
        <f t="shared" si="431"/>
        <v>0</v>
      </c>
      <c r="DB183" s="64">
        <f t="shared" si="431"/>
        <v>0</v>
      </c>
      <c r="DC183" s="64"/>
      <c r="DD183" s="64"/>
      <c r="DE183" s="64"/>
      <c r="DF183" s="64">
        <f t="shared" si="432"/>
        <v>84.311770000000024</v>
      </c>
      <c r="DH183" s="64">
        <f t="shared" si="433"/>
        <v>1598.5</v>
      </c>
      <c r="DI183" s="64">
        <f t="shared" si="434"/>
        <v>1514.18823</v>
      </c>
      <c r="DK183" s="64"/>
      <c r="DL183" s="64"/>
      <c r="DN183" s="64"/>
      <c r="DQ183" s="64">
        <f t="shared" si="435"/>
        <v>1514.18823</v>
      </c>
      <c r="DR183" s="64"/>
      <c r="DS183" s="74">
        <f>339.16123+206.209+429.874+351.837+187.107</f>
        <v>1514.18823</v>
      </c>
      <c r="DT183" s="64"/>
      <c r="DU183" s="73"/>
      <c r="DV183" s="64">
        <f t="shared" si="436"/>
        <v>522.80789000000004</v>
      </c>
      <c r="DW183" s="64"/>
      <c r="DX183" s="64">
        <v>522.80789000000004</v>
      </c>
      <c r="DY183" s="64"/>
      <c r="DZ183" s="64"/>
      <c r="EA183" s="375"/>
      <c r="EB183" s="375"/>
      <c r="EC183" s="375"/>
      <c r="ED183" s="375"/>
      <c r="EE183" s="375"/>
      <c r="EF183" s="375"/>
      <c r="EG183" s="375"/>
      <c r="EH183" s="375"/>
      <c r="EI183" s="375"/>
      <c r="EJ183" s="375"/>
      <c r="EK183" s="375"/>
      <c r="EL183" s="375"/>
      <c r="EM183" s="375"/>
      <c r="EN183" s="375"/>
      <c r="EO183" s="375"/>
      <c r="EP183" s="375"/>
      <c r="EQ183" s="375"/>
      <c r="ER183" s="375"/>
      <c r="ES183" s="375"/>
      <c r="ET183" s="375"/>
      <c r="EU183" s="375"/>
      <c r="EV183" s="375"/>
      <c r="EW183" s="375"/>
      <c r="EX183" s="375"/>
      <c r="EY183" s="375"/>
      <c r="EZ183" s="375"/>
      <c r="FA183" s="375"/>
      <c r="FB183" s="375"/>
      <c r="FC183" s="375"/>
      <c r="FD183" s="375"/>
      <c r="FE183" s="375"/>
      <c r="FF183" s="375"/>
      <c r="FG183" s="375"/>
      <c r="FH183" s="375"/>
      <c r="FI183" s="375"/>
      <c r="FJ183" s="375"/>
      <c r="FK183" s="375"/>
      <c r="FL183" s="375"/>
      <c r="FM183" s="375"/>
      <c r="FN183" s="375"/>
      <c r="FO183" s="375"/>
      <c r="FP183" s="375"/>
      <c r="FQ183" s="375"/>
      <c r="FR183" s="375"/>
      <c r="FS183" s="375"/>
      <c r="FT183" s="375"/>
      <c r="FU183" s="375"/>
      <c r="FV183" s="375"/>
      <c r="FW183" s="375"/>
      <c r="FX183" s="375"/>
      <c r="FY183" s="375"/>
      <c r="FZ183" s="375"/>
      <c r="GA183" s="375"/>
      <c r="GB183" s="375"/>
      <c r="GC183" s="375"/>
      <c r="GD183" s="375"/>
      <c r="GE183" s="375"/>
      <c r="GF183" s="375"/>
      <c r="GG183" s="375"/>
      <c r="GH183" s="375"/>
      <c r="GI183" s="375"/>
      <c r="GJ183" s="375"/>
      <c r="GK183" s="375"/>
      <c r="GL183" s="375"/>
      <c r="GM183" s="375"/>
      <c r="GN183" s="375"/>
      <c r="GO183" s="375"/>
      <c r="GP183" s="375"/>
      <c r="GQ183" s="375"/>
      <c r="GR183" s="375"/>
    </row>
    <row r="184" spans="1:200" s="61" customFormat="1" ht="15.75" customHeight="1" x14ac:dyDescent="0.3">
      <c r="A184" s="280"/>
      <c r="B184" s="281"/>
      <c r="C184" s="282">
        <v>1</v>
      </c>
      <c r="D184" s="282"/>
      <c r="E184" s="4">
        <v>154</v>
      </c>
      <c r="F184" s="281"/>
      <c r="G184" s="282"/>
      <c r="H184" s="282">
        <v>1</v>
      </c>
      <c r="I184" s="474" t="s">
        <v>270</v>
      </c>
      <c r="J184" s="475"/>
      <c r="K184" s="475"/>
      <c r="L184" s="288">
        <f>L183</f>
        <v>2200</v>
      </c>
      <c r="M184" s="4">
        <v>151</v>
      </c>
      <c r="N184" s="62" t="s">
        <v>58</v>
      </c>
      <c r="O184" s="62" t="s">
        <v>448</v>
      </c>
      <c r="P184" s="62" t="s">
        <v>450</v>
      </c>
      <c r="Q184" s="60">
        <f t="shared" si="305"/>
        <v>0</v>
      </c>
      <c r="R184" s="60">
        <f t="shared" si="306"/>
        <v>0</v>
      </c>
      <c r="S184" s="60">
        <f t="shared" si="307"/>
        <v>2132.5119999999988</v>
      </c>
      <c r="T184" s="60">
        <v>1</v>
      </c>
      <c r="U184" s="60">
        <v>3</v>
      </c>
      <c r="V184" s="64">
        <f t="shared" si="415"/>
        <v>18827.111999999997</v>
      </c>
      <c r="W184" s="64"/>
      <c r="X184" s="64">
        <v>2362.1</v>
      </c>
      <c r="Y184" s="64">
        <v>16465.011999999999</v>
      </c>
      <c r="Z184" s="60"/>
      <c r="AA184" s="64">
        <f t="shared" si="416"/>
        <v>18073.677</v>
      </c>
      <c r="AB184" s="64"/>
      <c r="AC184" s="64">
        <v>2362.1</v>
      </c>
      <c r="AD184" s="64">
        <v>15711.576999999999</v>
      </c>
      <c r="AE184" s="60"/>
      <c r="AF184" s="64">
        <f t="shared" si="417"/>
        <v>4432.1000000000004</v>
      </c>
      <c r="AG184" s="64"/>
      <c r="AH184" s="64">
        <v>2362.1</v>
      </c>
      <c r="AI184" s="64">
        <v>2070</v>
      </c>
      <c r="AJ184" s="60"/>
      <c r="AK184" s="64">
        <f t="shared" si="418"/>
        <v>3097</v>
      </c>
      <c r="AL184" s="64"/>
      <c r="AM184" s="64">
        <v>1027</v>
      </c>
      <c r="AN184" s="64">
        <v>2070</v>
      </c>
      <c r="AO184" s="106"/>
      <c r="AP184" s="60" t="s">
        <v>441</v>
      </c>
      <c r="AQ184" s="64">
        <f t="shared" si="419"/>
        <v>18827.111999999997</v>
      </c>
      <c r="AR184" s="64"/>
      <c r="AS184" s="64">
        <f>1027+1335.1</f>
        <v>2362.1</v>
      </c>
      <c r="AT184" s="64">
        <f>2070+13641.577+753.435</f>
        <v>16465.011999999999</v>
      </c>
      <c r="AU184" s="64"/>
      <c r="AV184" s="64">
        <f t="shared" si="293"/>
        <v>0</v>
      </c>
      <c r="AW184" s="64">
        <f t="shared" si="294"/>
        <v>0</v>
      </c>
      <c r="AX184" s="64">
        <f t="shared" si="295"/>
        <v>0</v>
      </c>
      <c r="AY184" s="64">
        <f t="shared" si="296"/>
        <v>0</v>
      </c>
      <c r="AZ184" s="64" t="e">
        <f>#REF!-AU184</f>
        <v>#REF!</v>
      </c>
      <c r="BA184" s="64">
        <f t="shared" si="420"/>
        <v>18827.111999999997</v>
      </c>
      <c r="BB184" s="64"/>
      <c r="BC184" s="64">
        <f>1027+1335.1</f>
        <v>2362.1</v>
      </c>
      <c r="BD184" s="64">
        <f>2070+13641.577+753.435</f>
        <v>16465.011999999999</v>
      </c>
      <c r="BE184" s="64"/>
      <c r="BF184" s="64">
        <f t="shared" si="421"/>
        <v>0</v>
      </c>
      <c r="BG184" s="64"/>
      <c r="BH184" s="64"/>
      <c r="BI184" s="64"/>
      <c r="BJ184" s="64"/>
      <c r="BK184" s="64">
        <f t="shared" si="422"/>
        <v>18827.111999999997</v>
      </c>
      <c r="BL184" s="64"/>
      <c r="BM184" s="64">
        <f>1027+1335.1</f>
        <v>2362.1</v>
      </c>
      <c r="BN184" s="64">
        <f>2070+13641.577+753.435</f>
        <v>16465.011999999999</v>
      </c>
      <c r="BO184" s="64"/>
      <c r="BP184" s="64">
        <f t="shared" si="423"/>
        <v>16694.599999999999</v>
      </c>
      <c r="BQ184" s="64"/>
      <c r="BR184" s="64">
        <f>820.2+1335.1+206.8</f>
        <v>2362.1000000000004</v>
      </c>
      <c r="BS184" s="64">
        <f>2070+10704.5+1558</f>
        <v>14332.5</v>
      </c>
      <c r="BT184" s="64"/>
      <c r="BU184" s="64">
        <f t="shared" si="424"/>
        <v>6351.6256900000008</v>
      </c>
      <c r="BV184" s="64"/>
      <c r="BW184" s="64">
        <f>273.50804+651.05874+306.66402</f>
        <v>1231.2307999999998</v>
      </c>
      <c r="BX184" s="64">
        <f>713.85005+3568.195+838.34984</f>
        <v>5120.3948900000005</v>
      </c>
      <c r="BY184" s="64"/>
      <c r="BZ184" s="60">
        <f t="shared" si="425"/>
        <v>23046.225689999999</v>
      </c>
      <c r="CA184" s="64">
        <f t="shared" si="297"/>
        <v>23046.225689999999</v>
      </c>
      <c r="CB184" s="64">
        <f t="shared" si="298"/>
        <v>0</v>
      </c>
      <c r="CC184" s="64">
        <f t="shared" si="299"/>
        <v>3593.3308000000002</v>
      </c>
      <c r="CD184" s="64">
        <f t="shared" si="300"/>
        <v>19452.89489</v>
      </c>
      <c r="CE184" s="64">
        <f t="shared" si="426"/>
        <v>0</v>
      </c>
      <c r="CF184" s="64">
        <f t="shared" si="301"/>
        <v>2132.5119999999988</v>
      </c>
      <c r="CG184" s="64">
        <f t="shared" si="302"/>
        <v>0</v>
      </c>
      <c r="CH184" s="64">
        <f t="shared" si="303"/>
        <v>0</v>
      </c>
      <c r="CI184" s="64">
        <f t="shared" si="304"/>
        <v>2132.5119999999988</v>
      </c>
      <c r="CJ184" s="64">
        <f t="shared" si="427"/>
        <v>0</v>
      </c>
      <c r="CK184" s="66"/>
      <c r="CL184" s="76">
        <f>BA184+BA192</f>
        <v>20386.511999999999</v>
      </c>
      <c r="CM184" s="76">
        <f>CL184-BF184-BF192</f>
        <v>20386.511999999999</v>
      </c>
      <c r="CN184" s="64">
        <f t="shared" si="428"/>
        <v>0</v>
      </c>
      <c r="CO184" s="64"/>
      <c r="CP184" s="64"/>
      <c r="CQ184" s="64"/>
      <c r="CR184" s="64"/>
      <c r="CS184" s="64">
        <f t="shared" si="429"/>
        <v>0</v>
      </c>
      <c r="CT184" s="64"/>
      <c r="CU184" s="64"/>
      <c r="CV184" s="64"/>
      <c r="CW184" s="64"/>
      <c r="CX184" s="64">
        <f t="shared" si="430"/>
        <v>0</v>
      </c>
      <c r="CY184" s="64">
        <f t="shared" si="431"/>
        <v>0</v>
      </c>
      <c r="CZ184" s="64">
        <f t="shared" si="431"/>
        <v>0</v>
      </c>
      <c r="DA184" s="64">
        <f t="shared" si="431"/>
        <v>0</v>
      </c>
      <c r="DB184" s="64">
        <f t="shared" si="431"/>
        <v>0</v>
      </c>
      <c r="DC184" s="64"/>
      <c r="DD184" s="60"/>
      <c r="DE184" s="60">
        <f>DC184-DD184</f>
        <v>0</v>
      </c>
      <c r="DF184" s="64">
        <f t="shared" si="432"/>
        <v>2132.5119999999988</v>
      </c>
      <c r="DH184" s="64">
        <f t="shared" si="433"/>
        <v>18827.111999999997</v>
      </c>
      <c r="DI184" s="64">
        <f t="shared" si="434"/>
        <v>16694.599999999999</v>
      </c>
      <c r="DK184" s="77">
        <f>DI184+DI192</f>
        <v>17949.917999999998</v>
      </c>
      <c r="DL184" s="77">
        <f>DF184+DF192</f>
        <v>2436.5939999999991</v>
      </c>
      <c r="DN184" s="64">
        <f>CM184-DK184</f>
        <v>2436.594000000001</v>
      </c>
      <c r="DO184" s="61">
        <f>DN184-DL184</f>
        <v>0</v>
      </c>
      <c r="DQ184" s="64">
        <f t="shared" si="435"/>
        <v>4432.1000000000004</v>
      </c>
      <c r="DR184" s="64"/>
      <c r="DS184" s="64">
        <f>820.2+1335.1+206.8</f>
        <v>2362.1000000000004</v>
      </c>
      <c r="DT184" s="64">
        <v>2070</v>
      </c>
      <c r="DU184" s="64"/>
      <c r="DV184" s="64">
        <f t="shared" si="436"/>
        <v>1638.4168300000001</v>
      </c>
      <c r="DW184" s="64"/>
      <c r="DX184" s="64">
        <v>924.56677999999999</v>
      </c>
      <c r="DY184" s="64">
        <v>713.85005000000001</v>
      </c>
      <c r="DZ184" s="64"/>
      <c r="EA184" s="375"/>
      <c r="EB184" s="375"/>
      <c r="EC184" s="375"/>
      <c r="ED184" s="375"/>
      <c r="EE184" s="375"/>
      <c r="EF184" s="375"/>
      <c r="EG184" s="375"/>
      <c r="EH184" s="375"/>
      <c r="EI184" s="375"/>
      <c r="EJ184" s="375"/>
      <c r="EK184" s="375"/>
      <c r="EL184" s="375"/>
      <c r="EM184" s="375"/>
      <c r="EN184" s="375"/>
      <c r="EO184" s="375"/>
      <c r="EP184" s="375"/>
      <c r="EQ184" s="375"/>
      <c r="ER184" s="375"/>
      <c r="ES184" s="375"/>
      <c r="ET184" s="375"/>
      <c r="EU184" s="375"/>
      <c r="EV184" s="375"/>
      <c r="EW184" s="375"/>
      <c r="EX184" s="375"/>
      <c r="EY184" s="375"/>
      <c r="EZ184" s="375"/>
      <c r="FA184" s="375"/>
      <c r="FB184" s="375"/>
      <c r="FC184" s="375"/>
      <c r="FD184" s="375"/>
      <c r="FE184" s="375"/>
      <c r="FF184" s="375"/>
      <c r="FG184" s="375"/>
      <c r="FH184" s="375"/>
      <c r="FI184" s="375"/>
      <c r="FJ184" s="375"/>
      <c r="FK184" s="375"/>
      <c r="FL184" s="375"/>
      <c r="FM184" s="375"/>
      <c r="FN184" s="375"/>
      <c r="FO184" s="375"/>
      <c r="FP184" s="375"/>
      <c r="FQ184" s="375"/>
      <c r="FR184" s="375"/>
      <c r="FS184" s="375"/>
      <c r="FT184" s="375"/>
      <c r="FU184" s="375"/>
      <c r="FV184" s="375"/>
      <c r="FW184" s="375"/>
      <c r="FX184" s="375"/>
      <c r="FY184" s="375"/>
      <c r="FZ184" s="375"/>
      <c r="GA184" s="375"/>
      <c r="GB184" s="375"/>
      <c r="GC184" s="375"/>
      <c r="GD184" s="375"/>
      <c r="GE184" s="375"/>
      <c r="GF184" s="375"/>
      <c r="GG184" s="375"/>
      <c r="GH184" s="375"/>
      <c r="GI184" s="375"/>
      <c r="GJ184" s="375"/>
      <c r="GK184" s="375"/>
      <c r="GL184" s="375"/>
      <c r="GM184" s="375"/>
      <c r="GN184" s="375"/>
      <c r="GO184" s="375"/>
      <c r="GP184" s="375"/>
      <c r="GQ184" s="375"/>
      <c r="GR184" s="375"/>
    </row>
    <row r="185" spans="1:200" s="61" customFormat="1" ht="15.75" customHeight="1" x14ac:dyDescent="0.3">
      <c r="A185" s="280"/>
      <c r="B185" s="281"/>
      <c r="C185" s="282"/>
      <c r="D185" s="282">
        <v>1</v>
      </c>
      <c r="E185" s="4">
        <v>155</v>
      </c>
      <c r="F185" s="281"/>
      <c r="G185" s="282"/>
      <c r="H185" s="282"/>
      <c r="I185" s="4"/>
      <c r="J185" s="283"/>
      <c r="K185" s="283"/>
      <c r="L185" s="286"/>
      <c r="M185" s="4">
        <v>152</v>
      </c>
      <c r="N185" s="62" t="s">
        <v>132</v>
      </c>
      <c r="O185" s="62" t="s">
        <v>448</v>
      </c>
      <c r="P185" s="62" t="s">
        <v>451</v>
      </c>
      <c r="Q185" s="60">
        <f t="shared" si="305"/>
        <v>0</v>
      </c>
      <c r="R185" s="60">
        <f t="shared" si="306"/>
        <v>24.166139999999814</v>
      </c>
      <c r="S185" s="60">
        <f t="shared" si="307"/>
        <v>0</v>
      </c>
      <c r="T185" s="60">
        <v>1</v>
      </c>
      <c r="U185" s="60">
        <v>1</v>
      </c>
      <c r="V185" s="64">
        <f t="shared" si="415"/>
        <v>1223.5999999999999</v>
      </c>
      <c r="W185" s="64"/>
      <c r="X185" s="65">
        <v>1223.5999999999999</v>
      </c>
      <c r="Y185" s="64"/>
      <c r="Z185" s="73"/>
      <c r="AA185" s="64">
        <f t="shared" si="416"/>
        <v>1223.5999999999999</v>
      </c>
      <c r="AB185" s="64"/>
      <c r="AC185" s="65">
        <v>1223.5999999999999</v>
      </c>
      <c r="AD185" s="64"/>
      <c r="AE185" s="73"/>
      <c r="AF185" s="64">
        <f t="shared" si="417"/>
        <v>1223.5999999999999</v>
      </c>
      <c r="AG185" s="64"/>
      <c r="AH185" s="65">
        <v>1223.5999999999999</v>
      </c>
      <c r="AI185" s="64"/>
      <c r="AJ185" s="73"/>
      <c r="AK185" s="64">
        <f t="shared" si="418"/>
        <v>532</v>
      </c>
      <c r="AL185" s="64"/>
      <c r="AM185" s="65">
        <v>532</v>
      </c>
      <c r="AN185" s="64"/>
      <c r="AO185" s="107"/>
      <c r="AP185" s="60" t="s">
        <v>541</v>
      </c>
      <c r="AQ185" s="64">
        <f t="shared" si="419"/>
        <v>1223.5999999999999</v>
      </c>
      <c r="AR185" s="64"/>
      <c r="AS185" s="65">
        <v>1223.5999999999999</v>
      </c>
      <c r="AT185" s="64"/>
      <c r="AU185" s="73"/>
      <c r="AV185" s="64">
        <f t="shared" si="293"/>
        <v>0</v>
      </c>
      <c r="AW185" s="64">
        <f t="shared" si="294"/>
        <v>0</v>
      </c>
      <c r="AX185" s="64">
        <f t="shared" si="295"/>
        <v>0</v>
      </c>
      <c r="AY185" s="64">
        <f t="shared" si="296"/>
        <v>0</v>
      </c>
      <c r="AZ185" s="64" t="e">
        <f>#REF!-AU185</f>
        <v>#REF!</v>
      </c>
      <c r="BA185" s="64">
        <f t="shared" si="420"/>
        <v>1223.5999999999999</v>
      </c>
      <c r="BB185" s="64"/>
      <c r="BC185" s="65">
        <v>1223.5999999999999</v>
      </c>
      <c r="BD185" s="64"/>
      <c r="BE185" s="73"/>
      <c r="BF185" s="64">
        <f t="shared" si="421"/>
        <v>0</v>
      </c>
      <c r="BG185" s="64"/>
      <c r="BH185" s="65"/>
      <c r="BI185" s="64"/>
      <c r="BJ185" s="73"/>
      <c r="BK185" s="64">
        <f t="shared" si="422"/>
        <v>1223.5999999999999</v>
      </c>
      <c r="BL185" s="64"/>
      <c r="BM185" s="65">
        <v>1223.5999999999999</v>
      </c>
      <c r="BN185" s="64"/>
      <c r="BO185" s="74"/>
      <c r="BP185" s="64">
        <f t="shared" si="423"/>
        <v>1199.4338600000001</v>
      </c>
      <c r="BQ185" s="64"/>
      <c r="BR185" s="74">
        <f>459.15586+740.278</f>
        <v>1199.4338600000001</v>
      </c>
      <c r="BS185" s="64"/>
      <c r="BT185" s="73"/>
      <c r="BU185" s="64">
        <f t="shared" si="424"/>
        <v>403.27483999999998</v>
      </c>
      <c r="BV185" s="64"/>
      <c r="BW185" s="64">
        <f>154.37784+248.897</f>
        <v>403.27483999999998</v>
      </c>
      <c r="BX185" s="64"/>
      <c r="BY185" s="64"/>
      <c r="BZ185" s="60">
        <f t="shared" si="425"/>
        <v>1602.7087000000001</v>
      </c>
      <c r="CA185" s="64">
        <f t="shared" si="297"/>
        <v>1602.7087000000001</v>
      </c>
      <c r="CB185" s="64">
        <f t="shared" si="298"/>
        <v>0</v>
      </c>
      <c r="CC185" s="64">
        <f t="shared" si="299"/>
        <v>1602.7087000000001</v>
      </c>
      <c r="CD185" s="64">
        <f t="shared" si="300"/>
        <v>0</v>
      </c>
      <c r="CE185" s="64">
        <f t="shared" si="426"/>
        <v>0</v>
      </c>
      <c r="CF185" s="64">
        <f t="shared" si="301"/>
        <v>24.166139999999814</v>
      </c>
      <c r="CG185" s="64">
        <f t="shared" si="302"/>
        <v>0</v>
      </c>
      <c r="CH185" s="64">
        <f t="shared" si="303"/>
        <v>24.166139999999814</v>
      </c>
      <c r="CI185" s="64">
        <f t="shared" si="304"/>
        <v>0</v>
      </c>
      <c r="CJ185" s="64">
        <f t="shared" si="427"/>
        <v>0</v>
      </c>
      <c r="CK185" s="66"/>
      <c r="CL185" s="67">
        <f>AQ180+AQ181+AQ182+AQ183+AQ185+AQ186+AQ187+AQ188+AQ189+AQ190+AQ191+AQ193+AQ194</f>
        <v>11439.525</v>
      </c>
      <c r="CM185" s="67">
        <f>CL185+CN181-BF186-BF187</f>
        <v>11439.525</v>
      </c>
      <c r="CN185" s="64">
        <f t="shared" si="428"/>
        <v>0</v>
      </c>
      <c r="CO185" s="64"/>
      <c r="CP185" s="65"/>
      <c r="CQ185" s="64"/>
      <c r="CR185" s="73"/>
      <c r="CS185" s="64">
        <f t="shared" si="429"/>
        <v>0</v>
      </c>
      <c r="CT185" s="64"/>
      <c r="CU185" s="65"/>
      <c r="CV185" s="64"/>
      <c r="CW185" s="73"/>
      <c r="CX185" s="64">
        <f t="shared" si="430"/>
        <v>0</v>
      </c>
      <c r="CY185" s="64">
        <f t="shared" si="431"/>
        <v>0</v>
      </c>
      <c r="CZ185" s="64">
        <f t="shared" si="431"/>
        <v>0</v>
      </c>
      <c r="DA185" s="64">
        <f t="shared" si="431"/>
        <v>0</v>
      </c>
      <c r="DB185" s="64">
        <f t="shared" si="431"/>
        <v>0</v>
      </c>
      <c r="DC185" s="64"/>
      <c r="DD185" s="64"/>
      <c r="DE185" s="64"/>
      <c r="DF185" s="64">
        <f t="shared" si="432"/>
        <v>24.166139999999814</v>
      </c>
      <c r="DH185" s="64">
        <f t="shared" si="433"/>
        <v>1223.5999999999999</v>
      </c>
      <c r="DI185" s="64">
        <f t="shared" si="434"/>
        <v>1199.4338600000001</v>
      </c>
      <c r="DK185" s="64">
        <f>DI180+DI181+DI182+DI183+DI185+DI186+DI187+DI188+DI189+DI190+DI191+DI193+DI194</f>
        <v>10958.310590000001</v>
      </c>
      <c r="DL185" s="64">
        <f>DF180+DF181+DF182+DF183+DF185+DF186+DF187+DF188+DF189+DF190+DF191+DF192+DF193+DF194</f>
        <v>785.29640999999992</v>
      </c>
      <c r="DN185" s="64">
        <f>CM185-DK185</f>
        <v>481.21440999999868</v>
      </c>
      <c r="DQ185" s="64">
        <f t="shared" si="435"/>
        <v>1199.4338600000001</v>
      </c>
      <c r="DR185" s="64"/>
      <c r="DS185" s="74">
        <f>459.15586+740.278</f>
        <v>1199.4338600000001</v>
      </c>
      <c r="DT185" s="64"/>
      <c r="DU185" s="73"/>
      <c r="DV185" s="64">
        <f t="shared" si="436"/>
        <v>0</v>
      </c>
      <c r="DW185" s="64"/>
      <c r="DX185" s="64"/>
      <c r="DY185" s="64"/>
      <c r="DZ185" s="64"/>
      <c r="EA185" s="375"/>
      <c r="EB185" s="375"/>
      <c r="EC185" s="375"/>
      <c r="ED185" s="375"/>
      <c r="EE185" s="375"/>
      <c r="EF185" s="375"/>
      <c r="EG185" s="375"/>
      <c r="EH185" s="375"/>
      <c r="EI185" s="375"/>
      <c r="EJ185" s="375"/>
      <c r="EK185" s="375"/>
      <c r="EL185" s="375"/>
      <c r="EM185" s="375"/>
      <c r="EN185" s="375"/>
      <c r="EO185" s="375"/>
      <c r="EP185" s="375"/>
      <c r="EQ185" s="375"/>
      <c r="ER185" s="375"/>
      <c r="ES185" s="375"/>
      <c r="ET185" s="375"/>
      <c r="EU185" s="375"/>
      <c r="EV185" s="375"/>
      <c r="EW185" s="375"/>
      <c r="EX185" s="375"/>
      <c r="EY185" s="375"/>
      <c r="EZ185" s="375"/>
      <c r="FA185" s="375"/>
      <c r="FB185" s="375"/>
      <c r="FC185" s="375"/>
      <c r="FD185" s="375"/>
      <c r="FE185" s="375"/>
      <c r="FF185" s="375"/>
      <c r="FG185" s="375"/>
      <c r="FH185" s="375"/>
      <c r="FI185" s="375"/>
      <c r="FJ185" s="375"/>
      <c r="FK185" s="375"/>
      <c r="FL185" s="375"/>
      <c r="FM185" s="375"/>
      <c r="FN185" s="375"/>
      <c r="FO185" s="375"/>
      <c r="FP185" s="375"/>
      <c r="FQ185" s="375"/>
      <c r="FR185" s="375"/>
      <c r="FS185" s="375"/>
      <c r="FT185" s="375"/>
      <c r="FU185" s="375"/>
      <c r="FV185" s="375"/>
      <c r="FW185" s="375"/>
      <c r="FX185" s="375"/>
      <c r="FY185" s="375"/>
      <c r="FZ185" s="375"/>
      <c r="GA185" s="375"/>
      <c r="GB185" s="375"/>
      <c r="GC185" s="375"/>
      <c r="GD185" s="375"/>
      <c r="GE185" s="375"/>
      <c r="GF185" s="375"/>
      <c r="GG185" s="375"/>
      <c r="GH185" s="375"/>
      <c r="GI185" s="375"/>
      <c r="GJ185" s="375"/>
      <c r="GK185" s="375"/>
      <c r="GL185" s="375"/>
      <c r="GM185" s="375"/>
      <c r="GN185" s="375"/>
      <c r="GO185" s="375"/>
      <c r="GP185" s="375"/>
      <c r="GQ185" s="375"/>
      <c r="GR185" s="375"/>
    </row>
    <row r="186" spans="1:200" s="61" customFormat="1" ht="15.75" customHeight="1" x14ac:dyDescent="0.3">
      <c r="A186" s="280"/>
      <c r="B186" s="281"/>
      <c r="C186" s="282"/>
      <c r="D186" s="282">
        <v>1</v>
      </c>
      <c r="E186" s="4">
        <v>156</v>
      </c>
      <c r="F186" s="281"/>
      <c r="G186" s="282"/>
      <c r="H186" s="282">
        <v>1</v>
      </c>
      <c r="I186" s="4"/>
      <c r="J186" s="283"/>
      <c r="K186" s="283"/>
      <c r="L186" s="286"/>
      <c r="M186" s="4">
        <v>153</v>
      </c>
      <c r="N186" s="62" t="s">
        <v>133</v>
      </c>
      <c r="O186" s="62" t="s">
        <v>448</v>
      </c>
      <c r="P186" s="62" t="s">
        <v>448</v>
      </c>
      <c r="Q186" s="60">
        <f t="shared" si="305"/>
        <v>0</v>
      </c>
      <c r="R186" s="60">
        <f t="shared" si="306"/>
        <v>97.290010000000052</v>
      </c>
      <c r="S186" s="60">
        <f t="shared" si="307"/>
        <v>0</v>
      </c>
      <c r="T186" s="60">
        <v>1</v>
      </c>
      <c r="U186" s="60">
        <v>1</v>
      </c>
      <c r="V186" s="64">
        <f t="shared" si="415"/>
        <v>648.6</v>
      </c>
      <c r="W186" s="64"/>
      <c r="X186" s="65">
        <v>648.6</v>
      </c>
      <c r="Y186" s="64"/>
      <c r="Z186" s="73"/>
      <c r="AA186" s="64">
        <f t="shared" si="416"/>
        <v>648.6</v>
      </c>
      <c r="AB186" s="64"/>
      <c r="AC186" s="65">
        <v>648.6</v>
      </c>
      <c r="AD186" s="64"/>
      <c r="AE186" s="73"/>
      <c r="AF186" s="64">
        <f t="shared" si="417"/>
        <v>648.6</v>
      </c>
      <c r="AG186" s="64"/>
      <c r="AH186" s="65">
        <v>648.6</v>
      </c>
      <c r="AI186" s="64"/>
      <c r="AJ186" s="73"/>
      <c r="AK186" s="64">
        <f t="shared" si="418"/>
        <v>282</v>
      </c>
      <c r="AL186" s="64"/>
      <c r="AM186" s="65">
        <v>282</v>
      </c>
      <c r="AN186" s="64"/>
      <c r="AO186" s="107"/>
      <c r="AP186" s="60" t="s">
        <v>535</v>
      </c>
      <c r="AQ186" s="64">
        <f t="shared" si="419"/>
        <v>648.6</v>
      </c>
      <c r="AR186" s="64"/>
      <c r="AS186" s="65">
        <v>648.6</v>
      </c>
      <c r="AT186" s="64"/>
      <c r="AU186" s="73"/>
      <c r="AV186" s="64">
        <f t="shared" si="293"/>
        <v>0</v>
      </c>
      <c r="AW186" s="64">
        <f t="shared" si="294"/>
        <v>0</v>
      </c>
      <c r="AX186" s="64">
        <f t="shared" si="295"/>
        <v>0</v>
      </c>
      <c r="AY186" s="64">
        <f t="shared" si="296"/>
        <v>0</v>
      </c>
      <c r="AZ186" s="64" t="e">
        <f>#REF!-AU186</f>
        <v>#REF!</v>
      </c>
      <c r="BA186" s="64">
        <f t="shared" si="420"/>
        <v>648.6</v>
      </c>
      <c r="BB186" s="64"/>
      <c r="BC186" s="65">
        <v>648.6</v>
      </c>
      <c r="BD186" s="64"/>
      <c r="BE186" s="73"/>
      <c r="BF186" s="64">
        <f t="shared" si="421"/>
        <v>0</v>
      </c>
      <c r="BG186" s="64"/>
      <c r="BH186" s="65"/>
      <c r="BI186" s="64"/>
      <c r="BJ186" s="73"/>
      <c r="BK186" s="64">
        <f t="shared" si="422"/>
        <v>648.6</v>
      </c>
      <c r="BL186" s="64"/>
      <c r="BM186" s="65">
        <v>648.6</v>
      </c>
      <c r="BN186" s="64"/>
      <c r="BO186" s="74"/>
      <c r="BP186" s="64">
        <f t="shared" si="423"/>
        <v>551.30998999999997</v>
      </c>
      <c r="BQ186" s="64"/>
      <c r="BR186" s="74">
        <v>551.30998999999997</v>
      </c>
      <c r="BS186" s="64"/>
      <c r="BT186" s="73"/>
      <c r="BU186" s="64">
        <f t="shared" si="424"/>
        <v>369.65438</v>
      </c>
      <c r="BV186" s="64"/>
      <c r="BW186" s="64">
        <v>369.65438</v>
      </c>
      <c r="BX186" s="64"/>
      <c r="BY186" s="64"/>
      <c r="BZ186" s="60">
        <f t="shared" si="425"/>
        <v>920.96436999999992</v>
      </c>
      <c r="CA186" s="64">
        <f t="shared" si="297"/>
        <v>920.96436999999992</v>
      </c>
      <c r="CB186" s="64">
        <f t="shared" si="298"/>
        <v>0</v>
      </c>
      <c r="CC186" s="64">
        <f t="shared" si="299"/>
        <v>920.96436999999992</v>
      </c>
      <c r="CD186" s="64">
        <f t="shared" si="300"/>
        <v>0</v>
      </c>
      <c r="CE186" s="64">
        <f t="shared" si="426"/>
        <v>0</v>
      </c>
      <c r="CF186" s="64">
        <f t="shared" si="301"/>
        <v>97.290010000000052</v>
      </c>
      <c r="CG186" s="64">
        <f t="shared" si="302"/>
        <v>0</v>
      </c>
      <c r="CH186" s="64">
        <f t="shared" si="303"/>
        <v>97.290010000000052</v>
      </c>
      <c r="CI186" s="64">
        <f t="shared" si="304"/>
        <v>0</v>
      </c>
      <c r="CJ186" s="64">
        <f t="shared" si="427"/>
        <v>0</v>
      </c>
      <c r="CK186" s="66"/>
      <c r="CL186" s="67"/>
      <c r="CM186" s="67"/>
      <c r="CN186" s="64">
        <f t="shared" si="428"/>
        <v>0</v>
      </c>
      <c r="CO186" s="64"/>
      <c r="CP186" s="65"/>
      <c r="CQ186" s="64"/>
      <c r="CR186" s="73"/>
      <c r="CS186" s="64">
        <f t="shared" si="429"/>
        <v>0</v>
      </c>
      <c r="CT186" s="64"/>
      <c r="CU186" s="65"/>
      <c r="CV186" s="64"/>
      <c r="CW186" s="73"/>
      <c r="CX186" s="64">
        <f t="shared" si="430"/>
        <v>0</v>
      </c>
      <c r="CY186" s="64">
        <f t="shared" si="431"/>
        <v>0</v>
      </c>
      <c r="CZ186" s="64">
        <f t="shared" si="431"/>
        <v>0</v>
      </c>
      <c r="DA186" s="64">
        <f t="shared" si="431"/>
        <v>0</v>
      </c>
      <c r="DB186" s="64">
        <f t="shared" si="431"/>
        <v>0</v>
      </c>
      <c r="DC186" s="64"/>
      <c r="DD186" s="64"/>
      <c r="DE186" s="64"/>
      <c r="DF186" s="64">
        <f t="shared" si="432"/>
        <v>97.290010000000052</v>
      </c>
      <c r="DH186" s="64">
        <f t="shared" si="433"/>
        <v>648.6</v>
      </c>
      <c r="DI186" s="64">
        <f t="shared" si="434"/>
        <v>551.30998999999997</v>
      </c>
      <c r="DK186" s="64"/>
      <c r="DL186" s="64"/>
      <c r="DN186" s="64"/>
      <c r="DQ186" s="64">
        <f t="shared" si="435"/>
        <v>551.30998999999997</v>
      </c>
      <c r="DR186" s="64"/>
      <c r="DS186" s="74">
        <v>551.30998999999997</v>
      </c>
      <c r="DT186" s="64"/>
      <c r="DU186" s="73"/>
      <c r="DV186" s="64">
        <f t="shared" si="436"/>
        <v>0</v>
      </c>
      <c r="DW186" s="64"/>
      <c r="DX186" s="64"/>
      <c r="DY186" s="64"/>
      <c r="DZ186" s="64"/>
      <c r="EA186" s="375"/>
      <c r="EB186" s="375"/>
      <c r="EC186" s="375"/>
      <c r="ED186" s="375"/>
      <c r="EE186" s="375"/>
      <c r="EF186" s="375"/>
      <c r="EG186" s="375"/>
      <c r="EH186" s="375"/>
      <c r="EI186" s="375"/>
      <c r="EJ186" s="375"/>
      <c r="EK186" s="375"/>
      <c r="EL186" s="375"/>
      <c r="EM186" s="375"/>
      <c r="EN186" s="375"/>
      <c r="EO186" s="375"/>
      <c r="EP186" s="375"/>
      <c r="EQ186" s="375"/>
      <c r="ER186" s="375"/>
      <c r="ES186" s="375"/>
      <c r="ET186" s="375"/>
      <c r="EU186" s="375"/>
      <c r="EV186" s="375"/>
      <c r="EW186" s="375"/>
      <c r="EX186" s="375"/>
      <c r="EY186" s="375"/>
      <c r="EZ186" s="375"/>
      <c r="FA186" s="375"/>
      <c r="FB186" s="375"/>
      <c r="FC186" s="375"/>
      <c r="FD186" s="375"/>
      <c r="FE186" s="375"/>
      <c r="FF186" s="375"/>
      <c r="FG186" s="375"/>
      <c r="FH186" s="375"/>
      <c r="FI186" s="375"/>
      <c r="FJ186" s="375"/>
      <c r="FK186" s="375"/>
      <c r="FL186" s="375"/>
      <c r="FM186" s="375"/>
      <c r="FN186" s="375"/>
      <c r="FO186" s="375"/>
      <c r="FP186" s="375"/>
      <c r="FQ186" s="375"/>
      <c r="FR186" s="375"/>
      <c r="FS186" s="375"/>
      <c r="FT186" s="375"/>
      <c r="FU186" s="375"/>
      <c r="FV186" s="375"/>
      <c r="FW186" s="375"/>
      <c r="FX186" s="375"/>
      <c r="FY186" s="375"/>
      <c r="FZ186" s="375"/>
      <c r="GA186" s="375"/>
      <c r="GB186" s="375"/>
      <c r="GC186" s="375"/>
      <c r="GD186" s="375"/>
      <c r="GE186" s="375"/>
      <c r="GF186" s="375"/>
      <c r="GG186" s="375"/>
      <c r="GH186" s="375"/>
      <c r="GI186" s="375"/>
      <c r="GJ186" s="375"/>
      <c r="GK186" s="375"/>
      <c r="GL186" s="375"/>
      <c r="GM186" s="375"/>
      <c r="GN186" s="375"/>
      <c r="GO186" s="375"/>
      <c r="GP186" s="375"/>
      <c r="GQ186" s="375"/>
      <c r="GR186" s="375"/>
    </row>
    <row r="187" spans="1:200" s="61" customFormat="1" ht="15.75" customHeight="1" x14ac:dyDescent="0.3">
      <c r="A187" s="280"/>
      <c r="B187" s="281"/>
      <c r="C187" s="282"/>
      <c r="D187" s="282">
        <v>1</v>
      </c>
      <c r="E187" s="4">
        <v>157</v>
      </c>
      <c r="F187" s="281"/>
      <c r="G187" s="282"/>
      <c r="H187" s="282">
        <v>1</v>
      </c>
      <c r="I187" s="4"/>
      <c r="J187" s="283"/>
      <c r="K187" s="283"/>
      <c r="L187" s="286"/>
      <c r="M187" s="4">
        <v>154</v>
      </c>
      <c r="N187" s="62" t="s">
        <v>134</v>
      </c>
      <c r="O187" s="62" t="s">
        <v>448</v>
      </c>
      <c r="P187" s="62" t="s">
        <v>450</v>
      </c>
      <c r="Q187" s="60">
        <f t="shared" si="305"/>
        <v>0</v>
      </c>
      <c r="R187" s="60">
        <f t="shared" si="306"/>
        <v>0.24399999999991451</v>
      </c>
      <c r="S187" s="60">
        <f t="shared" si="307"/>
        <v>0</v>
      </c>
      <c r="T187" s="60">
        <v>1</v>
      </c>
      <c r="U187" s="60">
        <v>3</v>
      </c>
      <c r="V187" s="64">
        <f t="shared" si="415"/>
        <v>1177.5999999999999</v>
      </c>
      <c r="W187" s="64"/>
      <c r="X187" s="65">
        <v>1177.5999999999999</v>
      </c>
      <c r="Y187" s="64"/>
      <c r="Z187" s="73"/>
      <c r="AA187" s="64">
        <f t="shared" si="416"/>
        <v>1177.5999999999999</v>
      </c>
      <c r="AB187" s="64"/>
      <c r="AC187" s="65">
        <v>1177.5999999999999</v>
      </c>
      <c r="AD187" s="64"/>
      <c r="AE187" s="73"/>
      <c r="AF187" s="64">
        <f t="shared" si="417"/>
        <v>1177.5999999999999</v>
      </c>
      <c r="AG187" s="64"/>
      <c r="AH187" s="65">
        <v>1177.5999999999999</v>
      </c>
      <c r="AI187" s="64"/>
      <c r="AJ187" s="73"/>
      <c r="AK187" s="64">
        <f t="shared" si="418"/>
        <v>512</v>
      </c>
      <c r="AL187" s="64"/>
      <c r="AM187" s="65">
        <v>512</v>
      </c>
      <c r="AN187" s="64"/>
      <c r="AO187" s="107"/>
      <c r="AP187" s="60" t="s">
        <v>465</v>
      </c>
      <c r="AQ187" s="64">
        <f t="shared" si="419"/>
        <v>1177.5999999999999</v>
      </c>
      <c r="AR187" s="64"/>
      <c r="AS187" s="65">
        <f>512+665.6</f>
        <v>1177.5999999999999</v>
      </c>
      <c r="AT187" s="64"/>
      <c r="AU187" s="64"/>
      <c r="AV187" s="64">
        <f t="shared" si="293"/>
        <v>0</v>
      </c>
      <c r="AW187" s="64">
        <f t="shared" si="294"/>
        <v>0</v>
      </c>
      <c r="AX187" s="64">
        <f t="shared" si="295"/>
        <v>0</v>
      </c>
      <c r="AY187" s="64">
        <f t="shared" si="296"/>
        <v>0</v>
      </c>
      <c r="AZ187" s="64" t="e">
        <f>#REF!-AU187</f>
        <v>#REF!</v>
      </c>
      <c r="BA187" s="64">
        <f t="shared" si="420"/>
        <v>1177.5999999999999</v>
      </c>
      <c r="BB187" s="64"/>
      <c r="BC187" s="65">
        <f>512+665.6</f>
        <v>1177.5999999999999</v>
      </c>
      <c r="BD187" s="64"/>
      <c r="BE187" s="64"/>
      <c r="BF187" s="64">
        <f t="shared" si="421"/>
        <v>0</v>
      </c>
      <c r="BG187" s="64"/>
      <c r="BH187" s="65"/>
      <c r="BI187" s="64"/>
      <c r="BJ187" s="64"/>
      <c r="BK187" s="64">
        <f t="shared" si="422"/>
        <v>1177.5999999999999</v>
      </c>
      <c r="BL187" s="64"/>
      <c r="BM187" s="65">
        <f>512+665.6</f>
        <v>1177.5999999999999</v>
      </c>
      <c r="BN187" s="64"/>
      <c r="BO187" s="64"/>
      <c r="BP187" s="64">
        <f t="shared" si="423"/>
        <v>1177.356</v>
      </c>
      <c r="BQ187" s="64"/>
      <c r="BR187" s="74">
        <f>290.637+511.719+127.5+247.5</f>
        <v>1177.356</v>
      </c>
      <c r="BS187" s="64"/>
      <c r="BT187" s="64"/>
      <c r="BU187" s="64">
        <f t="shared" si="424"/>
        <v>392.45303999999999</v>
      </c>
      <c r="BV187" s="64"/>
      <c r="BW187" s="64">
        <f>96.8792+170.57384+82.5+42.5</f>
        <v>392.45303999999999</v>
      </c>
      <c r="BX187" s="64"/>
      <c r="BY187" s="64"/>
      <c r="BZ187" s="60">
        <f t="shared" si="425"/>
        <v>1569.8090400000001</v>
      </c>
      <c r="CA187" s="64">
        <f t="shared" si="297"/>
        <v>1569.8090400000001</v>
      </c>
      <c r="CB187" s="64">
        <f t="shared" si="298"/>
        <v>0</v>
      </c>
      <c r="CC187" s="64">
        <f t="shared" si="299"/>
        <v>1569.8090400000001</v>
      </c>
      <c r="CD187" s="64">
        <f t="shared" si="300"/>
        <v>0</v>
      </c>
      <c r="CE187" s="64">
        <f t="shared" si="426"/>
        <v>0</v>
      </c>
      <c r="CF187" s="64">
        <f t="shared" si="301"/>
        <v>0.24399999999991451</v>
      </c>
      <c r="CG187" s="64">
        <f t="shared" si="302"/>
        <v>0</v>
      </c>
      <c r="CH187" s="64">
        <f t="shared" si="303"/>
        <v>0.24399999999991451</v>
      </c>
      <c r="CI187" s="64">
        <f t="shared" si="304"/>
        <v>0</v>
      </c>
      <c r="CJ187" s="64">
        <f t="shared" si="427"/>
        <v>0</v>
      </c>
      <c r="CK187" s="66"/>
      <c r="CL187" s="67"/>
      <c r="CM187" s="67"/>
      <c r="CN187" s="64">
        <f t="shared" si="428"/>
        <v>0</v>
      </c>
      <c r="CO187" s="64"/>
      <c r="CP187" s="65"/>
      <c r="CQ187" s="64"/>
      <c r="CR187" s="64"/>
      <c r="CS187" s="64">
        <f t="shared" si="429"/>
        <v>0</v>
      </c>
      <c r="CT187" s="64"/>
      <c r="CU187" s="65"/>
      <c r="CV187" s="64"/>
      <c r="CW187" s="64"/>
      <c r="CX187" s="64">
        <f t="shared" si="430"/>
        <v>0</v>
      </c>
      <c r="CY187" s="64">
        <f t="shared" si="431"/>
        <v>0</v>
      </c>
      <c r="CZ187" s="64">
        <f t="shared" si="431"/>
        <v>0</v>
      </c>
      <c r="DA187" s="64">
        <f t="shared" si="431"/>
        <v>0</v>
      </c>
      <c r="DB187" s="64">
        <f t="shared" si="431"/>
        <v>0</v>
      </c>
      <c r="DC187" s="64"/>
      <c r="DD187" s="64"/>
      <c r="DE187" s="64"/>
      <c r="DF187" s="64">
        <f t="shared" si="432"/>
        <v>0.24399999999991451</v>
      </c>
      <c r="DH187" s="64">
        <f t="shared" si="433"/>
        <v>1177.5999999999999</v>
      </c>
      <c r="DI187" s="64">
        <f t="shared" si="434"/>
        <v>1177.356</v>
      </c>
      <c r="DK187" s="64"/>
      <c r="DL187" s="64"/>
      <c r="DN187" s="64"/>
      <c r="DQ187" s="64">
        <f t="shared" si="435"/>
        <v>1177.356</v>
      </c>
      <c r="DR187" s="64"/>
      <c r="DS187" s="74">
        <f>290.637+511.719+127.5+247.5</f>
        <v>1177.356</v>
      </c>
      <c r="DT187" s="64"/>
      <c r="DU187" s="64"/>
      <c r="DV187" s="64">
        <f t="shared" si="436"/>
        <v>267.45303999999999</v>
      </c>
      <c r="DW187" s="64"/>
      <c r="DX187" s="64">
        <v>267.45303999999999</v>
      </c>
      <c r="DY187" s="64"/>
      <c r="DZ187" s="64"/>
      <c r="EA187" s="375"/>
      <c r="EB187" s="375"/>
      <c r="EC187" s="375"/>
      <c r="ED187" s="375"/>
      <c r="EE187" s="375"/>
      <c r="EF187" s="375"/>
      <c r="EG187" s="375"/>
      <c r="EH187" s="375"/>
      <c r="EI187" s="375"/>
      <c r="EJ187" s="375"/>
      <c r="EK187" s="375"/>
      <c r="EL187" s="375"/>
      <c r="EM187" s="375"/>
      <c r="EN187" s="375"/>
      <c r="EO187" s="375"/>
      <c r="EP187" s="375"/>
      <c r="EQ187" s="375"/>
      <c r="ER187" s="375"/>
      <c r="ES187" s="375"/>
      <c r="ET187" s="375"/>
      <c r="EU187" s="375"/>
      <c r="EV187" s="375"/>
      <c r="EW187" s="375"/>
      <c r="EX187" s="375"/>
      <c r="EY187" s="375"/>
      <c r="EZ187" s="375"/>
      <c r="FA187" s="375"/>
      <c r="FB187" s="375"/>
      <c r="FC187" s="375"/>
      <c r="FD187" s="375"/>
      <c r="FE187" s="375"/>
      <c r="FF187" s="375"/>
      <c r="FG187" s="375"/>
      <c r="FH187" s="375"/>
      <c r="FI187" s="375"/>
      <c r="FJ187" s="375"/>
      <c r="FK187" s="375"/>
      <c r="FL187" s="375"/>
      <c r="FM187" s="375"/>
      <c r="FN187" s="375"/>
      <c r="FO187" s="375"/>
      <c r="FP187" s="375"/>
      <c r="FQ187" s="375"/>
      <c r="FR187" s="375"/>
      <c r="FS187" s="375"/>
      <c r="FT187" s="375"/>
      <c r="FU187" s="375"/>
      <c r="FV187" s="375"/>
      <c r="FW187" s="375"/>
      <c r="FX187" s="375"/>
      <c r="FY187" s="375"/>
      <c r="FZ187" s="375"/>
      <c r="GA187" s="375"/>
      <c r="GB187" s="375"/>
      <c r="GC187" s="375"/>
      <c r="GD187" s="375"/>
      <c r="GE187" s="375"/>
      <c r="GF187" s="375"/>
      <c r="GG187" s="375"/>
      <c r="GH187" s="375"/>
      <c r="GI187" s="375"/>
      <c r="GJ187" s="375"/>
      <c r="GK187" s="375"/>
      <c r="GL187" s="375"/>
      <c r="GM187" s="375"/>
      <c r="GN187" s="375"/>
      <c r="GO187" s="375"/>
      <c r="GP187" s="375"/>
      <c r="GQ187" s="375"/>
      <c r="GR187" s="375"/>
    </row>
    <row r="188" spans="1:200" s="61" customFormat="1" ht="15.75" customHeight="1" x14ac:dyDescent="0.3">
      <c r="A188" s="280"/>
      <c r="B188" s="281"/>
      <c r="C188" s="282"/>
      <c r="D188" s="282">
        <v>1</v>
      </c>
      <c r="E188" s="4">
        <v>158</v>
      </c>
      <c r="F188" s="281"/>
      <c r="G188" s="282"/>
      <c r="H188" s="282"/>
      <c r="I188" s="4"/>
      <c r="J188" s="283"/>
      <c r="K188" s="283"/>
      <c r="L188" s="286"/>
      <c r="M188" s="4">
        <v>155</v>
      </c>
      <c r="N188" s="62" t="s">
        <v>135</v>
      </c>
      <c r="O188" s="62" t="s">
        <v>448</v>
      </c>
      <c r="P188" s="62" t="s">
        <v>448</v>
      </c>
      <c r="Q188" s="60">
        <f t="shared" si="305"/>
        <v>0</v>
      </c>
      <c r="R188" s="60">
        <f t="shared" si="306"/>
        <v>38.090000000000032</v>
      </c>
      <c r="S188" s="60">
        <f t="shared" si="307"/>
        <v>0</v>
      </c>
      <c r="T188" s="60">
        <v>1</v>
      </c>
      <c r="U188" s="60">
        <v>1</v>
      </c>
      <c r="V188" s="64">
        <f t="shared" si="415"/>
        <v>441.6</v>
      </c>
      <c r="W188" s="64"/>
      <c r="X188" s="65">
        <v>441.6</v>
      </c>
      <c r="Y188" s="64"/>
      <c r="Z188" s="73"/>
      <c r="AA188" s="64">
        <f t="shared" si="416"/>
        <v>441.6</v>
      </c>
      <c r="AB188" s="64"/>
      <c r="AC188" s="65">
        <v>441.6</v>
      </c>
      <c r="AD188" s="64"/>
      <c r="AE188" s="73"/>
      <c r="AF188" s="64">
        <f t="shared" si="417"/>
        <v>441.6</v>
      </c>
      <c r="AG188" s="64"/>
      <c r="AH188" s="65">
        <v>441.6</v>
      </c>
      <c r="AI188" s="64"/>
      <c r="AJ188" s="73"/>
      <c r="AK188" s="64">
        <f t="shared" si="418"/>
        <v>192</v>
      </c>
      <c r="AL188" s="64"/>
      <c r="AM188" s="65">
        <v>192</v>
      </c>
      <c r="AN188" s="64"/>
      <c r="AO188" s="107"/>
      <c r="AP188" s="60" t="s">
        <v>498</v>
      </c>
      <c r="AQ188" s="64">
        <f t="shared" si="419"/>
        <v>441.6</v>
      </c>
      <c r="AR188" s="64"/>
      <c r="AS188" s="65">
        <v>441.6</v>
      </c>
      <c r="AT188" s="64"/>
      <c r="AU188" s="64"/>
      <c r="AV188" s="64">
        <f t="shared" si="293"/>
        <v>0</v>
      </c>
      <c r="AW188" s="64">
        <f t="shared" si="294"/>
        <v>0</v>
      </c>
      <c r="AX188" s="64">
        <f t="shared" si="295"/>
        <v>0</v>
      </c>
      <c r="AY188" s="64">
        <f t="shared" si="296"/>
        <v>0</v>
      </c>
      <c r="AZ188" s="64" t="e">
        <f>#REF!-AU188</f>
        <v>#REF!</v>
      </c>
      <c r="BA188" s="64">
        <f t="shared" si="420"/>
        <v>441.6</v>
      </c>
      <c r="BB188" s="64"/>
      <c r="BC188" s="65">
        <v>441.6</v>
      </c>
      <c r="BD188" s="64"/>
      <c r="BE188" s="64"/>
      <c r="BF188" s="64">
        <f t="shared" si="421"/>
        <v>0</v>
      </c>
      <c r="BG188" s="64"/>
      <c r="BH188" s="64"/>
      <c r="BI188" s="64"/>
      <c r="BJ188" s="64"/>
      <c r="BK188" s="64">
        <f t="shared" si="422"/>
        <v>441.6</v>
      </c>
      <c r="BL188" s="64"/>
      <c r="BM188" s="65">
        <v>441.6</v>
      </c>
      <c r="BN188" s="64"/>
      <c r="BO188" s="64"/>
      <c r="BP188" s="64">
        <f t="shared" si="423"/>
        <v>403.51</v>
      </c>
      <c r="BQ188" s="64"/>
      <c r="BR188" s="64">
        <f>206.571+196.939</f>
        <v>403.51</v>
      </c>
      <c r="BS188" s="64"/>
      <c r="BT188" s="64"/>
      <c r="BU188" s="64">
        <f t="shared" si="424"/>
        <v>137.09</v>
      </c>
      <c r="BV188" s="64"/>
      <c r="BW188" s="64">
        <f>70.037+67.053</f>
        <v>137.09</v>
      </c>
      <c r="BX188" s="64"/>
      <c r="BY188" s="64"/>
      <c r="BZ188" s="60">
        <f t="shared" si="425"/>
        <v>540.6</v>
      </c>
      <c r="CA188" s="64">
        <f t="shared" si="297"/>
        <v>540.6</v>
      </c>
      <c r="CB188" s="64">
        <f t="shared" si="298"/>
        <v>0</v>
      </c>
      <c r="CC188" s="64">
        <f t="shared" si="299"/>
        <v>540.6</v>
      </c>
      <c r="CD188" s="64">
        <f t="shared" si="300"/>
        <v>0</v>
      </c>
      <c r="CE188" s="64">
        <f t="shared" si="426"/>
        <v>0</v>
      </c>
      <c r="CF188" s="64">
        <f t="shared" si="301"/>
        <v>38.090000000000032</v>
      </c>
      <c r="CG188" s="64">
        <f t="shared" si="302"/>
        <v>0</v>
      </c>
      <c r="CH188" s="64">
        <f t="shared" si="303"/>
        <v>38.090000000000032</v>
      </c>
      <c r="CI188" s="64">
        <f t="shared" si="304"/>
        <v>0</v>
      </c>
      <c r="CJ188" s="64">
        <f t="shared" si="427"/>
        <v>0</v>
      </c>
      <c r="CK188" s="66"/>
      <c r="CL188" s="67"/>
      <c r="CM188" s="67"/>
      <c r="CN188" s="64">
        <f t="shared" si="428"/>
        <v>0</v>
      </c>
      <c r="CO188" s="64"/>
      <c r="CP188" s="64"/>
      <c r="CQ188" s="64"/>
      <c r="CR188" s="64"/>
      <c r="CS188" s="64">
        <f t="shared" si="429"/>
        <v>0</v>
      </c>
      <c r="CT188" s="64"/>
      <c r="CU188" s="64"/>
      <c r="CV188" s="64"/>
      <c r="CW188" s="64"/>
      <c r="CX188" s="64">
        <f t="shared" si="430"/>
        <v>0</v>
      </c>
      <c r="CY188" s="64">
        <f t="shared" si="431"/>
        <v>0</v>
      </c>
      <c r="CZ188" s="64">
        <f t="shared" si="431"/>
        <v>0</v>
      </c>
      <c r="DA188" s="64">
        <f t="shared" si="431"/>
        <v>0</v>
      </c>
      <c r="DB188" s="64">
        <f t="shared" si="431"/>
        <v>0</v>
      </c>
      <c r="DC188" s="64"/>
      <c r="DD188" s="64"/>
      <c r="DE188" s="64"/>
      <c r="DF188" s="64">
        <f t="shared" si="432"/>
        <v>38.090000000000032</v>
      </c>
      <c r="DH188" s="64">
        <f t="shared" si="433"/>
        <v>441.6</v>
      </c>
      <c r="DI188" s="64">
        <f t="shared" si="434"/>
        <v>403.51</v>
      </c>
      <c r="DK188" s="64"/>
      <c r="DL188" s="64"/>
      <c r="DN188" s="64"/>
      <c r="DQ188" s="64">
        <f t="shared" si="435"/>
        <v>403.51</v>
      </c>
      <c r="DR188" s="64"/>
      <c r="DS188" s="64">
        <f>206.571+196.939</f>
        <v>403.51</v>
      </c>
      <c r="DT188" s="64"/>
      <c r="DU188" s="64"/>
      <c r="DV188" s="64">
        <f t="shared" si="436"/>
        <v>70.037000000000006</v>
      </c>
      <c r="DW188" s="64"/>
      <c r="DX188" s="64">
        <v>70.037000000000006</v>
      </c>
      <c r="DY188" s="64"/>
      <c r="DZ188" s="64"/>
      <c r="EA188" s="375"/>
      <c r="EB188" s="375"/>
      <c r="EC188" s="375"/>
      <c r="ED188" s="375"/>
      <c r="EE188" s="375"/>
      <c r="EF188" s="375"/>
      <c r="EG188" s="375"/>
      <c r="EH188" s="375"/>
      <c r="EI188" s="375"/>
      <c r="EJ188" s="375"/>
      <c r="EK188" s="375"/>
      <c r="EL188" s="375"/>
      <c r="EM188" s="375"/>
      <c r="EN188" s="375"/>
      <c r="EO188" s="375"/>
      <c r="EP188" s="375"/>
      <c r="EQ188" s="375"/>
      <c r="ER188" s="375"/>
      <c r="ES188" s="375"/>
      <c r="ET188" s="375"/>
      <c r="EU188" s="375"/>
      <c r="EV188" s="375"/>
      <c r="EW188" s="375"/>
      <c r="EX188" s="375"/>
      <c r="EY188" s="375"/>
      <c r="EZ188" s="375"/>
      <c r="FA188" s="375"/>
      <c r="FB188" s="375"/>
      <c r="FC188" s="375"/>
      <c r="FD188" s="375"/>
      <c r="FE188" s="375"/>
      <c r="FF188" s="375"/>
      <c r="FG188" s="375"/>
      <c r="FH188" s="375"/>
      <c r="FI188" s="375"/>
      <c r="FJ188" s="375"/>
      <c r="FK188" s="375"/>
      <c r="FL188" s="375"/>
      <c r="FM188" s="375"/>
      <c r="FN188" s="375"/>
      <c r="FO188" s="375"/>
      <c r="FP188" s="375"/>
      <c r="FQ188" s="375"/>
      <c r="FR188" s="375"/>
      <c r="FS188" s="375"/>
      <c r="FT188" s="375"/>
      <c r="FU188" s="375"/>
      <c r="FV188" s="375"/>
      <c r="FW188" s="375"/>
      <c r="FX188" s="375"/>
      <c r="FY188" s="375"/>
      <c r="FZ188" s="375"/>
      <c r="GA188" s="375"/>
      <c r="GB188" s="375"/>
      <c r="GC188" s="375"/>
      <c r="GD188" s="375"/>
      <c r="GE188" s="375"/>
      <c r="GF188" s="375"/>
      <c r="GG188" s="375"/>
      <c r="GH188" s="375"/>
      <c r="GI188" s="375"/>
      <c r="GJ188" s="375"/>
      <c r="GK188" s="375"/>
      <c r="GL188" s="375"/>
      <c r="GM188" s="375"/>
      <c r="GN188" s="375"/>
      <c r="GO188" s="375"/>
      <c r="GP188" s="375"/>
      <c r="GQ188" s="375"/>
      <c r="GR188" s="375"/>
    </row>
    <row r="189" spans="1:200" s="61" customFormat="1" ht="15.75" customHeight="1" x14ac:dyDescent="0.3">
      <c r="A189" s="280"/>
      <c r="B189" s="281"/>
      <c r="C189" s="282"/>
      <c r="D189" s="282">
        <v>1</v>
      </c>
      <c r="E189" s="4">
        <v>159</v>
      </c>
      <c r="F189" s="281"/>
      <c r="G189" s="282"/>
      <c r="H189" s="282">
        <v>1</v>
      </c>
      <c r="I189" s="4"/>
      <c r="J189" s="283"/>
      <c r="K189" s="283"/>
      <c r="L189" s="286"/>
      <c r="M189" s="4">
        <v>156</v>
      </c>
      <c r="N189" s="62" t="s">
        <v>136</v>
      </c>
      <c r="O189" s="62" t="s">
        <v>449</v>
      </c>
      <c r="P189" s="62" t="s">
        <v>450</v>
      </c>
      <c r="Q189" s="60">
        <f t="shared" si="305"/>
        <v>0</v>
      </c>
      <c r="R189" s="60">
        <f t="shared" si="306"/>
        <v>17.605490000000032</v>
      </c>
      <c r="S189" s="60">
        <f t="shared" si="307"/>
        <v>0</v>
      </c>
      <c r="T189" s="60">
        <v>1</v>
      </c>
      <c r="U189" s="60">
        <v>2</v>
      </c>
      <c r="V189" s="64">
        <f t="shared" si="415"/>
        <v>609.5</v>
      </c>
      <c r="W189" s="64"/>
      <c r="X189" s="65">
        <v>609.5</v>
      </c>
      <c r="Y189" s="64"/>
      <c r="Z189" s="73"/>
      <c r="AA189" s="64">
        <f t="shared" si="416"/>
        <v>609.5</v>
      </c>
      <c r="AB189" s="64"/>
      <c r="AC189" s="65">
        <v>609.5</v>
      </c>
      <c r="AD189" s="64"/>
      <c r="AE189" s="73"/>
      <c r="AF189" s="64">
        <f t="shared" si="417"/>
        <v>609.5</v>
      </c>
      <c r="AG189" s="64"/>
      <c r="AH189" s="65">
        <v>609.5</v>
      </c>
      <c r="AI189" s="64"/>
      <c r="AJ189" s="73"/>
      <c r="AK189" s="64">
        <f t="shared" si="418"/>
        <v>265</v>
      </c>
      <c r="AL189" s="64"/>
      <c r="AM189" s="65">
        <v>265</v>
      </c>
      <c r="AN189" s="64"/>
      <c r="AO189" s="107"/>
      <c r="AP189" s="60" t="s">
        <v>463</v>
      </c>
      <c r="AQ189" s="64">
        <f t="shared" si="419"/>
        <v>609.5</v>
      </c>
      <c r="AR189" s="64"/>
      <c r="AS189" s="65">
        <f>265+344.5</f>
        <v>609.5</v>
      </c>
      <c r="AT189" s="64"/>
      <c r="AU189" s="73"/>
      <c r="AV189" s="64">
        <f t="shared" si="293"/>
        <v>0</v>
      </c>
      <c r="AW189" s="64">
        <f t="shared" si="294"/>
        <v>0</v>
      </c>
      <c r="AX189" s="64">
        <f t="shared" si="295"/>
        <v>0</v>
      </c>
      <c r="AY189" s="64">
        <f t="shared" si="296"/>
        <v>0</v>
      </c>
      <c r="AZ189" s="64" t="e">
        <f>#REF!-AU189</f>
        <v>#REF!</v>
      </c>
      <c r="BA189" s="64">
        <f t="shared" si="420"/>
        <v>609.5</v>
      </c>
      <c r="BB189" s="64"/>
      <c r="BC189" s="65">
        <f>265+344.5</f>
        <v>609.5</v>
      </c>
      <c r="BD189" s="64"/>
      <c r="BE189" s="73"/>
      <c r="BF189" s="64">
        <f t="shared" si="421"/>
        <v>0</v>
      </c>
      <c r="BG189" s="64"/>
      <c r="BH189" s="73"/>
      <c r="BI189" s="64"/>
      <c r="BJ189" s="73"/>
      <c r="BK189" s="64">
        <f t="shared" si="422"/>
        <v>609.5</v>
      </c>
      <c r="BL189" s="64"/>
      <c r="BM189" s="65">
        <f>265+344.5</f>
        <v>609.5</v>
      </c>
      <c r="BN189" s="64"/>
      <c r="BO189" s="74"/>
      <c r="BP189" s="64">
        <f t="shared" si="423"/>
        <v>591.89450999999997</v>
      </c>
      <c r="BQ189" s="64"/>
      <c r="BR189" s="74">
        <v>591.89450999999997</v>
      </c>
      <c r="BS189" s="64"/>
      <c r="BT189" s="73"/>
      <c r="BU189" s="64">
        <f t="shared" si="424"/>
        <v>207.96298999999999</v>
      </c>
      <c r="BV189" s="64"/>
      <c r="BW189" s="64">
        <v>207.96298999999999</v>
      </c>
      <c r="BX189" s="64"/>
      <c r="BY189" s="64"/>
      <c r="BZ189" s="60">
        <f t="shared" si="425"/>
        <v>799.85749999999996</v>
      </c>
      <c r="CA189" s="64">
        <f t="shared" si="297"/>
        <v>799.85749999999996</v>
      </c>
      <c r="CB189" s="64">
        <f t="shared" si="298"/>
        <v>0</v>
      </c>
      <c r="CC189" s="64">
        <f t="shared" si="299"/>
        <v>799.85749999999996</v>
      </c>
      <c r="CD189" s="64">
        <f t="shared" si="300"/>
        <v>0</v>
      </c>
      <c r="CE189" s="64">
        <f t="shared" si="426"/>
        <v>0</v>
      </c>
      <c r="CF189" s="64">
        <f t="shared" si="301"/>
        <v>17.605490000000032</v>
      </c>
      <c r="CG189" s="64">
        <f t="shared" si="302"/>
        <v>0</v>
      </c>
      <c r="CH189" s="64">
        <f t="shared" si="303"/>
        <v>17.605490000000032</v>
      </c>
      <c r="CI189" s="64">
        <f t="shared" si="304"/>
        <v>0</v>
      </c>
      <c r="CJ189" s="64">
        <f t="shared" si="427"/>
        <v>0</v>
      </c>
      <c r="CK189" s="66"/>
      <c r="CL189" s="67"/>
      <c r="CM189" s="67"/>
      <c r="CN189" s="64">
        <f t="shared" si="428"/>
        <v>0</v>
      </c>
      <c r="CO189" s="64"/>
      <c r="CP189" s="73"/>
      <c r="CQ189" s="64"/>
      <c r="CR189" s="73"/>
      <c r="CS189" s="64">
        <f t="shared" si="429"/>
        <v>0</v>
      </c>
      <c r="CT189" s="64"/>
      <c r="CU189" s="73"/>
      <c r="CV189" s="64"/>
      <c r="CW189" s="73"/>
      <c r="CX189" s="64">
        <f t="shared" si="430"/>
        <v>0</v>
      </c>
      <c r="CY189" s="64">
        <f t="shared" si="431"/>
        <v>0</v>
      </c>
      <c r="CZ189" s="64">
        <f t="shared" si="431"/>
        <v>0</v>
      </c>
      <c r="DA189" s="64">
        <f t="shared" si="431"/>
        <v>0</v>
      </c>
      <c r="DB189" s="64">
        <f t="shared" si="431"/>
        <v>0</v>
      </c>
      <c r="DC189" s="64"/>
      <c r="DD189" s="64"/>
      <c r="DE189" s="64"/>
      <c r="DF189" s="64">
        <f t="shared" si="432"/>
        <v>17.605490000000032</v>
      </c>
      <c r="DH189" s="64">
        <f t="shared" si="433"/>
        <v>609.5</v>
      </c>
      <c r="DI189" s="64">
        <f t="shared" si="434"/>
        <v>591.89450999999997</v>
      </c>
      <c r="DK189" s="64"/>
      <c r="DL189" s="64"/>
      <c r="DN189" s="64"/>
      <c r="DQ189" s="64">
        <f t="shared" si="435"/>
        <v>591.89450999999997</v>
      </c>
      <c r="DR189" s="64"/>
      <c r="DS189" s="74">
        <v>591.89450999999997</v>
      </c>
      <c r="DT189" s="64"/>
      <c r="DU189" s="73"/>
      <c r="DV189" s="64">
        <f t="shared" si="436"/>
        <v>207.96298999999999</v>
      </c>
      <c r="DW189" s="64"/>
      <c r="DX189" s="64">
        <v>207.96298999999999</v>
      </c>
      <c r="DY189" s="64"/>
      <c r="DZ189" s="64"/>
      <c r="EA189" s="375"/>
      <c r="EB189" s="375"/>
      <c r="EC189" s="375"/>
      <c r="ED189" s="375"/>
      <c r="EE189" s="375"/>
      <c r="EF189" s="375"/>
      <c r="EG189" s="375"/>
      <c r="EH189" s="375"/>
      <c r="EI189" s="375"/>
      <c r="EJ189" s="375"/>
      <c r="EK189" s="375"/>
      <c r="EL189" s="375"/>
      <c r="EM189" s="375"/>
      <c r="EN189" s="375"/>
      <c r="EO189" s="375"/>
      <c r="EP189" s="375"/>
      <c r="EQ189" s="375"/>
      <c r="ER189" s="375"/>
      <c r="ES189" s="375"/>
      <c r="ET189" s="375"/>
      <c r="EU189" s="375"/>
      <c r="EV189" s="375"/>
      <c r="EW189" s="375"/>
      <c r="EX189" s="375"/>
      <c r="EY189" s="375"/>
      <c r="EZ189" s="375"/>
      <c r="FA189" s="375"/>
      <c r="FB189" s="375"/>
      <c r="FC189" s="375"/>
      <c r="FD189" s="375"/>
      <c r="FE189" s="375"/>
      <c r="FF189" s="375"/>
      <c r="FG189" s="375"/>
      <c r="FH189" s="375"/>
      <c r="FI189" s="375"/>
      <c r="FJ189" s="375"/>
      <c r="FK189" s="375"/>
      <c r="FL189" s="375"/>
      <c r="FM189" s="375"/>
      <c r="FN189" s="375"/>
      <c r="FO189" s="375"/>
      <c r="FP189" s="375"/>
      <c r="FQ189" s="375"/>
      <c r="FR189" s="375"/>
      <c r="FS189" s="375"/>
      <c r="FT189" s="375"/>
      <c r="FU189" s="375"/>
      <c r="FV189" s="375"/>
      <c r="FW189" s="375"/>
      <c r="FX189" s="375"/>
      <c r="FY189" s="375"/>
      <c r="FZ189" s="375"/>
      <c r="GA189" s="375"/>
      <c r="GB189" s="375"/>
      <c r="GC189" s="375"/>
      <c r="GD189" s="375"/>
      <c r="GE189" s="375"/>
      <c r="GF189" s="375"/>
      <c r="GG189" s="375"/>
      <c r="GH189" s="375"/>
      <c r="GI189" s="375"/>
      <c r="GJ189" s="375"/>
      <c r="GK189" s="375"/>
      <c r="GL189" s="375"/>
      <c r="GM189" s="375"/>
      <c r="GN189" s="375"/>
      <c r="GO189" s="375"/>
      <c r="GP189" s="375"/>
      <c r="GQ189" s="375"/>
      <c r="GR189" s="375"/>
    </row>
    <row r="190" spans="1:200" s="61" customFormat="1" ht="15.75" customHeight="1" x14ac:dyDescent="0.3">
      <c r="A190" s="280"/>
      <c r="B190" s="281"/>
      <c r="C190" s="282"/>
      <c r="D190" s="282">
        <v>1</v>
      </c>
      <c r="E190" s="4">
        <v>160</v>
      </c>
      <c r="F190" s="281"/>
      <c r="G190" s="282"/>
      <c r="H190" s="282">
        <v>1</v>
      </c>
      <c r="I190" s="4"/>
      <c r="J190" s="283"/>
      <c r="K190" s="283"/>
      <c r="L190" s="286"/>
      <c r="M190" s="4">
        <v>157</v>
      </c>
      <c r="N190" s="62" t="s">
        <v>137</v>
      </c>
      <c r="O190" s="62" t="s">
        <v>450</v>
      </c>
      <c r="P190" s="62" t="s">
        <v>450</v>
      </c>
      <c r="Q190" s="60">
        <f t="shared" si="305"/>
        <v>0</v>
      </c>
      <c r="R190" s="60">
        <f t="shared" si="306"/>
        <v>0</v>
      </c>
      <c r="S190" s="60">
        <f t="shared" si="307"/>
        <v>0</v>
      </c>
      <c r="T190" s="60">
        <v>1</v>
      </c>
      <c r="U190" s="60">
        <v>2</v>
      </c>
      <c r="V190" s="64">
        <f t="shared" si="415"/>
        <v>759</v>
      </c>
      <c r="W190" s="64"/>
      <c r="X190" s="65">
        <v>759</v>
      </c>
      <c r="Y190" s="64"/>
      <c r="Z190" s="73"/>
      <c r="AA190" s="64">
        <f t="shared" si="416"/>
        <v>759</v>
      </c>
      <c r="AB190" s="64"/>
      <c r="AC190" s="65">
        <v>759</v>
      </c>
      <c r="AD190" s="64"/>
      <c r="AE190" s="73"/>
      <c r="AF190" s="64">
        <f t="shared" si="417"/>
        <v>759</v>
      </c>
      <c r="AG190" s="64"/>
      <c r="AH190" s="65">
        <v>759</v>
      </c>
      <c r="AI190" s="64"/>
      <c r="AJ190" s="73"/>
      <c r="AK190" s="64">
        <f t="shared" si="418"/>
        <v>330</v>
      </c>
      <c r="AL190" s="64"/>
      <c r="AM190" s="65">
        <v>330</v>
      </c>
      <c r="AN190" s="64"/>
      <c r="AO190" s="107"/>
      <c r="AP190" s="60" t="s">
        <v>413</v>
      </c>
      <c r="AQ190" s="64">
        <f t="shared" si="419"/>
        <v>759</v>
      </c>
      <c r="AR190" s="64"/>
      <c r="AS190" s="65">
        <f>330+429</f>
        <v>759</v>
      </c>
      <c r="AT190" s="64"/>
      <c r="AU190" s="73"/>
      <c r="AV190" s="64">
        <f t="shared" si="293"/>
        <v>0</v>
      </c>
      <c r="AW190" s="64">
        <f t="shared" si="294"/>
        <v>0</v>
      </c>
      <c r="AX190" s="64">
        <f t="shared" si="295"/>
        <v>0</v>
      </c>
      <c r="AY190" s="64">
        <f t="shared" si="296"/>
        <v>0</v>
      </c>
      <c r="AZ190" s="64" t="e">
        <f>#REF!-AU190</f>
        <v>#REF!</v>
      </c>
      <c r="BA190" s="64">
        <f t="shared" si="420"/>
        <v>759</v>
      </c>
      <c r="BB190" s="64"/>
      <c r="BC190" s="65">
        <f>330+429</f>
        <v>759</v>
      </c>
      <c r="BD190" s="64"/>
      <c r="BE190" s="73"/>
      <c r="BF190" s="64">
        <f t="shared" si="421"/>
        <v>0</v>
      </c>
      <c r="BG190" s="64"/>
      <c r="BH190" s="65"/>
      <c r="BI190" s="64"/>
      <c r="BJ190" s="73"/>
      <c r="BK190" s="64">
        <f t="shared" si="422"/>
        <v>759</v>
      </c>
      <c r="BL190" s="64"/>
      <c r="BM190" s="65">
        <f>330+429</f>
        <v>759</v>
      </c>
      <c r="BN190" s="64"/>
      <c r="BO190" s="74"/>
      <c r="BP190" s="64">
        <f t="shared" si="423"/>
        <v>759</v>
      </c>
      <c r="BQ190" s="64"/>
      <c r="BR190" s="74">
        <v>759</v>
      </c>
      <c r="BS190" s="64"/>
      <c r="BT190" s="73"/>
      <c r="BU190" s="64">
        <f t="shared" si="424"/>
        <v>356.50106</v>
      </c>
      <c r="BV190" s="64"/>
      <c r="BW190" s="64">
        <v>356.50106</v>
      </c>
      <c r="BX190" s="64"/>
      <c r="BY190" s="64"/>
      <c r="BZ190" s="60">
        <f t="shared" si="425"/>
        <v>1115.5010600000001</v>
      </c>
      <c r="CA190" s="64">
        <f t="shared" si="297"/>
        <v>1115.5010600000001</v>
      </c>
      <c r="CB190" s="64">
        <f t="shared" si="298"/>
        <v>0</v>
      </c>
      <c r="CC190" s="64">
        <f t="shared" si="299"/>
        <v>1115.5010600000001</v>
      </c>
      <c r="CD190" s="64">
        <f t="shared" si="300"/>
        <v>0</v>
      </c>
      <c r="CE190" s="64">
        <f t="shared" si="426"/>
        <v>0</v>
      </c>
      <c r="CF190" s="64">
        <f t="shared" si="301"/>
        <v>0</v>
      </c>
      <c r="CG190" s="64">
        <f t="shared" si="302"/>
        <v>0</v>
      </c>
      <c r="CH190" s="64">
        <f t="shared" si="303"/>
        <v>0</v>
      </c>
      <c r="CI190" s="64">
        <f t="shared" si="304"/>
        <v>0</v>
      </c>
      <c r="CJ190" s="64">
        <f t="shared" si="427"/>
        <v>0</v>
      </c>
      <c r="CK190" s="66"/>
      <c r="CL190" s="67"/>
      <c r="CM190" s="67"/>
      <c r="CN190" s="64">
        <f t="shared" si="428"/>
        <v>0</v>
      </c>
      <c r="CO190" s="64"/>
      <c r="CP190" s="65"/>
      <c r="CQ190" s="64"/>
      <c r="CR190" s="73"/>
      <c r="CS190" s="64">
        <f t="shared" si="429"/>
        <v>0</v>
      </c>
      <c r="CT190" s="64"/>
      <c r="CU190" s="65"/>
      <c r="CV190" s="64"/>
      <c r="CW190" s="73"/>
      <c r="CX190" s="64">
        <f t="shared" si="430"/>
        <v>0</v>
      </c>
      <c r="CY190" s="64">
        <f t="shared" si="431"/>
        <v>0</v>
      </c>
      <c r="CZ190" s="64">
        <f t="shared" si="431"/>
        <v>0</v>
      </c>
      <c r="DA190" s="64">
        <f t="shared" si="431"/>
        <v>0</v>
      </c>
      <c r="DB190" s="64">
        <f t="shared" si="431"/>
        <v>0</v>
      </c>
      <c r="DC190" s="64"/>
      <c r="DD190" s="64"/>
      <c r="DE190" s="64"/>
      <c r="DF190" s="64">
        <f t="shared" si="432"/>
        <v>0</v>
      </c>
      <c r="DH190" s="64">
        <f t="shared" si="433"/>
        <v>759</v>
      </c>
      <c r="DI190" s="64">
        <f t="shared" si="434"/>
        <v>759</v>
      </c>
      <c r="DK190" s="64"/>
      <c r="DL190" s="64"/>
      <c r="DN190" s="64"/>
      <c r="DQ190" s="64">
        <f t="shared" si="435"/>
        <v>759</v>
      </c>
      <c r="DR190" s="64"/>
      <c r="DS190" s="74">
        <v>759</v>
      </c>
      <c r="DT190" s="64"/>
      <c r="DU190" s="73"/>
      <c r="DV190" s="64">
        <f t="shared" si="436"/>
        <v>356.50106</v>
      </c>
      <c r="DW190" s="64"/>
      <c r="DX190" s="64">
        <v>356.50106</v>
      </c>
      <c r="DY190" s="64"/>
      <c r="DZ190" s="64"/>
      <c r="EA190" s="375"/>
      <c r="EB190" s="375"/>
      <c r="EC190" s="375"/>
      <c r="ED190" s="375"/>
      <c r="EE190" s="375"/>
      <c r="EF190" s="375"/>
      <c r="EG190" s="375"/>
      <c r="EH190" s="375"/>
      <c r="EI190" s="375"/>
      <c r="EJ190" s="375"/>
      <c r="EK190" s="375"/>
      <c r="EL190" s="375"/>
      <c r="EM190" s="375"/>
      <c r="EN190" s="375"/>
      <c r="EO190" s="375"/>
      <c r="EP190" s="375"/>
      <c r="EQ190" s="375"/>
      <c r="ER190" s="375"/>
      <c r="ES190" s="375"/>
      <c r="ET190" s="375"/>
      <c r="EU190" s="375"/>
      <c r="EV190" s="375"/>
      <c r="EW190" s="375"/>
      <c r="EX190" s="375"/>
      <c r="EY190" s="375"/>
      <c r="EZ190" s="375"/>
      <c r="FA190" s="375"/>
      <c r="FB190" s="375"/>
      <c r="FC190" s="375"/>
      <c r="FD190" s="375"/>
      <c r="FE190" s="375"/>
      <c r="FF190" s="375"/>
      <c r="FG190" s="375"/>
      <c r="FH190" s="375"/>
      <c r="FI190" s="375"/>
      <c r="FJ190" s="375"/>
      <c r="FK190" s="375"/>
      <c r="FL190" s="375"/>
      <c r="FM190" s="375"/>
      <c r="FN190" s="375"/>
      <c r="FO190" s="375"/>
      <c r="FP190" s="375"/>
      <c r="FQ190" s="375"/>
      <c r="FR190" s="375"/>
      <c r="FS190" s="375"/>
      <c r="FT190" s="375"/>
      <c r="FU190" s="375"/>
      <c r="FV190" s="375"/>
      <c r="FW190" s="375"/>
      <c r="FX190" s="375"/>
      <c r="FY190" s="375"/>
      <c r="FZ190" s="375"/>
      <c r="GA190" s="375"/>
      <c r="GB190" s="375"/>
      <c r="GC190" s="375"/>
      <c r="GD190" s="375"/>
      <c r="GE190" s="375"/>
      <c r="GF190" s="375"/>
      <c r="GG190" s="375"/>
      <c r="GH190" s="375"/>
      <c r="GI190" s="375"/>
      <c r="GJ190" s="375"/>
      <c r="GK190" s="375"/>
      <c r="GL190" s="375"/>
      <c r="GM190" s="375"/>
      <c r="GN190" s="375"/>
      <c r="GO190" s="375"/>
      <c r="GP190" s="375"/>
      <c r="GQ190" s="375"/>
      <c r="GR190" s="375"/>
    </row>
    <row r="191" spans="1:200" s="61" customFormat="1" ht="15.75" customHeight="1" x14ac:dyDescent="0.3">
      <c r="A191" s="280"/>
      <c r="B191" s="281"/>
      <c r="C191" s="282"/>
      <c r="D191" s="282">
        <v>1</v>
      </c>
      <c r="E191" s="4">
        <v>161</v>
      </c>
      <c r="F191" s="281"/>
      <c r="G191" s="282"/>
      <c r="H191" s="282">
        <v>1</v>
      </c>
      <c r="I191" s="4"/>
      <c r="J191" s="283"/>
      <c r="K191" s="283"/>
      <c r="L191" s="286"/>
      <c r="M191" s="4">
        <v>158</v>
      </c>
      <c r="N191" s="62" t="s">
        <v>138</v>
      </c>
      <c r="O191" s="62" t="s">
        <v>448</v>
      </c>
      <c r="P191" s="62">
        <v>0</v>
      </c>
      <c r="Q191" s="60">
        <f t="shared" si="305"/>
        <v>0</v>
      </c>
      <c r="R191" s="60">
        <f t="shared" si="306"/>
        <v>0</v>
      </c>
      <c r="S191" s="60">
        <f t="shared" si="307"/>
        <v>0</v>
      </c>
      <c r="T191" s="60"/>
      <c r="U191" s="60"/>
      <c r="V191" s="64">
        <f t="shared" si="415"/>
        <v>0</v>
      </c>
      <c r="W191" s="64"/>
      <c r="X191" s="65">
        <v>0</v>
      </c>
      <c r="Y191" s="64"/>
      <c r="Z191" s="73"/>
      <c r="AA191" s="64">
        <f t="shared" si="416"/>
        <v>0</v>
      </c>
      <c r="AB191" s="64"/>
      <c r="AC191" s="65">
        <v>0</v>
      </c>
      <c r="AD191" s="64"/>
      <c r="AE191" s="73"/>
      <c r="AF191" s="64">
        <f t="shared" si="417"/>
        <v>0</v>
      </c>
      <c r="AG191" s="64"/>
      <c r="AH191" s="65">
        <v>0</v>
      </c>
      <c r="AI191" s="64"/>
      <c r="AJ191" s="73"/>
      <c r="AK191" s="64">
        <f t="shared" si="418"/>
        <v>132</v>
      </c>
      <c r="AL191" s="64"/>
      <c r="AM191" s="65">
        <v>132</v>
      </c>
      <c r="AN191" s="64"/>
      <c r="AO191" s="107"/>
      <c r="AP191" s="60"/>
      <c r="AQ191" s="64">
        <f t="shared" si="419"/>
        <v>0</v>
      </c>
      <c r="AR191" s="64"/>
      <c r="AS191" s="73"/>
      <c r="AT191" s="64"/>
      <c r="AU191" s="73"/>
      <c r="AV191" s="64">
        <f t="shared" si="293"/>
        <v>0</v>
      </c>
      <c r="AW191" s="64">
        <f t="shared" si="294"/>
        <v>0</v>
      </c>
      <c r="AX191" s="64">
        <f t="shared" si="295"/>
        <v>0</v>
      </c>
      <c r="AY191" s="64">
        <f t="shared" si="296"/>
        <v>0</v>
      </c>
      <c r="AZ191" s="64" t="e">
        <f>#REF!-AU191</f>
        <v>#REF!</v>
      </c>
      <c r="BA191" s="64">
        <f t="shared" si="420"/>
        <v>0</v>
      </c>
      <c r="BB191" s="64"/>
      <c r="BC191" s="73"/>
      <c r="BD191" s="64"/>
      <c r="BE191" s="73"/>
      <c r="BF191" s="64">
        <f t="shared" si="421"/>
        <v>0</v>
      </c>
      <c r="BG191" s="64"/>
      <c r="BH191" s="73"/>
      <c r="BI191" s="64"/>
      <c r="BJ191" s="73"/>
      <c r="BK191" s="64">
        <f t="shared" si="422"/>
        <v>0</v>
      </c>
      <c r="BL191" s="64"/>
      <c r="BM191" s="74"/>
      <c r="BN191" s="64"/>
      <c r="BO191" s="74"/>
      <c r="BP191" s="64">
        <f t="shared" si="423"/>
        <v>0</v>
      </c>
      <c r="BQ191" s="64"/>
      <c r="BR191" s="74"/>
      <c r="BS191" s="64"/>
      <c r="BT191" s="73"/>
      <c r="BU191" s="64">
        <f t="shared" si="424"/>
        <v>0</v>
      </c>
      <c r="BV191" s="64"/>
      <c r="BW191" s="64"/>
      <c r="BX191" s="64"/>
      <c r="BY191" s="64"/>
      <c r="BZ191" s="60">
        <f t="shared" si="425"/>
        <v>0</v>
      </c>
      <c r="CA191" s="64">
        <f t="shared" si="297"/>
        <v>0</v>
      </c>
      <c r="CB191" s="64">
        <f t="shared" si="298"/>
        <v>0</v>
      </c>
      <c r="CC191" s="64">
        <f t="shared" si="299"/>
        <v>0</v>
      </c>
      <c r="CD191" s="64">
        <f t="shared" si="300"/>
        <v>0</v>
      </c>
      <c r="CE191" s="64">
        <f t="shared" si="426"/>
        <v>0</v>
      </c>
      <c r="CF191" s="64">
        <f t="shared" si="301"/>
        <v>0</v>
      </c>
      <c r="CG191" s="64">
        <f t="shared" si="302"/>
        <v>0</v>
      </c>
      <c r="CH191" s="64">
        <f t="shared" si="303"/>
        <v>0</v>
      </c>
      <c r="CI191" s="64">
        <f t="shared" si="304"/>
        <v>0</v>
      </c>
      <c r="CJ191" s="64">
        <f t="shared" si="427"/>
        <v>0</v>
      </c>
      <c r="CK191" s="66"/>
      <c r="CL191" s="67"/>
      <c r="CM191" s="67"/>
      <c r="CN191" s="64">
        <f t="shared" si="428"/>
        <v>0</v>
      </c>
      <c r="CO191" s="64"/>
      <c r="CP191" s="73"/>
      <c r="CQ191" s="64"/>
      <c r="CR191" s="73"/>
      <c r="CS191" s="64">
        <f t="shared" si="429"/>
        <v>0</v>
      </c>
      <c r="CT191" s="64"/>
      <c r="CU191" s="73"/>
      <c r="CV191" s="64"/>
      <c r="CW191" s="73"/>
      <c r="CX191" s="64">
        <f t="shared" si="430"/>
        <v>0</v>
      </c>
      <c r="CY191" s="64">
        <f t="shared" si="431"/>
        <v>0</v>
      </c>
      <c r="CZ191" s="64">
        <f t="shared" si="431"/>
        <v>0</v>
      </c>
      <c r="DA191" s="64">
        <f t="shared" si="431"/>
        <v>0</v>
      </c>
      <c r="DB191" s="64">
        <f t="shared" si="431"/>
        <v>0</v>
      </c>
      <c r="DC191" s="64"/>
      <c r="DD191" s="64"/>
      <c r="DE191" s="64"/>
      <c r="DF191" s="64">
        <f t="shared" si="432"/>
        <v>0</v>
      </c>
      <c r="DH191" s="64">
        <f t="shared" si="433"/>
        <v>0</v>
      </c>
      <c r="DI191" s="64">
        <f t="shared" si="434"/>
        <v>0</v>
      </c>
      <c r="DK191" s="64"/>
      <c r="DL191" s="64"/>
      <c r="DN191" s="64"/>
      <c r="DQ191" s="64">
        <f t="shared" si="435"/>
        <v>0</v>
      </c>
      <c r="DR191" s="64"/>
      <c r="DS191" s="74"/>
      <c r="DT191" s="64"/>
      <c r="DU191" s="73"/>
      <c r="DV191" s="64">
        <f t="shared" si="436"/>
        <v>0</v>
      </c>
      <c r="DW191" s="64"/>
      <c r="DX191" s="64"/>
      <c r="DY191" s="64"/>
      <c r="DZ191" s="64"/>
      <c r="EA191" s="375"/>
      <c r="EB191" s="375"/>
      <c r="EC191" s="375"/>
      <c r="ED191" s="375"/>
      <c r="EE191" s="375"/>
      <c r="EF191" s="375"/>
      <c r="EG191" s="375"/>
      <c r="EH191" s="375"/>
      <c r="EI191" s="375"/>
      <c r="EJ191" s="375"/>
      <c r="EK191" s="375"/>
      <c r="EL191" s="375"/>
      <c r="EM191" s="375"/>
      <c r="EN191" s="375"/>
      <c r="EO191" s="375"/>
      <c r="EP191" s="375"/>
      <c r="EQ191" s="375"/>
      <c r="ER191" s="375"/>
      <c r="ES191" s="375"/>
      <c r="ET191" s="375"/>
      <c r="EU191" s="375"/>
      <c r="EV191" s="375"/>
      <c r="EW191" s="375"/>
      <c r="EX191" s="375"/>
      <c r="EY191" s="375"/>
      <c r="EZ191" s="375"/>
      <c r="FA191" s="375"/>
      <c r="FB191" s="375"/>
      <c r="FC191" s="375"/>
      <c r="FD191" s="375"/>
      <c r="FE191" s="375"/>
      <c r="FF191" s="375"/>
      <c r="FG191" s="375"/>
      <c r="FH191" s="375"/>
      <c r="FI191" s="375"/>
      <c r="FJ191" s="375"/>
      <c r="FK191" s="375"/>
      <c r="FL191" s="375"/>
      <c r="FM191" s="375"/>
      <c r="FN191" s="375"/>
      <c r="FO191" s="375"/>
      <c r="FP191" s="375"/>
      <c r="FQ191" s="375"/>
      <c r="FR191" s="375"/>
      <c r="FS191" s="375"/>
      <c r="FT191" s="375"/>
      <c r="FU191" s="375"/>
      <c r="FV191" s="375"/>
      <c r="FW191" s="375"/>
      <c r="FX191" s="375"/>
      <c r="FY191" s="375"/>
      <c r="FZ191" s="375"/>
      <c r="GA191" s="375"/>
      <c r="GB191" s="375"/>
      <c r="GC191" s="375"/>
      <c r="GD191" s="375"/>
      <c r="GE191" s="375"/>
      <c r="GF191" s="375"/>
      <c r="GG191" s="375"/>
      <c r="GH191" s="375"/>
      <c r="GI191" s="375"/>
      <c r="GJ191" s="375"/>
      <c r="GK191" s="375"/>
      <c r="GL191" s="375"/>
      <c r="GM191" s="375"/>
      <c r="GN191" s="375"/>
      <c r="GO191" s="375"/>
      <c r="GP191" s="375"/>
      <c r="GQ191" s="375"/>
      <c r="GR191" s="375"/>
    </row>
    <row r="192" spans="1:200" s="61" customFormat="1" ht="15.75" customHeight="1" x14ac:dyDescent="0.3">
      <c r="A192" s="280"/>
      <c r="B192" s="281"/>
      <c r="C192" s="282">
        <v>1</v>
      </c>
      <c r="D192" s="282"/>
      <c r="E192" s="4">
        <v>162</v>
      </c>
      <c r="F192" s="281"/>
      <c r="G192" s="282">
        <v>1</v>
      </c>
      <c r="H192" s="282">
        <v>1</v>
      </c>
      <c r="I192" s="4"/>
      <c r="J192" s="283"/>
      <c r="K192" s="283"/>
      <c r="L192" s="286"/>
      <c r="M192" s="4">
        <v>159</v>
      </c>
      <c r="N192" s="62" t="s">
        <v>59</v>
      </c>
      <c r="O192" s="62" t="s">
        <v>448</v>
      </c>
      <c r="P192" s="62" t="s">
        <v>451</v>
      </c>
      <c r="Q192" s="60">
        <f t="shared" si="305"/>
        <v>0</v>
      </c>
      <c r="R192" s="60">
        <f t="shared" si="306"/>
        <v>304.08200000000011</v>
      </c>
      <c r="S192" s="60">
        <f t="shared" si="307"/>
        <v>0</v>
      </c>
      <c r="T192" s="60">
        <v>1</v>
      </c>
      <c r="U192" s="60">
        <v>1</v>
      </c>
      <c r="V192" s="64">
        <f t="shared" si="415"/>
        <v>1559.4</v>
      </c>
      <c r="W192" s="64"/>
      <c r="X192" s="65">
        <v>1559.4</v>
      </c>
      <c r="Y192" s="64"/>
      <c r="Z192" s="73"/>
      <c r="AA192" s="64">
        <f t="shared" si="416"/>
        <v>1559.4</v>
      </c>
      <c r="AB192" s="64"/>
      <c r="AC192" s="65">
        <v>1559.4</v>
      </c>
      <c r="AD192" s="64"/>
      <c r="AE192" s="73"/>
      <c r="AF192" s="64">
        <f t="shared" si="417"/>
        <v>1559.4</v>
      </c>
      <c r="AG192" s="64"/>
      <c r="AH192" s="65">
        <v>1559.4</v>
      </c>
      <c r="AI192" s="64"/>
      <c r="AJ192" s="73"/>
      <c r="AK192" s="64">
        <f t="shared" si="418"/>
        <v>678</v>
      </c>
      <c r="AL192" s="64"/>
      <c r="AM192" s="65">
        <v>678</v>
      </c>
      <c r="AN192" s="64"/>
      <c r="AO192" s="107"/>
      <c r="AP192" s="60" t="s">
        <v>500</v>
      </c>
      <c r="AQ192" s="64">
        <f t="shared" si="419"/>
        <v>1559.4</v>
      </c>
      <c r="AR192" s="64"/>
      <c r="AS192" s="65">
        <v>1559.4</v>
      </c>
      <c r="AT192" s="64"/>
      <c r="AU192" s="73"/>
      <c r="AV192" s="64">
        <f t="shared" si="293"/>
        <v>0</v>
      </c>
      <c r="AW192" s="64">
        <f t="shared" si="294"/>
        <v>0</v>
      </c>
      <c r="AX192" s="64">
        <f t="shared" si="295"/>
        <v>0</v>
      </c>
      <c r="AY192" s="64">
        <f t="shared" si="296"/>
        <v>0</v>
      </c>
      <c r="AZ192" s="64" t="e">
        <f>#REF!-AU192</f>
        <v>#REF!</v>
      </c>
      <c r="BA192" s="64">
        <f t="shared" si="420"/>
        <v>1559.4</v>
      </c>
      <c r="BB192" s="64"/>
      <c r="BC192" s="65">
        <v>1559.4</v>
      </c>
      <c r="BD192" s="64"/>
      <c r="BE192" s="73"/>
      <c r="BF192" s="64">
        <f t="shared" si="421"/>
        <v>0</v>
      </c>
      <c r="BG192" s="64"/>
      <c r="BH192" s="65"/>
      <c r="BI192" s="64"/>
      <c r="BJ192" s="73"/>
      <c r="BK192" s="64">
        <f t="shared" si="422"/>
        <v>1559.4</v>
      </c>
      <c r="BL192" s="64"/>
      <c r="BM192" s="65">
        <v>1559.4</v>
      </c>
      <c r="BN192" s="64"/>
      <c r="BO192" s="74"/>
      <c r="BP192" s="64">
        <f t="shared" si="423"/>
        <v>1255.318</v>
      </c>
      <c r="BQ192" s="64"/>
      <c r="BR192" s="74">
        <f>1255.318</f>
        <v>1255.318</v>
      </c>
      <c r="BS192" s="64"/>
      <c r="BT192" s="73"/>
      <c r="BU192" s="64">
        <f t="shared" si="424"/>
        <v>522.18540000000007</v>
      </c>
      <c r="BV192" s="64"/>
      <c r="BW192" s="64">
        <f>517.21131+4.97409</f>
        <v>522.18540000000007</v>
      </c>
      <c r="BX192" s="64"/>
      <c r="BY192" s="64"/>
      <c r="BZ192" s="60">
        <f t="shared" si="425"/>
        <v>1777.5034000000001</v>
      </c>
      <c r="CA192" s="64">
        <f t="shared" si="297"/>
        <v>1777.5034000000001</v>
      </c>
      <c r="CB192" s="64">
        <f t="shared" si="298"/>
        <v>0</v>
      </c>
      <c r="CC192" s="64">
        <f t="shared" si="299"/>
        <v>1777.5034000000001</v>
      </c>
      <c r="CD192" s="64">
        <f t="shared" si="300"/>
        <v>0</v>
      </c>
      <c r="CE192" s="64">
        <f t="shared" si="426"/>
        <v>0</v>
      </c>
      <c r="CF192" s="64">
        <f t="shared" si="301"/>
        <v>304.08200000000011</v>
      </c>
      <c r="CG192" s="64">
        <f t="shared" si="302"/>
        <v>0</v>
      </c>
      <c r="CH192" s="64">
        <f t="shared" si="303"/>
        <v>304.08200000000011</v>
      </c>
      <c r="CI192" s="64">
        <f t="shared" si="304"/>
        <v>0</v>
      </c>
      <c r="CJ192" s="64">
        <f t="shared" si="427"/>
        <v>0</v>
      </c>
      <c r="CK192" s="66"/>
      <c r="CL192" s="67"/>
      <c r="CM192" s="67"/>
      <c r="CN192" s="64">
        <f t="shared" si="428"/>
        <v>0</v>
      </c>
      <c r="CO192" s="64"/>
      <c r="CP192" s="65"/>
      <c r="CQ192" s="64"/>
      <c r="CR192" s="73"/>
      <c r="CS192" s="64">
        <f t="shared" si="429"/>
        <v>0</v>
      </c>
      <c r="CT192" s="64"/>
      <c r="CU192" s="65"/>
      <c r="CV192" s="64"/>
      <c r="CW192" s="73"/>
      <c r="CX192" s="64">
        <f t="shared" si="430"/>
        <v>0</v>
      </c>
      <c r="CY192" s="64">
        <f t="shared" si="431"/>
        <v>0</v>
      </c>
      <c r="CZ192" s="64">
        <f t="shared" si="431"/>
        <v>0</v>
      </c>
      <c r="DA192" s="64">
        <f t="shared" si="431"/>
        <v>0</v>
      </c>
      <c r="DB192" s="64">
        <f t="shared" si="431"/>
        <v>0</v>
      </c>
      <c r="DC192" s="64"/>
      <c r="DD192" s="64"/>
      <c r="DE192" s="64"/>
      <c r="DF192" s="64">
        <f t="shared" si="432"/>
        <v>304.08200000000011</v>
      </c>
      <c r="DH192" s="64">
        <f t="shared" si="433"/>
        <v>1559.4</v>
      </c>
      <c r="DI192" s="64">
        <f t="shared" si="434"/>
        <v>1255.318</v>
      </c>
      <c r="DK192" s="64"/>
      <c r="DL192" s="64"/>
      <c r="DN192" s="64"/>
      <c r="DQ192" s="64">
        <f t="shared" si="435"/>
        <v>1255.318</v>
      </c>
      <c r="DR192" s="64"/>
      <c r="DS192" s="74">
        <f>1255.318</f>
        <v>1255.318</v>
      </c>
      <c r="DT192" s="64"/>
      <c r="DU192" s="73"/>
      <c r="DV192" s="64">
        <f t="shared" si="436"/>
        <v>0</v>
      </c>
      <c r="DW192" s="64"/>
      <c r="DX192" s="64"/>
      <c r="DY192" s="64"/>
      <c r="DZ192" s="64"/>
      <c r="EA192" s="375"/>
      <c r="EB192" s="375"/>
      <c r="EC192" s="375"/>
      <c r="ED192" s="375"/>
      <c r="EE192" s="375"/>
      <c r="EF192" s="375"/>
      <c r="EG192" s="375"/>
      <c r="EH192" s="375"/>
      <c r="EI192" s="375"/>
      <c r="EJ192" s="375"/>
      <c r="EK192" s="375"/>
      <c r="EL192" s="375"/>
      <c r="EM192" s="375"/>
      <c r="EN192" s="375"/>
      <c r="EO192" s="375"/>
      <c r="EP192" s="375"/>
      <c r="EQ192" s="375"/>
      <c r="ER192" s="375"/>
      <c r="ES192" s="375"/>
      <c r="ET192" s="375"/>
      <c r="EU192" s="375"/>
      <c r="EV192" s="375"/>
      <c r="EW192" s="375"/>
      <c r="EX192" s="375"/>
      <c r="EY192" s="375"/>
      <c r="EZ192" s="375"/>
      <c r="FA192" s="375"/>
      <c r="FB192" s="375"/>
      <c r="FC192" s="375"/>
      <c r="FD192" s="375"/>
      <c r="FE192" s="375"/>
      <c r="FF192" s="375"/>
      <c r="FG192" s="375"/>
      <c r="FH192" s="375"/>
      <c r="FI192" s="375"/>
      <c r="FJ192" s="375"/>
      <c r="FK192" s="375"/>
      <c r="FL192" s="375"/>
      <c r="FM192" s="375"/>
      <c r="FN192" s="375"/>
      <c r="FO192" s="375"/>
      <c r="FP192" s="375"/>
      <c r="FQ192" s="375"/>
      <c r="FR192" s="375"/>
      <c r="FS192" s="375"/>
      <c r="FT192" s="375"/>
      <c r="FU192" s="375"/>
      <c r="FV192" s="375"/>
      <c r="FW192" s="375"/>
      <c r="FX192" s="375"/>
      <c r="FY192" s="375"/>
      <c r="FZ192" s="375"/>
      <c r="GA192" s="375"/>
      <c r="GB192" s="375"/>
      <c r="GC192" s="375"/>
      <c r="GD192" s="375"/>
      <c r="GE192" s="375"/>
      <c r="GF192" s="375"/>
      <c r="GG192" s="375"/>
      <c r="GH192" s="375"/>
      <c r="GI192" s="375"/>
      <c r="GJ192" s="375"/>
      <c r="GK192" s="375"/>
      <c r="GL192" s="375"/>
      <c r="GM192" s="375"/>
      <c r="GN192" s="375"/>
      <c r="GO192" s="375"/>
      <c r="GP192" s="375"/>
      <c r="GQ192" s="375"/>
      <c r="GR192" s="375"/>
    </row>
    <row r="193" spans="1:200" s="61" customFormat="1" ht="15.75" customHeight="1" x14ac:dyDescent="0.3">
      <c r="A193" s="280"/>
      <c r="B193" s="281"/>
      <c r="C193" s="282"/>
      <c r="D193" s="282">
        <v>1</v>
      </c>
      <c r="E193" s="4">
        <v>163</v>
      </c>
      <c r="F193" s="281"/>
      <c r="G193" s="282"/>
      <c r="H193" s="282">
        <v>1</v>
      </c>
      <c r="I193" s="4"/>
      <c r="J193" s="283"/>
      <c r="K193" s="283"/>
      <c r="L193" s="286"/>
      <c r="M193" s="4">
        <v>160</v>
      </c>
      <c r="N193" s="62" t="s">
        <v>234</v>
      </c>
      <c r="O193" s="62" t="s">
        <v>448</v>
      </c>
      <c r="P193" s="62" t="s">
        <v>448</v>
      </c>
      <c r="Q193" s="60">
        <f t="shared" si="305"/>
        <v>0</v>
      </c>
      <c r="R193" s="60">
        <f t="shared" si="306"/>
        <v>70.04200000000003</v>
      </c>
      <c r="S193" s="60">
        <f t="shared" si="307"/>
        <v>149.46499999999992</v>
      </c>
      <c r="T193" s="60">
        <v>1</v>
      </c>
      <c r="U193" s="60">
        <v>2</v>
      </c>
      <c r="V193" s="64">
        <f t="shared" si="415"/>
        <v>1935.925</v>
      </c>
      <c r="W193" s="64"/>
      <c r="X193" s="65">
        <v>595.70000000000005</v>
      </c>
      <c r="Y193" s="64">
        <v>1340.2249999999999</v>
      </c>
      <c r="Z193" s="73"/>
      <c r="AA193" s="64">
        <f t="shared" si="416"/>
        <v>1935.925</v>
      </c>
      <c r="AB193" s="64"/>
      <c r="AC193" s="65">
        <v>595.70000000000005</v>
      </c>
      <c r="AD193" s="64">
        <v>1340.2249999999999</v>
      </c>
      <c r="AE193" s="73"/>
      <c r="AF193" s="64">
        <f t="shared" si="417"/>
        <v>1935.925</v>
      </c>
      <c r="AG193" s="64"/>
      <c r="AH193" s="65">
        <v>595.70000000000005</v>
      </c>
      <c r="AI193" s="64">
        <v>1340.2249999999999</v>
      </c>
      <c r="AJ193" s="73"/>
      <c r="AK193" s="64">
        <f t="shared" si="418"/>
        <v>1599.2249999999999</v>
      </c>
      <c r="AL193" s="64"/>
      <c r="AM193" s="65">
        <v>259</v>
      </c>
      <c r="AN193" s="64">
        <v>1340.2249999999999</v>
      </c>
      <c r="AO193" s="107"/>
      <c r="AP193" s="60" t="s">
        <v>470</v>
      </c>
      <c r="AQ193" s="64">
        <f t="shared" si="419"/>
        <v>1935.925</v>
      </c>
      <c r="AR193" s="64"/>
      <c r="AS193" s="65">
        <f>259+336.7</f>
        <v>595.70000000000005</v>
      </c>
      <c r="AT193" s="64">
        <v>1340.2249999999999</v>
      </c>
      <c r="AU193" s="73"/>
      <c r="AV193" s="64">
        <f t="shared" si="293"/>
        <v>0</v>
      </c>
      <c r="AW193" s="64">
        <f t="shared" si="294"/>
        <v>0</v>
      </c>
      <c r="AX193" s="64">
        <f t="shared" si="295"/>
        <v>0</v>
      </c>
      <c r="AY193" s="64">
        <f t="shared" si="296"/>
        <v>0</v>
      </c>
      <c r="AZ193" s="64" t="e">
        <f>#REF!-AU193</f>
        <v>#REF!</v>
      </c>
      <c r="BA193" s="64">
        <f t="shared" si="420"/>
        <v>1935.925</v>
      </c>
      <c r="BB193" s="64"/>
      <c r="BC193" s="65">
        <f>259+336.7</f>
        <v>595.70000000000005</v>
      </c>
      <c r="BD193" s="64">
        <v>1340.2249999999999</v>
      </c>
      <c r="BE193" s="73"/>
      <c r="BF193" s="64">
        <f t="shared" si="421"/>
        <v>0</v>
      </c>
      <c r="BG193" s="64"/>
      <c r="BH193" s="65"/>
      <c r="BI193" s="64"/>
      <c r="BJ193" s="73"/>
      <c r="BK193" s="64">
        <f t="shared" si="422"/>
        <v>1935.925</v>
      </c>
      <c r="BL193" s="64"/>
      <c r="BM193" s="65">
        <f>259+336.7</f>
        <v>595.70000000000005</v>
      </c>
      <c r="BN193" s="64">
        <v>1340.2249999999999</v>
      </c>
      <c r="BO193" s="74"/>
      <c r="BP193" s="64">
        <f t="shared" si="423"/>
        <v>1716.4180000000001</v>
      </c>
      <c r="BQ193" s="64"/>
      <c r="BR193" s="74">
        <f>336.7+188.958</f>
        <v>525.65800000000002</v>
      </c>
      <c r="BS193" s="64">
        <v>1190.76</v>
      </c>
      <c r="BT193" s="73"/>
      <c r="BU193" s="64">
        <f t="shared" si="424"/>
        <v>596.06540999999993</v>
      </c>
      <c r="BV193" s="64"/>
      <c r="BW193" s="64">
        <f>136.15078+62.98627</f>
        <v>199.13704999999999</v>
      </c>
      <c r="BX193" s="64">
        <v>396.92836</v>
      </c>
      <c r="BY193" s="64"/>
      <c r="BZ193" s="60">
        <f t="shared" si="425"/>
        <v>2312.4834099999998</v>
      </c>
      <c r="CA193" s="64">
        <f t="shared" si="297"/>
        <v>2312.4834099999998</v>
      </c>
      <c r="CB193" s="64">
        <f t="shared" si="298"/>
        <v>0</v>
      </c>
      <c r="CC193" s="64">
        <f t="shared" si="299"/>
        <v>724.79504999999995</v>
      </c>
      <c r="CD193" s="64">
        <f t="shared" si="300"/>
        <v>1587.6883600000001</v>
      </c>
      <c r="CE193" s="64">
        <f t="shared" si="426"/>
        <v>0</v>
      </c>
      <c r="CF193" s="64">
        <f t="shared" si="301"/>
        <v>219.50699999999995</v>
      </c>
      <c r="CG193" s="64">
        <f t="shared" si="302"/>
        <v>0</v>
      </c>
      <c r="CH193" s="64">
        <f t="shared" si="303"/>
        <v>70.04200000000003</v>
      </c>
      <c r="CI193" s="64">
        <f t="shared" si="304"/>
        <v>149.46499999999992</v>
      </c>
      <c r="CJ193" s="64">
        <f t="shared" si="427"/>
        <v>0</v>
      </c>
      <c r="CK193" s="66"/>
      <c r="CL193" s="67"/>
      <c r="CM193" s="67"/>
      <c r="CN193" s="64">
        <f t="shared" si="428"/>
        <v>0</v>
      </c>
      <c r="CO193" s="64"/>
      <c r="CP193" s="65"/>
      <c r="CQ193" s="64"/>
      <c r="CR193" s="73"/>
      <c r="CS193" s="64">
        <f t="shared" si="429"/>
        <v>0</v>
      </c>
      <c r="CT193" s="64"/>
      <c r="CU193" s="65"/>
      <c r="CV193" s="64"/>
      <c r="CW193" s="73"/>
      <c r="CX193" s="64">
        <f t="shared" si="430"/>
        <v>0</v>
      </c>
      <c r="CY193" s="64">
        <f t="shared" si="431"/>
        <v>0</v>
      </c>
      <c r="CZ193" s="64">
        <f t="shared" si="431"/>
        <v>0</v>
      </c>
      <c r="DA193" s="64">
        <f t="shared" si="431"/>
        <v>0</v>
      </c>
      <c r="DB193" s="64">
        <f t="shared" si="431"/>
        <v>0</v>
      </c>
      <c r="DC193" s="64"/>
      <c r="DD193" s="64"/>
      <c r="DE193" s="64"/>
      <c r="DF193" s="64">
        <f t="shared" si="432"/>
        <v>219.50699999999995</v>
      </c>
      <c r="DH193" s="64">
        <f t="shared" si="433"/>
        <v>1935.925</v>
      </c>
      <c r="DI193" s="64">
        <f t="shared" si="434"/>
        <v>1716.4180000000001</v>
      </c>
      <c r="DK193" s="64"/>
      <c r="DL193" s="64"/>
      <c r="DN193" s="64"/>
      <c r="DQ193" s="64">
        <f t="shared" si="435"/>
        <v>1716.4180000000001</v>
      </c>
      <c r="DR193" s="64"/>
      <c r="DS193" s="74">
        <f>336.7+188.958</f>
        <v>525.65800000000002</v>
      </c>
      <c r="DT193" s="64">
        <v>1190.76</v>
      </c>
      <c r="DU193" s="73"/>
      <c r="DV193" s="64">
        <f t="shared" si="436"/>
        <v>396.92836</v>
      </c>
      <c r="DW193" s="64"/>
      <c r="DX193" s="64"/>
      <c r="DY193" s="64">
        <v>396.92836</v>
      </c>
      <c r="DZ193" s="64"/>
      <c r="EA193" s="375"/>
      <c r="EB193" s="375"/>
      <c r="EC193" s="375"/>
      <c r="ED193" s="375"/>
      <c r="EE193" s="375"/>
      <c r="EF193" s="375"/>
      <c r="EG193" s="375"/>
      <c r="EH193" s="375"/>
      <c r="EI193" s="375"/>
      <c r="EJ193" s="375"/>
      <c r="EK193" s="375"/>
      <c r="EL193" s="375"/>
      <c r="EM193" s="375"/>
      <c r="EN193" s="375"/>
      <c r="EO193" s="375"/>
      <c r="EP193" s="375"/>
      <c r="EQ193" s="375"/>
      <c r="ER193" s="375"/>
      <c r="ES193" s="375"/>
      <c r="ET193" s="375"/>
      <c r="EU193" s="375"/>
      <c r="EV193" s="375"/>
      <c r="EW193" s="375"/>
      <c r="EX193" s="375"/>
      <c r="EY193" s="375"/>
      <c r="EZ193" s="375"/>
      <c r="FA193" s="375"/>
      <c r="FB193" s="375"/>
      <c r="FC193" s="375"/>
      <c r="FD193" s="375"/>
      <c r="FE193" s="375"/>
      <c r="FF193" s="375"/>
      <c r="FG193" s="375"/>
      <c r="FH193" s="375"/>
      <c r="FI193" s="375"/>
      <c r="FJ193" s="375"/>
      <c r="FK193" s="375"/>
      <c r="FL193" s="375"/>
      <c r="FM193" s="375"/>
      <c r="FN193" s="375"/>
      <c r="FO193" s="375"/>
      <c r="FP193" s="375"/>
      <c r="FQ193" s="375"/>
      <c r="FR193" s="375"/>
      <c r="FS193" s="375"/>
      <c r="FT193" s="375"/>
      <c r="FU193" s="375"/>
      <c r="FV193" s="375"/>
      <c r="FW193" s="375"/>
      <c r="FX193" s="375"/>
      <c r="FY193" s="375"/>
      <c r="FZ193" s="375"/>
      <c r="GA193" s="375"/>
      <c r="GB193" s="375"/>
      <c r="GC193" s="375"/>
      <c r="GD193" s="375"/>
      <c r="GE193" s="375"/>
      <c r="GF193" s="375"/>
      <c r="GG193" s="375"/>
      <c r="GH193" s="375"/>
      <c r="GI193" s="375"/>
      <c r="GJ193" s="375"/>
      <c r="GK193" s="375"/>
      <c r="GL193" s="375"/>
      <c r="GM193" s="375"/>
      <c r="GN193" s="375"/>
      <c r="GO193" s="375"/>
      <c r="GP193" s="375"/>
      <c r="GQ193" s="375"/>
      <c r="GR193" s="375"/>
    </row>
    <row r="194" spans="1:200" s="61" customFormat="1" ht="15.75" customHeight="1" x14ac:dyDescent="0.3">
      <c r="A194" s="280"/>
      <c r="B194" s="281"/>
      <c r="C194" s="282"/>
      <c r="D194" s="282">
        <v>1</v>
      </c>
      <c r="E194" s="4">
        <v>164</v>
      </c>
      <c r="F194" s="281"/>
      <c r="G194" s="282"/>
      <c r="H194" s="282">
        <v>1</v>
      </c>
      <c r="I194" s="4"/>
      <c r="J194" s="283"/>
      <c r="K194" s="283"/>
      <c r="L194" s="286"/>
      <c r="M194" s="4">
        <v>161</v>
      </c>
      <c r="N194" s="62" t="s">
        <v>139</v>
      </c>
      <c r="O194" s="62" t="s">
        <v>448</v>
      </c>
      <c r="P194" s="62" t="s">
        <v>450</v>
      </c>
      <c r="Q194" s="60">
        <f t="shared" si="305"/>
        <v>0</v>
      </c>
      <c r="R194" s="60">
        <f t="shared" si="306"/>
        <v>0</v>
      </c>
      <c r="S194" s="60">
        <f t="shared" si="307"/>
        <v>0</v>
      </c>
      <c r="T194" s="60">
        <v>1</v>
      </c>
      <c r="U194" s="60">
        <v>1</v>
      </c>
      <c r="V194" s="64">
        <f t="shared" si="415"/>
        <v>1637.6</v>
      </c>
      <c r="W194" s="64"/>
      <c r="X194" s="65">
        <v>1637.6</v>
      </c>
      <c r="Y194" s="64"/>
      <c r="Z194" s="73"/>
      <c r="AA194" s="64">
        <f t="shared" si="416"/>
        <v>1637.6</v>
      </c>
      <c r="AB194" s="64"/>
      <c r="AC194" s="65">
        <v>1637.6</v>
      </c>
      <c r="AD194" s="64"/>
      <c r="AE194" s="73"/>
      <c r="AF194" s="64">
        <f t="shared" si="417"/>
        <v>1637.6</v>
      </c>
      <c r="AG194" s="64"/>
      <c r="AH194" s="65">
        <v>1637.6</v>
      </c>
      <c r="AI194" s="64"/>
      <c r="AJ194" s="73"/>
      <c r="AK194" s="64">
        <f t="shared" si="418"/>
        <v>712</v>
      </c>
      <c r="AL194" s="64"/>
      <c r="AM194" s="65">
        <v>712</v>
      </c>
      <c r="AN194" s="64"/>
      <c r="AO194" s="107"/>
      <c r="AP194" s="60" t="s">
        <v>529</v>
      </c>
      <c r="AQ194" s="64">
        <f t="shared" si="419"/>
        <v>1637.6</v>
      </c>
      <c r="AR194" s="64"/>
      <c r="AS194" s="65">
        <v>1637.6</v>
      </c>
      <c r="AT194" s="64"/>
      <c r="AU194" s="64"/>
      <c r="AV194" s="64">
        <f t="shared" si="293"/>
        <v>0</v>
      </c>
      <c r="AW194" s="64">
        <f t="shared" si="294"/>
        <v>0</v>
      </c>
      <c r="AX194" s="64">
        <f t="shared" si="295"/>
        <v>0</v>
      </c>
      <c r="AY194" s="64">
        <f t="shared" si="296"/>
        <v>0</v>
      </c>
      <c r="AZ194" s="64" t="e">
        <f>#REF!-AU194</f>
        <v>#REF!</v>
      </c>
      <c r="BA194" s="64">
        <f t="shared" si="420"/>
        <v>1637.6</v>
      </c>
      <c r="BB194" s="64"/>
      <c r="BC194" s="65">
        <v>1637.6</v>
      </c>
      <c r="BD194" s="64"/>
      <c r="BE194" s="64"/>
      <c r="BF194" s="64">
        <f t="shared" si="421"/>
        <v>0</v>
      </c>
      <c r="BG194" s="64"/>
      <c r="BH194" s="65"/>
      <c r="BI194" s="64"/>
      <c r="BJ194" s="64"/>
      <c r="BK194" s="64">
        <f t="shared" si="422"/>
        <v>1637.6</v>
      </c>
      <c r="BL194" s="64"/>
      <c r="BM194" s="65">
        <v>1637.6</v>
      </c>
      <c r="BN194" s="64"/>
      <c r="BO194" s="64"/>
      <c r="BP194" s="64">
        <f t="shared" si="423"/>
        <v>1637.6</v>
      </c>
      <c r="BQ194" s="64"/>
      <c r="BR194" s="74">
        <v>1637.6</v>
      </c>
      <c r="BS194" s="64"/>
      <c r="BT194" s="64"/>
      <c r="BU194" s="64">
        <f t="shared" si="424"/>
        <v>882.01162999999997</v>
      </c>
      <c r="BV194" s="64"/>
      <c r="BW194" s="64">
        <f>682.01163+200</f>
        <v>882.01162999999997</v>
      </c>
      <c r="BX194" s="64"/>
      <c r="BY194" s="64"/>
      <c r="BZ194" s="60">
        <f t="shared" si="425"/>
        <v>2519.6116299999999</v>
      </c>
      <c r="CA194" s="64">
        <f t="shared" si="297"/>
        <v>2519.6116299999999</v>
      </c>
      <c r="CB194" s="64">
        <f t="shared" si="298"/>
        <v>0</v>
      </c>
      <c r="CC194" s="64">
        <f t="shared" si="299"/>
        <v>2519.6116299999999</v>
      </c>
      <c r="CD194" s="64">
        <f t="shared" si="300"/>
        <v>0</v>
      </c>
      <c r="CE194" s="64">
        <f t="shared" si="426"/>
        <v>0</v>
      </c>
      <c r="CF194" s="64">
        <f t="shared" si="301"/>
        <v>0</v>
      </c>
      <c r="CG194" s="64">
        <f t="shared" si="302"/>
        <v>0</v>
      </c>
      <c r="CH194" s="64">
        <f t="shared" si="303"/>
        <v>0</v>
      </c>
      <c r="CI194" s="64">
        <f t="shared" si="304"/>
        <v>0</v>
      </c>
      <c r="CJ194" s="64">
        <f t="shared" si="427"/>
        <v>0</v>
      </c>
      <c r="CK194" s="66"/>
      <c r="CL194" s="67"/>
      <c r="CM194" s="67"/>
      <c r="CN194" s="64">
        <f t="shared" si="428"/>
        <v>0</v>
      </c>
      <c r="CO194" s="64"/>
      <c r="CP194" s="65"/>
      <c r="CQ194" s="64"/>
      <c r="CR194" s="64"/>
      <c r="CS194" s="64">
        <f t="shared" si="429"/>
        <v>0</v>
      </c>
      <c r="CT194" s="64"/>
      <c r="CU194" s="65"/>
      <c r="CV194" s="64"/>
      <c r="CW194" s="64"/>
      <c r="CX194" s="64">
        <f t="shared" si="430"/>
        <v>0</v>
      </c>
      <c r="CY194" s="64">
        <f t="shared" si="431"/>
        <v>0</v>
      </c>
      <c r="CZ194" s="64">
        <f t="shared" si="431"/>
        <v>0</v>
      </c>
      <c r="DA194" s="64">
        <f t="shared" si="431"/>
        <v>0</v>
      </c>
      <c r="DB194" s="64">
        <f t="shared" si="431"/>
        <v>0</v>
      </c>
      <c r="DC194" s="64"/>
      <c r="DD194" s="64"/>
      <c r="DE194" s="64"/>
      <c r="DF194" s="64">
        <f t="shared" si="432"/>
        <v>0</v>
      </c>
      <c r="DH194" s="64">
        <f t="shared" si="433"/>
        <v>1637.6</v>
      </c>
      <c r="DI194" s="64">
        <f t="shared" si="434"/>
        <v>1637.6</v>
      </c>
      <c r="DK194" s="64"/>
      <c r="DL194" s="64"/>
      <c r="DN194" s="64"/>
      <c r="DQ194" s="64">
        <f t="shared" si="435"/>
        <v>1637.6</v>
      </c>
      <c r="DR194" s="64"/>
      <c r="DS194" s="74">
        <v>1637.6</v>
      </c>
      <c r="DT194" s="64"/>
      <c r="DU194" s="64"/>
      <c r="DV194" s="64">
        <f t="shared" si="436"/>
        <v>0</v>
      </c>
      <c r="DW194" s="64"/>
      <c r="DX194" s="64"/>
      <c r="DY194" s="64"/>
      <c r="DZ194" s="64"/>
      <c r="EA194" s="375"/>
      <c r="EB194" s="375"/>
      <c r="EC194" s="375"/>
      <c r="ED194" s="375"/>
      <c r="EE194" s="375"/>
      <c r="EF194" s="375"/>
      <c r="EG194" s="375"/>
      <c r="EH194" s="375"/>
      <c r="EI194" s="375"/>
      <c r="EJ194" s="375"/>
      <c r="EK194" s="375"/>
      <c r="EL194" s="375"/>
      <c r="EM194" s="375"/>
      <c r="EN194" s="375"/>
      <c r="EO194" s="375"/>
      <c r="EP194" s="375"/>
      <c r="EQ194" s="375"/>
      <c r="ER194" s="375"/>
      <c r="ES194" s="375"/>
      <c r="ET194" s="375"/>
      <c r="EU194" s="375"/>
      <c r="EV194" s="375"/>
      <c r="EW194" s="375"/>
      <c r="EX194" s="375"/>
      <c r="EY194" s="375"/>
      <c r="EZ194" s="375"/>
      <c r="FA194" s="375"/>
      <c r="FB194" s="375"/>
      <c r="FC194" s="375"/>
      <c r="FD194" s="375"/>
      <c r="FE194" s="375"/>
      <c r="FF194" s="375"/>
      <c r="FG194" s="375"/>
      <c r="FH194" s="375"/>
      <c r="FI194" s="375"/>
      <c r="FJ194" s="375"/>
      <c r="FK194" s="375"/>
      <c r="FL194" s="375"/>
      <c r="FM194" s="375"/>
      <c r="FN194" s="375"/>
      <c r="FO194" s="375"/>
      <c r="FP194" s="375"/>
      <c r="FQ194" s="375"/>
      <c r="FR194" s="375"/>
      <c r="FS194" s="375"/>
      <c r="FT194" s="375"/>
      <c r="FU194" s="375"/>
      <c r="FV194" s="375"/>
      <c r="FW194" s="375"/>
      <c r="FX194" s="375"/>
      <c r="FY194" s="375"/>
      <c r="FZ194" s="375"/>
      <c r="GA194" s="375"/>
      <c r="GB194" s="375"/>
      <c r="GC194" s="375"/>
      <c r="GD194" s="375"/>
      <c r="GE194" s="375"/>
      <c r="GF194" s="375"/>
      <c r="GG194" s="375"/>
      <c r="GH194" s="375"/>
      <c r="GI194" s="375"/>
      <c r="GJ194" s="375"/>
      <c r="GK194" s="375"/>
      <c r="GL194" s="375"/>
      <c r="GM194" s="375"/>
      <c r="GN194" s="375"/>
      <c r="GO194" s="375"/>
      <c r="GP194" s="375"/>
      <c r="GQ194" s="375"/>
      <c r="GR194" s="375"/>
    </row>
    <row r="195" spans="1:200" s="48" customFormat="1" ht="24" customHeight="1" x14ac:dyDescent="0.3">
      <c r="A195" s="276"/>
      <c r="B195" s="277"/>
      <c r="C195" s="278"/>
      <c r="D195" s="278"/>
      <c r="E195" s="279"/>
      <c r="F195" s="277"/>
      <c r="G195" s="278"/>
      <c r="H195" s="278"/>
      <c r="I195" s="279"/>
      <c r="J195" s="292"/>
      <c r="K195" s="292"/>
      <c r="L195" s="293"/>
      <c r="M195" s="279"/>
      <c r="N195" s="42" t="s">
        <v>14</v>
      </c>
      <c r="O195" s="42"/>
      <c r="P195" s="42"/>
      <c r="Q195" s="43">
        <f t="shared" si="305"/>
        <v>0</v>
      </c>
      <c r="R195" s="43">
        <f t="shared" si="306"/>
        <v>0</v>
      </c>
      <c r="S195" s="43">
        <f t="shared" si="307"/>
        <v>0</v>
      </c>
      <c r="T195" s="43">
        <f>T196+T197+T198+T199+T200+T201+T202</f>
        <v>4</v>
      </c>
      <c r="U195" s="43">
        <f>U196+U197+U198+U199+U200+U201+U202</f>
        <v>1</v>
      </c>
      <c r="V195" s="43">
        <f t="shared" ref="V195:Z195" si="437">SUM(V196:V202)-V197</f>
        <v>4859.8159999999998</v>
      </c>
      <c r="W195" s="43">
        <f t="shared" si="437"/>
        <v>0</v>
      </c>
      <c r="X195" s="43">
        <f t="shared" si="437"/>
        <v>4859.8159999999998</v>
      </c>
      <c r="Y195" s="43">
        <f t="shared" si="437"/>
        <v>0</v>
      </c>
      <c r="Z195" s="43">
        <f t="shared" si="437"/>
        <v>0</v>
      </c>
      <c r="AA195" s="43">
        <f t="shared" ref="AA195:AE195" si="438">SUM(AA196:AA202)-AA197</f>
        <v>4903.6000000000004</v>
      </c>
      <c r="AB195" s="43">
        <f t="shared" si="438"/>
        <v>0</v>
      </c>
      <c r="AC195" s="43">
        <f t="shared" si="438"/>
        <v>4903.6000000000004</v>
      </c>
      <c r="AD195" s="43">
        <f t="shared" si="438"/>
        <v>0</v>
      </c>
      <c r="AE195" s="43">
        <f t="shared" si="438"/>
        <v>0</v>
      </c>
      <c r="AF195" s="43">
        <f t="shared" ref="AF195:AJ195" si="439">SUM(AF196:AF202)-AF197</f>
        <v>4903.6000000000004</v>
      </c>
      <c r="AG195" s="43">
        <f t="shared" si="439"/>
        <v>0</v>
      </c>
      <c r="AH195" s="43">
        <f t="shared" si="439"/>
        <v>4903.6000000000004</v>
      </c>
      <c r="AI195" s="43">
        <f t="shared" si="439"/>
        <v>0</v>
      </c>
      <c r="AJ195" s="43">
        <f t="shared" si="439"/>
        <v>0</v>
      </c>
      <c r="AK195" s="45">
        <f t="shared" ref="AK195:AO195" si="440">SUM(AK196:AK202)-AK197</f>
        <v>2132</v>
      </c>
      <c r="AL195" s="43">
        <f t="shared" si="440"/>
        <v>0</v>
      </c>
      <c r="AM195" s="43">
        <f t="shared" si="440"/>
        <v>2132</v>
      </c>
      <c r="AN195" s="43">
        <f t="shared" si="440"/>
        <v>0</v>
      </c>
      <c r="AO195" s="43">
        <f t="shared" si="440"/>
        <v>0</v>
      </c>
      <c r="AP195" s="44"/>
      <c r="AQ195" s="43">
        <f>SUM(AQ196:AQ202)-AQ197</f>
        <v>4859.8159999999998</v>
      </c>
      <c r="AR195" s="43">
        <f>SUM(AR196:AR202)-AR197</f>
        <v>0</v>
      </c>
      <c r="AS195" s="43">
        <f>SUM(AS196:AS202)-AS197</f>
        <v>4859.8159999999998</v>
      </c>
      <c r="AT195" s="43">
        <f>SUM(AT196:AT202)-AT197</f>
        <v>0</v>
      </c>
      <c r="AU195" s="43">
        <f>SUM(AU196:AU202)-AU197</f>
        <v>0</v>
      </c>
      <c r="AV195" s="43">
        <f t="shared" si="293"/>
        <v>0</v>
      </c>
      <c r="AW195" s="43">
        <f t="shared" si="294"/>
        <v>0</v>
      </c>
      <c r="AX195" s="43">
        <f t="shared" si="295"/>
        <v>0</v>
      </c>
      <c r="AY195" s="43">
        <f t="shared" si="296"/>
        <v>0</v>
      </c>
      <c r="AZ195" s="43" t="e">
        <f t="shared" ref="AZ195:BE195" si="441">SUM(AZ196:AZ202)-AZ197</f>
        <v>#REF!</v>
      </c>
      <c r="BA195" s="43">
        <f t="shared" si="441"/>
        <v>4859.8159999999998</v>
      </c>
      <c r="BB195" s="43">
        <f t="shared" si="441"/>
        <v>0</v>
      </c>
      <c r="BC195" s="43">
        <f t="shared" si="441"/>
        <v>4859.8159999999998</v>
      </c>
      <c r="BD195" s="43">
        <f t="shared" si="441"/>
        <v>0</v>
      </c>
      <c r="BE195" s="43">
        <f t="shared" si="441"/>
        <v>0</v>
      </c>
      <c r="BF195" s="43">
        <f t="shared" ref="BF195:CJ195" si="442">SUM(BF196:BF202)-BF197</f>
        <v>0</v>
      </c>
      <c r="BG195" s="43">
        <f t="shared" si="442"/>
        <v>0</v>
      </c>
      <c r="BH195" s="43">
        <f t="shared" si="442"/>
        <v>0</v>
      </c>
      <c r="BI195" s="43">
        <f t="shared" si="442"/>
        <v>0</v>
      </c>
      <c r="BJ195" s="43">
        <f t="shared" si="442"/>
        <v>0</v>
      </c>
      <c r="BK195" s="43">
        <f t="shared" si="442"/>
        <v>4859.8159999999998</v>
      </c>
      <c r="BL195" s="43">
        <f t="shared" si="442"/>
        <v>0</v>
      </c>
      <c r="BM195" s="43">
        <f t="shared" si="442"/>
        <v>4859.8159999999998</v>
      </c>
      <c r="BN195" s="43">
        <f t="shared" si="442"/>
        <v>0</v>
      </c>
      <c r="BO195" s="43">
        <f t="shared" si="442"/>
        <v>0</v>
      </c>
      <c r="BP195" s="43">
        <f t="shared" si="442"/>
        <v>4859.8160000000007</v>
      </c>
      <c r="BQ195" s="43">
        <f t="shared" si="442"/>
        <v>0</v>
      </c>
      <c r="BR195" s="43">
        <f t="shared" si="442"/>
        <v>4859.8160000000007</v>
      </c>
      <c r="BS195" s="43">
        <f t="shared" si="442"/>
        <v>0</v>
      </c>
      <c r="BT195" s="43">
        <f t="shared" si="442"/>
        <v>0</v>
      </c>
      <c r="BU195" s="45">
        <f t="shared" si="442"/>
        <v>2140.5664200000001</v>
      </c>
      <c r="BV195" s="304">
        <f t="shared" si="442"/>
        <v>0</v>
      </c>
      <c r="BW195" s="304">
        <f t="shared" si="442"/>
        <v>2140.5664200000001</v>
      </c>
      <c r="BX195" s="304">
        <f t="shared" si="442"/>
        <v>0</v>
      </c>
      <c r="BY195" s="43">
        <f t="shared" si="442"/>
        <v>0</v>
      </c>
      <c r="BZ195" s="43">
        <f t="shared" si="442"/>
        <v>7000.3824199999999</v>
      </c>
      <c r="CA195" s="43">
        <f t="shared" si="297"/>
        <v>7000.3824200000008</v>
      </c>
      <c r="CB195" s="43">
        <f t="shared" si="298"/>
        <v>0</v>
      </c>
      <c r="CC195" s="43">
        <f t="shared" si="299"/>
        <v>7000.3824200000008</v>
      </c>
      <c r="CD195" s="43">
        <f t="shared" si="300"/>
        <v>0</v>
      </c>
      <c r="CE195" s="43">
        <f t="shared" si="442"/>
        <v>0</v>
      </c>
      <c r="CF195" s="43">
        <f t="shared" si="301"/>
        <v>0</v>
      </c>
      <c r="CG195" s="43">
        <f t="shared" si="302"/>
        <v>0</v>
      </c>
      <c r="CH195" s="43">
        <f t="shared" si="303"/>
        <v>0</v>
      </c>
      <c r="CI195" s="43">
        <f t="shared" si="304"/>
        <v>0</v>
      </c>
      <c r="CJ195" s="43">
        <f t="shared" si="442"/>
        <v>0</v>
      </c>
      <c r="CK195" s="46">
        <f>CL195+CN195-BF195</f>
        <v>4859.8159999999998</v>
      </c>
      <c r="CL195" s="47">
        <f t="shared" ref="CL195:DF195" si="443">SUM(CL196:CL202)-CL197</f>
        <v>4859.8159999999998</v>
      </c>
      <c r="CM195" s="47">
        <f t="shared" si="443"/>
        <v>4859.8159999999998</v>
      </c>
      <c r="CN195" s="43">
        <f t="shared" si="443"/>
        <v>0</v>
      </c>
      <c r="CO195" s="43">
        <f t="shared" si="443"/>
        <v>0</v>
      </c>
      <c r="CP195" s="43">
        <f t="shared" si="443"/>
        <v>0</v>
      </c>
      <c r="CQ195" s="43">
        <f t="shared" si="443"/>
        <v>0</v>
      </c>
      <c r="CR195" s="43">
        <f t="shared" si="443"/>
        <v>0</v>
      </c>
      <c r="CS195" s="43">
        <f t="shared" si="443"/>
        <v>0</v>
      </c>
      <c r="CT195" s="43">
        <f t="shared" si="443"/>
        <v>0</v>
      </c>
      <c r="CU195" s="43">
        <f t="shared" si="443"/>
        <v>0</v>
      </c>
      <c r="CV195" s="43">
        <f t="shared" si="443"/>
        <v>0</v>
      </c>
      <c r="CW195" s="43">
        <f t="shared" si="443"/>
        <v>0</v>
      </c>
      <c r="CX195" s="43">
        <f t="shared" si="443"/>
        <v>0</v>
      </c>
      <c r="CY195" s="43">
        <f t="shared" si="443"/>
        <v>0</v>
      </c>
      <c r="CZ195" s="43">
        <f t="shared" si="443"/>
        <v>0</v>
      </c>
      <c r="DA195" s="43">
        <f t="shared" si="443"/>
        <v>0</v>
      </c>
      <c r="DB195" s="43">
        <f t="shared" si="443"/>
        <v>0</v>
      </c>
      <c r="DC195" s="43">
        <f t="shared" si="443"/>
        <v>0</v>
      </c>
      <c r="DD195" s="43">
        <f t="shared" si="443"/>
        <v>0</v>
      </c>
      <c r="DE195" s="43">
        <f t="shared" si="443"/>
        <v>0</v>
      </c>
      <c r="DF195" s="43">
        <f t="shared" si="443"/>
        <v>0</v>
      </c>
      <c r="DH195" s="43">
        <f>SUM(DH196:DH202)-DH197</f>
        <v>4859.8159999999998</v>
      </c>
      <c r="DI195" s="43">
        <f>SUM(DI196:DI202)-DI197</f>
        <v>4859.8160000000007</v>
      </c>
      <c r="DK195" s="43">
        <f>SUM(DK196:DK202)-DK197</f>
        <v>4859.8159999999998</v>
      </c>
      <c r="DL195" s="43">
        <f>SUM(DL196:DL202)-DL197</f>
        <v>0</v>
      </c>
      <c r="DN195" s="43">
        <f>SUM(DN196:DN202)-DN197</f>
        <v>0</v>
      </c>
      <c r="DO195" s="49">
        <f>DF195-DN195</f>
        <v>0</v>
      </c>
      <c r="DP195" s="49"/>
      <c r="DQ195" s="43">
        <f>SUM(DQ196:DQ202)-DQ197</f>
        <v>4859.8160000000007</v>
      </c>
      <c r="DR195" s="43">
        <f t="shared" ref="DR195:DU195" si="444">SUM(DR196:DR202)-DR197</f>
        <v>0</v>
      </c>
      <c r="DS195" s="43">
        <f t="shared" si="444"/>
        <v>4859.8160000000007</v>
      </c>
      <c r="DT195" s="43">
        <f t="shared" si="444"/>
        <v>0</v>
      </c>
      <c r="DU195" s="43">
        <f t="shared" si="444"/>
        <v>0</v>
      </c>
      <c r="DV195" s="43">
        <f>SUM(DV196:DV202)-DV197</f>
        <v>1070.4702600000001</v>
      </c>
      <c r="DW195" s="43">
        <f t="shared" ref="DW195:DZ195" si="445">SUM(DW196:DW202)-DW197</f>
        <v>0</v>
      </c>
      <c r="DX195" s="43">
        <f t="shared" si="445"/>
        <v>1070.4702600000001</v>
      </c>
      <c r="DY195" s="43">
        <f t="shared" si="445"/>
        <v>0</v>
      </c>
      <c r="DZ195" s="43">
        <f t="shared" si="445"/>
        <v>0</v>
      </c>
      <c r="EA195" s="372"/>
      <c r="EB195" s="372"/>
      <c r="EC195" s="372"/>
      <c r="ED195" s="372"/>
      <c r="EE195" s="372"/>
      <c r="EF195" s="372"/>
      <c r="EG195" s="372"/>
      <c r="EH195" s="372"/>
      <c r="EI195" s="372"/>
      <c r="EJ195" s="372"/>
      <c r="EK195" s="372"/>
      <c r="EL195" s="372"/>
      <c r="EM195" s="372"/>
      <c r="EN195" s="372"/>
      <c r="EO195" s="372"/>
      <c r="EP195" s="372"/>
      <c r="EQ195" s="372"/>
      <c r="ER195" s="372"/>
      <c r="ES195" s="372"/>
      <c r="ET195" s="372"/>
      <c r="EU195" s="372"/>
      <c r="EV195" s="372"/>
      <c r="EW195" s="372"/>
      <c r="EX195" s="372"/>
      <c r="EY195" s="372"/>
      <c r="EZ195" s="372"/>
      <c r="FA195" s="372"/>
      <c r="FB195" s="372"/>
      <c r="FC195" s="372"/>
      <c r="FD195" s="372"/>
      <c r="FE195" s="372"/>
      <c r="FF195" s="372"/>
      <c r="FG195" s="372"/>
      <c r="FH195" s="372"/>
      <c r="FI195" s="372"/>
      <c r="FJ195" s="372"/>
      <c r="FK195" s="372"/>
      <c r="FL195" s="372"/>
      <c r="FM195" s="372"/>
      <c r="FN195" s="372"/>
      <c r="FO195" s="372"/>
      <c r="FP195" s="372"/>
      <c r="FQ195" s="372"/>
      <c r="FR195" s="372"/>
      <c r="FS195" s="372"/>
      <c r="FT195" s="372"/>
      <c r="FU195" s="372"/>
      <c r="FV195" s="372"/>
      <c r="FW195" s="372"/>
      <c r="FX195" s="372"/>
      <c r="FY195" s="372"/>
      <c r="FZ195" s="372"/>
      <c r="GA195" s="372"/>
      <c r="GB195" s="372"/>
      <c r="GC195" s="372"/>
      <c r="GD195" s="372"/>
      <c r="GE195" s="372"/>
      <c r="GF195" s="372"/>
      <c r="GG195" s="372"/>
      <c r="GH195" s="372"/>
      <c r="GI195" s="372"/>
      <c r="GJ195" s="372"/>
      <c r="GK195" s="372"/>
      <c r="GL195" s="372"/>
      <c r="GM195" s="372"/>
      <c r="GN195" s="372"/>
      <c r="GO195" s="372"/>
      <c r="GP195" s="372"/>
      <c r="GQ195" s="372"/>
      <c r="GR195" s="372"/>
    </row>
    <row r="196" spans="1:200" s="61" customFormat="1" ht="14.25" customHeight="1" x14ac:dyDescent="0.3">
      <c r="A196" s="280"/>
      <c r="B196" s="281">
        <v>1</v>
      </c>
      <c r="C196" s="282"/>
      <c r="D196" s="282"/>
      <c r="E196" s="4">
        <v>165</v>
      </c>
      <c r="F196" s="281"/>
      <c r="G196" s="282"/>
      <c r="H196" s="282"/>
      <c r="I196" s="4"/>
      <c r="J196" s="283"/>
      <c r="K196" s="283"/>
      <c r="L196" s="286"/>
      <c r="M196" s="4">
        <v>162</v>
      </c>
      <c r="N196" s="62" t="s">
        <v>235</v>
      </c>
      <c r="O196" s="63">
        <v>0</v>
      </c>
      <c r="P196" s="63">
        <v>0</v>
      </c>
      <c r="Q196" s="64">
        <f t="shared" si="305"/>
        <v>0</v>
      </c>
      <c r="R196" s="64">
        <f t="shared" si="306"/>
        <v>0</v>
      </c>
      <c r="S196" s="64">
        <f t="shared" si="307"/>
        <v>0</v>
      </c>
      <c r="T196" s="63"/>
      <c r="U196" s="63"/>
      <c r="V196" s="64">
        <f t="shared" ref="V196:V202" si="446">W196+X196+Y196+Z196</f>
        <v>0</v>
      </c>
      <c r="W196" s="64"/>
      <c r="X196" s="65"/>
      <c r="Y196" s="64"/>
      <c r="Z196" s="60"/>
      <c r="AA196" s="64">
        <f t="shared" ref="AA196:AA202" si="447">AB196+AC196+AD196+AE196</f>
        <v>0</v>
      </c>
      <c r="AB196" s="64"/>
      <c r="AC196" s="65"/>
      <c r="AD196" s="64"/>
      <c r="AE196" s="60"/>
      <c r="AF196" s="64">
        <f t="shared" ref="AF196:AF202" si="448">AG196+AH196+AI196+AJ196</f>
        <v>0</v>
      </c>
      <c r="AG196" s="64"/>
      <c r="AH196" s="65"/>
      <c r="AI196" s="64"/>
      <c r="AJ196" s="60"/>
      <c r="AK196" s="64">
        <f t="shared" ref="AK196:AK202" si="449">AL196+AM196+AN196+AO196</f>
        <v>0</v>
      </c>
      <c r="AL196" s="64"/>
      <c r="AM196" s="65"/>
      <c r="AN196" s="64"/>
      <c r="AO196" s="64"/>
      <c r="AP196" s="64"/>
      <c r="AQ196" s="64">
        <f t="shared" ref="AQ196:AQ202" si="450">AR196+AS196+AT196+AU196</f>
        <v>0</v>
      </c>
      <c r="AR196" s="64"/>
      <c r="AS196" s="64"/>
      <c r="AT196" s="64"/>
      <c r="AU196" s="64"/>
      <c r="AV196" s="64">
        <f t="shared" si="293"/>
        <v>0</v>
      </c>
      <c r="AW196" s="64">
        <f t="shared" si="294"/>
        <v>0</v>
      </c>
      <c r="AX196" s="64">
        <f t="shared" si="295"/>
        <v>0</v>
      </c>
      <c r="AY196" s="64">
        <f t="shared" si="296"/>
        <v>0</v>
      </c>
      <c r="AZ196" s="64" t="e">
        <f>#REF!-AU196</f>
        <v>#REF!</v>
      </c>
      <c r="BA196" s="64">
        <f t="shared" ref="BA196:BA202" si="451">BB196+BC196+BD196+BE196</f>
        <v>0</v>
      </c>
      <c r="BB196" s="64"/>
      <c r="BC196" s="64"/>
      <c r="BD196" s="64"/>
      <c r="BE196" s="64"/>
      <c r="BF196" s="64">
        <f t="shared" ref="BF196:BF202" si="452">BG196+BH196+BI196+BJ196</f>
        <v>0</v>
      </c>
      <c r="BG196" s="64"/>
      <c r="BH196" s="64"/>
      <c r="BI196" s="64"/>
      <c r="BJ196" s="64"/>
      <c r="BK196" s="64">
        <f t="shared" ref="BK196:BK202" si="453">BL196+BM196+BN196+BO196</f>
        <v>0</v>
      </c>
      <c r="BL196" s="64"/>
      <c r="BM196" s="64"/>
      <c r="BN196" s="64"/>
      <c r="BO196" s="64"/>
      <c r="BP196" s="64">
        <f t="shared" ref="BP196:BP202" si="454">BQ196+BR196+BS196+BT196</f>
        <v>0</v>
      </c>
      <c r="BQ196" s="64"/>
      <c r="BR196" s="64"/>
      <c r="BS196" s="64"/>
      <c r="BT196" s="64"/>
      <c r="BU196" s="64">
        <f t="shared" ref="BU196:BU202" si="455">BV196+BW196+BX196+BY196</f>
        <v>0</v>
      </c>
      <c r="BV196" s="64"/>
      <c r="BW196" s="64"/>
      <c r="BX196" s="64"/>
      <c r="BY196" s="64"/>
      <c r="BZ196" s="60">
        <f t="shared" ref="BZ196:BZ202" si="456">CA196</f>
        <v>0</v>
      </c>
      <c r="CA196" s="64">
        <f t="shared" si="297"/>
        <v>0</v>
      </c>
      <c r="CB196" s="64">
        <f t="shared" si="298"/>
        <v>0</v>
      </c>
      <c r="CC196" s="64">
        <f t="shared" si="299"/>
        <v>0</v>
      </c>
      <c r="CD196" s="64">
        <f t="shared" si="300"/>
        <v>0</v>
      </c>
      <c r="CE196" s="64">
        <f t="shared" ref="CE196:CE202" si="457">BT196+BY196</f>
        <v>0</v>
      </c>
      <c r="CF196" s="64">
        <f t="shared" si="301"/>
        <v>0</v>
      </c>
      <c r="CG196" s="64">
        <f t="shared" si="302"/>
        <v>0</v>
      </c>
      <c r="CH196" s="64">
        <f t="shared" si="303"/>
        <v>0</v>
      </c>
      <c r="CI196" s="64">
        <f t="shared" si="304"/>
        <v>0</v>
      </c>
      <c r="CJ196" s="64">
        <f t="shared" ref="CJ196:CJ202" si="458">BO196-BT196</f>
        <v>0</v>
      </c>
      <c r="CK196" s="66"/>
      <c r="CL196" s="67"/>
      <c r="CM196" s="67"/>
      <c r="CN196" s="64">
        <f t="shared" ref="CN196:CN202" si="459">CO196+CP196+CQ196+CR196</f>
        <v>0</v>
      </c>
      <c r="CO196" s="64"/>
      <c r="CP196" s="64"/>
      <c r="CQ196" s="64"/>
      <c r="CR196" s="64"/>
      <c r="CS196" s="64">
        <f t="shared" ref="CS196:CS202" si="460">CT196+CU196+CV196+CW196</f>
        <v>0</v>
      </c>
      <c r="CT196" s="64"/>
      <c r="CU196" s="64"/>
      <c r="CV196" s="64"/>
      <c r="CW196" s="64"/>
      <c r="CX196" s="64">
        <f t="shared" ref="CX196:CX202" si="461">CY196+CZ196+DA196+DB196</f>
        <v>0</v>
      </c>
      <c r="CY196" s="64">
        <f t="shared" ref="CY196:DB202" si="462">CO196-CT196</f>
        <v>0</v>
      </c>
      <c r="CZ196" s="64">
        <f t="shared" si="462"/>
        <v>0</v>
      </c>
      <c r="DA196" s="64">
        <f t="shared" si="462"/>
        <v>0</v>
      </c>
      <c r="DB196" s="64">
        <f t="shared" si="462"/>
        <v>0</v>
      </c>
      <c r="DC196" s="64"/>
      <c r="DD196" s="64"/>
      <c r="DE196" s="64"/>
      <c r="DF196" s="64">
        <f t="shared" ref="DF196:DF202" si="463">CF196+CX196+DE196</f>
        <v>0</v>
      </c>
      <c r="DH196" s="64">
        <f t="shared" ref="DH196:DH202" si="464">BK196+CN196+DC196</f>
        <v>0</v>
      </c>
      <c r="DI196" s="64">
        <f t="shared" ref="DI196:DI202" si="465">BP196+CS196+DD196</f>
        <v>0</v>
      </c>
      <c r="DK196" s="64">
        <f t="shared" ref="DK196:DK197" si="466">DI196</f>
        <v>0</v>
      </c>
      <c r="DL196" s="64">
        <f t="shared" ref="DL196:DL197" si="467">DF196</f>
        <v>0</v>
      </c>
      <c r="DN196" s="64">
        <f>CM196-DK196</f>
        <v>0</v>
      </c>
      <c r="DQ196" s="64">
        <f t="shared" ref="DQ196:DQ202" si="468">DR196+DS196+DT196+DU196</f>
        <v>0</v>
      </c>
      <c r="DR196" s="64"/>
      <c r="DS196" s="64"/>
      <c r="DT196" s="64"/>
      <c r="DU196" s="64"/>
      <c r="DV196" s="64">
        <f t="shared" ref="DV196:DV202" si="469">DW196+DX196+DY196+DZ196</f>
        <v>0</v>
      </c>
      <c r="DW196" s="64"/>
      <c r="DX196" s="64"/>
      <c r="DY196" s="64"/>
      <c r="DZ196" s="64"/>
      <c r="EA196" s="375"/>
      <c r="EB196" s="375"/>
      <c r="EC196" s="375"/>
      <c r="ED196" s="375"/>
      <c r="EE196" s="375"/>
      <c r="EF196" s="375"/>
      <c r="EG196" s="375"/>
      <c r="EH196" s="375"/>
      <c r="EI196" s="375"/>
      <c r="EJ196" s="375"/>
      <c r="EK196" s="375"/>
      <c r="EL196" s="375"/>
      <c r="EM196" s="375"/>
      <c r="EN196" s="375"/>
      <c r="EO196" s="375"/>
      <c r="EP196" s="375"/>
      <c r="EQ196" s="375"/>
      <c r="ER196" s="375"/>
      <c r="ES196" s="375"/>
      <c r="ET196" s="375"/>
      <c r="EU196" s="375"/>
      <c r="EV196" s="375"/>
      <c r="EW196" s="375"/>
      <c r="EX196" s="375"/>
      <c r="EY196" s="375"/>
      <c r="EZ196" s="375"/>
      <c r="FA196" s="375"/>
      <c r="FB196" s="375"/>
      <c r="FC196" s="375"/>
      <c r="FD196" s="375"/>
      <c r="FE196" s="375"/>
      <c r="FF196" s="375"/>
      <c r="FG196" s="375"/>
      <c r="FH196" s="375"/>
      <c r="FI196" s="375"/>
      <c r="FJ196" s="375"/>
      <c r="FK196" s="375"/>
      <c r="FL196" s="375"/>
      <c r="FM196" s="375"/>
      <c r="FN196" s="375"/>
      <c r="FO196" s="375"/>
      <c r="FP196" s="375"/>
      <c r="FQ196" s="375"/>
      <c r="FR196" s="375"/>
      <c r="FS196" s="375"/>
      <c r="FT196" s="375"/>
      <c r="FU196" s="375"/>
      <c r="FV196" s="375"/>
      <c r="FW196" s="375"/>
      <c r="FX196" s="375"/>
      <c r="FY196" s="375"/>
      <c r="FZ196" s="375"/>
      <c r="GA196" s="375"/>
      <c r="GB196" s="375"/>
      <c r="GC196" s="375"/>
      <c r="GD196" s="375"/>
      <c r="GE196" s="375"/>
      <c r="GF196" s="375"/>
      <c r="GG196" s="375"/>
      <c r="GH196" s="375"/>
      <c r="GI196" s="375"/>
      <c r="GJ196" s="375"/>
      <c r="GK196" s="375"/>
      <c r="GL196" s="375"/>
      <c r="GM196" s="375"/>
      <c r="GN196" s="375"/>
      <c r="GO196" s="375"/>
      <c r="GP196" s="375"/>
      <c r="GQ196" s="375"/>
      <c r="GR196" s="375"/>
    </row>
    <row r="197" spans="1:200" s="61" customFormat="1" ht="15.75" hidden="1" customHeight="1" x14ac:dyDescent="0.3">
      <c r="A197" s="280"/>
      <c r="B197" s="281"/>
      <c r="C197" s="282"/>
      <c r="D197" s="282"/>
      <c r="E197" s="4"/>
      <c r="F197" s="281"/>
      <c r="G197" s="282"/>
      <c r="H197" s="282"/>
      <c r="I197" s="4"/>
      <c r="J197" s="283"/>
      <c r="K197" s="283"/>
      <c r="L197" s="286"/>
      <c r="M197" s="4"/>
      <c r="N197" s="371" t="s">
        <v>249</v>
      </c>
      <c r="O197" s="69">
        <v>0</v>
      </c>
      <c r="P197" s="63">
        <v>0</v>
      </c>
      <c r="Q197" s="64">
        <f t="shared" si="305"/>
        <v>0</v>
      </c>
      <c r="R197" s="64">
        <f t="shared" si="306"/>
        <v>0</v>
      </c>
      <c r="S197" s="64">
        <f t="shared" si="307"/>
        <v>0</v>
      </c>
      <c r="T197" s="69"/>
      <c r="U197" s="69"/>
      <c r="V197" s="64">
        <f t="shared" si="446"/>
        <v>0</v>
      </c>
      <c r="W197" s="64"/>
      <c r="X197" s="65"/>
      <c r="Y197" s="64"/>
      <c r="Z197" s="60"/>
      <c r="AA197" s="64">
        <f t="shared" si="447"/>
        <v>0</v>
      </c>
      <c r="AB197" s="64"/>
      <c r="AC197" s="65"/>
      <c r="AD197" s="64"/>
      <c r="AE197" s="60"/>
      <c r="AF197" s="64">
        <f t="shared" si="448"/>
        <v>0</v>
      </c>
      <c r="AG197" s="64"/>
      <c r="AH197" s="65"/>
      <c r="AI197" s="64"/>
      <c r="AJ197" s="60"/>
      <c r="AK197" s="64">
        <f t="shared" si="449"/>
        <v>0</v>
      </c>
      <c r="AL197" s="64"/>
      <c r="AM197" s="65"/>
      <c r="AN197" s="64"/>
      <c r="AO197" s="64"/>
      <c r="AP197" s="64"/>
      <c r="AQ197" s="64">
        <f t="shared" si="450"/>
        <v>0</v>
      </c>
      <c r="AR197" s="64"/>
      <c r="AS197" s="64"/>
      <c r="AT197" s="64"/>
      <c r="AU197" s="64"/>
      <c r="AV197" s="64">
        <f t="shared" si="293"/>
        <v>0</v>
      </c>
      <c r="AW197" s="64">
        <f t="shared" si="294"/>
        <v>0</v>
      </c>
      <c r="AX197" s="64">
        <f t="shared" si="295"/>
        <v>0</v>
      </c>
      <c r="AY197" s="64">
        <f t="shared" si="296"/>
        <v>0</v>
      </c>
      <c r="AZ197" s="64" t="e">
        <f>#REF!-AU197</f>
        <v>#REF!</v>
      </c>
      <c r="BA197" s="64">
        <f t="shared" si="451"/>
        <v>0</v>
      </c>
      <c r="BB197" s="64"/>
      <c r="BC197" s="64"/>
      <c r="BD197" s="64"/>
      <c r="BE197" s="64"/>
      <c r="BF197" s="64">
        <f t="shared" si="452"/>
        <v>0</v>
      </c>
      <c r="BG197" s="64"/>
      <c r="BH197" s="64"/>
      <c r="BI197" s="64"/>
      <c r="BJ197" s="64"/>
      <c r="BK197" s="64">
        <f t="shared" si="453"/>
        <v>0</v>
      </c>
      <c r="BL197" s="64"/>
      <c r="BM197" s="64"/>
      <c r="BN197" s="64"/>
      <c r="BO197" s="64"/>
      <c r="BP197" s="64">
        <f t="shared" si="454"/>
        <v>0</v>
      </c>
      <c r="BQ197" s="64"/>
      <c r="BR197" s="64"/>
      <c r="BS197" s="64"/>
      <c r="BT197" s="64"/>
      <c r="BU197" s="64">
        <f t="shared" si="455"/>
        <v>0</v>
      </c>
      <c r="BV197" s="64"/>
      <c r="BW197" s="64"/>
      <c r="BX197" s="64"/>
      <c r="BY197" s="64"/>
      <c r="BZ197" s="60">
        <f t="shared" si="456"/>
        <v>0</v>
      </c>
      <c r="CA197" s="64">
        <f t="shared" si="297"/>
        <v>0</v>
      </c>
      <c r="CB197" s="64">
        <f t="shared" si="298"/>
        <v>0</v>
      </c>
      <c r="CC197" s="64">
        <f t="shared" si="299"/>
        <v>0</v>
      </c>
      <c r="CD197" s="64">
        <f t="shared" si="300"/>
        <v>0</v>
      </c>
      <c r="CE197" s="64">
        <f t="shared" si="457"/>
        <v>0</v>
      </c>
      <c r="CF197" s="64">
        <f t="shared" si="301"/>
        <v>0</v>
      </c>
      <c r="CG197" s="64">
        <f t="shared" si="302"/>
        <v>0</v>
      </c>
      <c r="CH197" s="64">
        <f t="shared" si="303"/>
        <v>0</v>
      </c>
      <c r="CI197" s="64">
        <f t="shared" si="304"/>
        <v>0</v>
      </c>
      <c r="CJ197" s="64">
        <f t="shared" si="458"/>
        <v>0</v>
      </c>
      <c r="CK197" s="66"/>
      <c r="CL197" s="67"/>
      <c r="CM197" s="67"/>
      <c r="CN197" s="64">
        <f t="shared" si="459"/>
        <v>0</v>
      </c>
      <c r="CO197" s="64"/>
      <c r="CP197" s="64"/>
      <c r="CQ197" s="64"/>
      <c r="CR197" s="64"/>
      <c r="CS197" s="64">
        <f t="shared" si="460"/>
        <v>0</v>
      </c>
      <c r="CT197" s="64"/>
      <c r="CU197" s="64"/>
      <c r="CV197" s="64"/>
      <c r="CW197" s="64"/>
      <c r="CX197" s="64">
        <f t="shared" si="461"/>
        <v>0</v>
      </c>
      <c r="CY197" s="64">
        <f t="shared" si="462"/>
        <v>0</v>
      </c>
      <c r="CZ197" s="64">
        <f t="shared" si="462"/>
        <v>0</v>
      </c>
      <c r="DA197" s="64">
        <f t="shared" si="462"/>
        <v>0</v>
      </c>
      <c r="DB197" s="64">
        <f t="shared" si="462"/>
        <v>0</v>
      </c>
      <c r="DC197" s="64"/>
      <c r="DD197" s="64"/>
      <c r="DE197" s="64"/>
      <c r="DF197" s="64">
        <f t="shared" si="463"/>
        <v>0</v>
      </c>
      <c r="DH197" s="64">
        <f t="shared" si="464"/>
        <v>0</v>
      </c>
      <c r="DI197" s="64">
        <f t="shared" si="465"/>
        <v>0</v>
      </c>
      <c r="DK197" s="64">
        <f t="shared" si="466"/>
        <v>0</v>
      </c>
      <c r="DL197" s="64">
        <f t="shared" si="467"/>
        <v>0</v>
      </c>
      <c r="DN197" s="64"/>
      <c r="DQ197" s="64">
        <f t="shared" si="468"/>
        <v>0</v>
      </c>
      <c r="DR197" s="64"/>
      <c r="DS197" s="64"/>
      <c r="DT197" s="64"/>
      <c r="DU197" s="64"/>
      <c r="DV197" s="64">
        <f t="shared" si="469"/>
        <v>0</v>
      </c>
      <c r="DW197" s="64"/>
      <c r="DX197" s="64"/>
      <c r="DY197" s="64"/>
      <c r="DZ197" s="64"/>
      <c r="EA197" s="375"/>
      <c r="EB197" s="375"/>
      <c r="EC197" s="375"/>
      <c r="ED197" s="375"/>
      <c r="EE197" s="375"/>
      <c r="EF197" s="375"/>
      <c r="EG197" s="375"/>
      <c r="EH197" s="375"/>
      <c r="EI197" s="375"/>
      <c r="EJ197" s="375"/>
      <c r="EK197" s="375"/>
      <c r="EL197" s="375"/>
      <c r="EM197" s="375"/>
      <c r="EN197" s="375"/>
      <c r="EO197" s="375"/>
      <c r="EP197" s="375"/>
      <c r="EQ197" s="375"/>
      <c r="ER197" s="375"/>
      <c r="ES197" s="375"/>
      <c r="ET197" s="375"/>
      <c r="EU197" s="375"/>
      <c r="EV197" s="375"/>
      <c r="EW197" s="375"/>
      <c r="EX197" s="375"/>
      <c r="EY197" s="375"/>
      <c r="EZ197" s="375"/>
      <c r="FA197" s="375"/>
      <c r="FB197" s="375"/>
      <c r="FC197" s="375"/>
      <c r="FD197" s="375"/>
      <c r="FE197" s="375"/>
      <c r="FF197" s="375"/>
      <c r="FG197" s="375"/>
      <c r="FH197" s="375"/>
      <c r="FI197" s="375"/>
      <c r="FJ197" s="375"/>
      <c r="FK197" s="375"/>
      <c r="FL197" s="375"/>
      <c r="FM197" s="375"/>
      <c r="FN197" s="375"/>
      <c r="FO197" s="375"/>
      <c r="FP197" s="375"/>
      <c r="FQ197" s="375"/>
      <c r="FR197" s="375"/>
      <c r="FS197" s="375"/>
      <c r="FT197" s="375"/>
      <c r="FU197" s="375"/>
      <c r="FV197" s="375"/>
      <c r="FW197" s="375"/>
      <c r="FX197" s="375"/>
      <c r="FY197" s="375"/>
      <c r="FZ197" s="375"/>
      <c r="GA197" s="375"/>
      <c r="GB197" s="375"/>
      <c r="GC197" s="375"/>
      <c r="GD197" s="375"/>
      <c r="GE197" s="375"/>
      <c r="GF197" s="375"/>
      <c r="GG197" s="375"/>
      <c r="GH197" s="375"/>
      <c r="GI197" s="375"/>
      <c r="GJ197" s="375"/>
      <c r="GK197" s="375"/>
      <c r="GL197" s="375"/>
      <c r="GM197" s="375"/>
      <c r="GN197" s="375"/>
      <c r="GO197" s="375"/>
      <c r="GP197" s="375"/>
      <c r="GQ197" s="375"/>
      <c r="GR197" s="375"/>
    </row>
    <row r="198" spans="1:200" s="61" customFormat="1" ht="15.75" customHeight="1" x14ac:dyDescent="0.3">
      <c r="A198" s="280"/>
      <c r="B198" s="281"/>
      <c r="C198" s="282">
        <v>1</v>
      </c>
      <c r="D198" s="282"/>
      <c r="E198" s="4">
        <v>166</v>
      </c>
      <c r="F198" s="281"/>
      <c r="G198" s="282">
        <v>1</v>
      </c>
      <c r="H198" s="282">
        <v>1</v>
      </c>
      <c r="I198" s="4"/>
      <c r="J198" s="283"/>
      <c r="K198" s="283"/>
      <c r="L198" s="286"/>
      <c r="M198" s="4">
        <v>163</v>
      </c>
      <c r="N198" s="62" t="s">
        <v>236</v>
      </c>
      <c r="O198" s="62" t="s">
        <v>448</v>
      </c>
      <c r="P198" s="62" t="s">
        <v>448</v>
      </c>
      <c r="Q198" s="60">
        <f t="shared" si="305"/>
        <v>0</v>
      </c>
      <c r="R198" s="60">
        <f t="shared" si="306"/>
        <v>0</v>
      </c>
      <c r="S198" s="60">
        <f t="shared" si="307"/>
        <v>0</v>
      </c>
      <c r="T198" s="60">
        <v>1</v>
      </c>
      <c r="U198" s="60"/>
      <c r="V198" s="64">
        <f t="shared" si="446"/>
        <v>683.1</v>
      </c>
      <c r="W198" s="64"/>
      <c r="X198" s="65">
        <v>683.1</v>
      </c>
      <c r="Y198" s="64"/>
      <c r="Z198" s="73"/>
      <c r="AA198" s="64">
        <f t="shared" si="447"/>
        <v>683.1</v>
      </c>
      <c r="AB198" s="64"/>
      <c r="AC198" s="65">
        <v>683.1</v>
      </c>
      <c r="AD198" s="64"/>
      <c r="AE198" s="73"/>
      <c r="AF198" s="64">
        <f t="shared" si="448"/>
        <v>683.1</v>
      </c>
      <c r="AG198" s="64"/>
      <c r="AH198" s="65">
        <v>683.1</v>
      </c>
      <c r="AI198" s="64"/>
      <c r="AJ198" s="73"/>
      <c r="AK198" s="64">
        <f t="shared" si="449"/>
        <v>297</v>
      </c>
      <c r="AL198" s="64"/>
      <c r="AM198" s="65">
        <v>297</v>
      </c>
      <c r="AN198" s="64"/>
      <c r="AO198" s="73"/>
      <c r="AP198" s="83" t="s">
        <v>383</v>
      </c>
      <c r="AQ198" s="64">
        <f t="shared" si="450"/>
        <v>683.1</v>
      </c>
      <c r="AR198" s="64"/>
      <c r="AS198" s="65">
        <v>683.1</v>
      </c>
      <c r="AT198" s="64"/>
      <c r="AU198" s="64"/>
      <c r="AV198" s="64">
        <f t="shared" si="293"/>
        <v>0</v>
      </c>
      <c r="AW198" s="64">
        <f t="shared" si="294"/>
        <v>0</v>
      </c>
      <c r="AX198" s="64">
        <f t="shared" si="295"/>
        <v>0</v>
      </c>
      <c r="AY198" s="64">
        <f t="shared" si="296"/>
        <v>0</v>
      </c>
      <c r="AZ198" s="64" t="e">
        <f>#REF!-AU198</f>
        <v>#REF!</v>
      </c>
      <c r="BA198" s="64">
        <f t="shared" si="451"/>
        <v>683.1</v>
      </c>
      <c r="BB198" s="64"/>
      <c r="BC198" s="65">
        <v>683.1</v>
      </c>
      <c r="BD198" s="64"/>
      <c r="BE198" s="64"/>
      <c r="BF198" s="64">
        <f t="shared" si="452"/>
        <v>0</v>
      </c>
      <c r="BG198" s="64"/>
      <c r="BH198" s="65"/>
      <c r="BI198" s="64"/>
      <c r="BJ198" s="64"/>
      <c r="BK198" s="64">
        <f t="shared" si="453"/>
        <v>683.1</v>
      </c>
      <c r="BL198" s="64"/>
      <c r="BM198" s="65">
        <v>683.1</v>
      </c>
      <c r="BN198" s="64"/>
      <c r="BO198" s="64"/>
      <c r="BP198" s="64">
        <f t="shared" si="454"/>
        <v>683.1</v>
      </c>
      <c r="BQ198" s="64"/>
      <c r="BR198" s="74">
        <v>683.1</v>
      </c>
      <c r="BS198" s="64"/>
      <c r="BT198" s="64"/>
      <c r="BU198" s="64">
        <f t="shared" si="455"/>
        <v>421</v>
      </c>
      <c r="BV198" s="64"/>
      <c r="BW198" s="64">
        <v>421</v>
      </c>
      <c r="BX198" s="64"/>
      <c r="BY198" s="64"/>
      <c r="BZ198" s="60">
        <f t="shared" si="456"/>
        <v>1104.0999999999999</v>
      </c>
      <c r="CA198" s="64">
        <f t="shared" si="297"/>
        <v>1104.0999999999999</v>
      </c>
      <c r="CB198" s="64">
        <f t="shared" si="298"/>
        <v>0</v>
      </c>
      <c r="CC198" s="64">
        <f t="shared" si="299"/>
        <v>1104.0999999999999</v>
      </c>
      <c r="CD198" s="64">
        <f t="shared" si="300"/>
        <v>0</v>
      </c>
      <c r="CE198" s="64">
        <f t="shared" si="457"/>
        <v>0</v>
      </c>
      <c r="CF198" s="64">
        <f t="shared" si="301"/>
        <v>0</v>
      </c>
      <c r="CG198" s="64">
        <f t="shared" si="302"/>
        <v>0</v>
      </c>
      <c r="CH198" s="64">
        <f t="shared" si="303"/>
        <v>0</v>
      </c>
      <c r="CI198" s="64">
        <f t="shared" si="304"/>
        <v>0</v>
      </c>
      <c r="CJ198" s="64">
        <f t="shared" si="458"/>
        <v>0</v>
      </c>
      <c r="CK198" s="66"/>
      <c r="CL198" s="76">
        <f>BA198+BA200+BA201+BA202</f>
        <v>4102.8189999999995</v>
      </c>
      <c r="CM198" s="76">
        <f>CL198-BF198</f>
        <v>4102.8189999999995</v>
      </c>
      <c r="CN198" s="64">
        <f t="shared" si="459"/>
        <v>0</v>
      </c>
      <c r="CO198" s="64"/>
      <c r="CP198" s="65"/>
      <c r="CQ198" s="64"/>
      <c r="CR198" s="64"/>
      <c r="CS198" s="64">
        <f t="shared" si="460"/>
        <v>0</v>
      </c>
      <c r="CT198" s="64"/>
      <c r="CU198" s="65"/>
      <c r="CV198" s="64"/>
      <c r="CW198" s="64"/>
      <c r="CX198" s="64">
        <f t="shared" si="461"/>
        <v>0</v>
      </c>
      <c r="CY198" s="64">
        <f t="shared" si="462"/>
        <v>0</v>
      </c>
      <c r="CZ198" s="64">
        <f t="shared" si="462"/>
        <v>0</v>
      </c>
      <c r="DA198" s="64">
        <f t="shared" si="462"/>
        <v>0</v>
      </c>
      <c r="DB198" s="64">
        <f t="shared" si="462"/>
        <v>0</v>
      </c>
      <c r="DC198" s="64"/>
      <c r="DD198" s="64"/>
      <c r="DE198" s="64"/>
      <c r="DF198" s="64">
        <f t="shared" si="463"/>
        <v>0</v>
      </c>
      <c r="DH198" s="64">
        <f t="shared" si="464"/>
        <v>683.1</v>
      </c>
      <c r="DI198" s="64">
        <f t="shared" si="465"/>
        <v>683.1</v>
      </c>
      <c r="DK198" s="77">
        <f>DI198+DI200+DI201+DI202</f>
        <v>4102.8189999999995</v>
      </c>
      <c r="DL198" s="77">
        <f>DF198+DF200+DF201+DF202</f>
        <v>0</v>
      </c>
      <c r="DN198" s="64">
        <f>CM198-DK198</f>
        <v>0</v>
      </c>
      <c r="DQ198" s="64">
        <f t="shared" si="468"/>
        <v>683.1</v>
      </c>
      <c r="DR198" s="64"/>
      <c r="DS198" s="74">
        <v>683.1</v>
      </c>
      <c r="DT198" s="64"/>
      <c r="DU198" s="64"/>
      <c r="DV198" s="64">
        <f t="shared" si="469"/>
        <v>0</v>
      </c>
      <c r="DW198" s="64"/>
      <c r="DX198" s="64"/>
      <c r="DY198" s="64"/>
      <c r="DZ198" s="64"/>
      <c r="EA198" s="375"/>
      <c r="EB198" s="375"/>
      <c r="EC198" s="375"/>
      <c r="ED198" s="375"/>
      <c r="EE198" s="375"/>
      <c r="EF198" s="375"/>
      <c r="EG198" s="375"/>
      <c r="EH198" s="375"/>
      <c r="EI198" s="375"/>
      <c r="EJ198" s="375"/>
      <c r="EK198" s="375"/>
      <c r="EL198" s="375"/>
      <c r="EM198" s="375"/>
      <c r="EN198" s="375"/>
      <c r="EO198" s="375"/>
      <c r="EP198" s="375"/>
      <c r="EQ198" s="375"/>
      <c r="ER198" s="375"/>
      <c r="ES198" s="375"/>
      <c r="ET198" s="375"/>
      <c r="EU198" s="375"/>
      <c r="EV198" s="375"/>
      <c r="EW198" s="375"/>
      <c r="EX198" s="375"/>
      <c r="EY198" s="375"/>
      <c r="EZ198" s="375"/>
      <c r="FA198" s="375"/>
      <c r="FB198" s="375"/>
      <c r="FC198" s="375"/>
      <c r="FD198" s="375"/>
      <c r="FE198" s="375"/>
      <c r="FF198" s="375"/>
      <c r="FG198" s="375"/>
      <c r="FH198" s="375"/>
      <c r="FI198" s="375"/>
      <c r="FJ198" s="375"/>
      <c r="FK198" s="375"/>
      <c r="FL198" s="375"/>
      <c r="FM198" s="375"/>
      <c r="FN198" s="375"/>
      <c r="FO198" s="375"/>
      <c r="FP198" s="375"/>
      <c r="FQ198" s="375"/>
      <c r="FR198" s="375"/>
      <c r="FS198" s="375"/>
      <c r="FT198" s="375"/>
      <c r="FU198" s="375"/>
      <c r="FV198" s="375"/>
      <c r="FW198" s="375"/>
      <c r="FX198" s="375"/>
      <c r="FY198" s="375"/>
      <c r="FZ198" s="375"/>
      <c r="GA198" s="375"/>
      <c r="GB198" s="375"/>
      <c r="GC198" s="375"/>
      <c r="GD198" s="375"/>
      <c r="GE198" s="375"/>
      <c r="GF198" s="375"/>
      <c r="GG198" s="375"/>
      <c r="GH198" s="375"/>
      <c r="GI198" s="375"/>
      <c r="GJ198" s="375"/>
      <c r="GK198" s="375"/>
      <c r="GL198" s="375"/>
      <c r="GM198" s="375"/>
      <c r="GN198" s="375"/>
      <c r="GO198" s="375"/>
      <c r="GP198" s="375"/>
      <c r="GQ198" s="375"/>
      <c r="GR198" s="375"/>
    </row>
    <row r="199" spans="1:200" s="61" customFormat="1" ht="15.75" customHeight="1" x14ac:dyDescent="0.3">
      <c r="A199" s="280"/>
      <c r="B199" s="281"/>
      <c r="C199" s="282"/>
      <c r="D199" s="282">
        <v>1</v>
      </c>
      <c r="E199" s="4">
        <v>167</v>
      </c>
      <c r="F199" s="281"/>
      <c r="G199" s="282"/>
      <c r="H199" s="282">
        <v>1</v>
      </c>
      <c r="I199" s="4"/>
      <c r="J199" s="283"/>
      <c r="K199" s="283"/>
      <c r="L199" s="286"/>
      <c r="M199" s="4">
        <v>164</v>
      </c>
      <c r="N199" s="62" t="s">
        <v>237</v>
      </c>
      <c r="O199" s="62" t="s">
        <v>448</v>
      </c>
      <c r="P199" s="62" t="s">
        <v>448</v>
      </c>
      <c r="Q199" s="60">
        <f t="shared" si="305"/>
        <v>0</v>
      </c>
      <c r="R199" s="60">
        <f t="shared" si="306"/>
        <v>0</v>
      </c>
      <c r="S199" s="60">
        <f t="shared" si="307"/>
        <v>0</v>
      </c>
      <c r="T199" s="60">
        <v>1</v>
      </c>
      <c r="U199" s="60">
        <v>1</v>
      </c>
      <c r="V199" s="64">
        <f t="shared" si="446"/>
        <v>756.99699999999996</v>
      </c>
      <c r="W199" s="64"/>
      <c r="X199" s="65">
        <v>756.99699999999996</v>
      </c>
      <c r="Y199" s="64"/>
      <c r="Z199" s="73"/>
      <c r="AA199" s="64">
        <f t="shared" si="447"/>
        <v>800.4</v>
      </c>
      <c r="AB199" s="64"/>
      <c r="AC199" s="65">
        <v>800.4</v>
      </c>
      <c r="AD199" s="64"/>
      <c r="AE199" s="73"/>
      <c r="AF199" s="64">
        <f t="shared" si="448"/>
        <v>800.4</v>
      </c>
      <c r="AG199" s="64"/>
      <c r="AH199" s="65">
        <v>800.4</v>
      </c>
      <c r="AI199" s="64"/>
      <c r="AJ199" s="73"/>
      <c r="AK199" s="64">
        <f t="shared" si="449"/>
        <v>348</v>
      </c>
      <c r="AL199" s="64"/>
      <c r="AM199" s="65">
        <v>348</v>
      </c>
      <c r="AN199" s="64"/>
      <c r="AO199" s="73"/>
      <c r="AP199" s="83" t="s">
        <v>382</v>
      </c>
      <c r="AQ199" s="64">
        <f t="shared" si="450"/>
        <v>756.99700000000007</v>
      </c>
      <c r="AR199" s="64"/>
      <c r="AS199" s="65">
        <f>347+409.997</f>
        <v>756.99700000000007</v>
      </c>
      <c r="AT199" s="64"/>
      <c r="AU199" s="73"/>
      <c r="AV199" s="64">
        <f t="shared" ref="AV199:AV262" si="470">AW199+AX199+AY199</f>
        <v>0</v>
      </c>
      <c r="AW199" s="64">
        <f t="shared" ref="AW199:AW262" si="471">W199-AR199</f>
        <v>0</v>
      </c>
      <c r="AX199" s="64">
        <f t="shared" ref="AX199:AX262" si="472">X199-AS199</f>
        <v>0</v>
      </c>
      <c r="AY199" s="64">
        <f t="shared" ref="AY199:AY262" si="473">Y199-AT199</f>
        <v>0</v>
      </c>
      <c r="AZ199" s="64" t="e">
        <f>#REF!-AU199</f>
        <v>#REF!</v>
      </c>
      <c r="BA199" s="64">
        <f t="shared" si="451"/>
        <v>756.99700000000007</v>
      </c>
      <c r="BB199" s="64"/>
      <c r="BC199" s="65">
        <f>347+409.997</f>
        <v>756.99700000000007</v>
      </c>
      <c r="BD199" s="64"/>
      <c r="BE199" s="73"/>
      <c r="BF199" s="64">
        <f t="shared" si="452"/>
        <v>0</v>
      </c>
      <c r="BG199" s="64"/>
      <c r="BH199" s="65"/>
      <c r="BI199" s="64"/>
      <c r="BJ199" s="73"/>
      <c r="BK199" s="64">
        <f t="shared" si="453"/>
        <v>756.99700000000007</v>
      </c>
      <c r="BL199" s="64"/>
      <c r="BM199" s="65">
        <f>347+409.997</f>
        <v>756.99700000000007</v>
      </c>
      <c r="BN199" s="64"/>
      <c r="BO199" s="74"/>
      <c r="BP199" s="64">
        <f t="shared" si="454"/>
        <v>756.99700000000007</v>
      </c>
      <c r="BQ199" s="64"/>
      <c r="BR199" s="74">
        <f>409.997+347</f>
        <v>756.99700000000007</v>
      </c>
      <c r="BS199" s="64"/>
      <c r="BT199" s="73"/>
      <c r="BU199" s="64">
        <f t="shared" si="455"/>
        <v>253.32938000000001</v>
      </c>
      <c r="BV199" s="64"/>
      <c r="BW199" s="64">
        <f>136.6767+116.65268</f>
        <v>253.32938000000001</v>
      </c>
      <c r="BX199" s="64"/>
      <c r="BY199" s="64"/>
      <c r="BZ199" s="60">
        <f t="shared" si="456"/>
        <v>1010.3263800000001</v>
      </c>
      <c r="CA199" s="64">
        <f t="shared" ref="CA199:CA258" si="474">CB199+CC199+CD199</f>
        <v>1010.3263800000001</v>
      </c>
      <c r="CB199" s="64">
        <f t="shared" ref="CB199:CB258" si="475">BQ199+BV199</f>
        <v>0</v>
      </c>
      <c r="CC199" s="64">
        <f t="shared" ref="CC199:CC258" si="476">BR199+BW199</f>
        <v>1010.3263800000001</v>
      </c>
      <c r="CD199" s="64">
        <f t="shared" ref="CD199:CD258" si="477">BS199+BX199</f>
        <v>0</v>
      </c>
      <c r="CE199" s="64">
        <f t="shared" si="457"/>
        <v>0</v>
      </c>
      <c r="CF199" s="64">
        <f t="shared" ref="CF199:CF262" si="478">CG199+CH199+CI199</f>
        <v>0</v>
      </c>
      <c r="CG199" s="64">
        <f t="shared" ref="CG199:CG262" si="479">BL199-BQ199</f>
        <v>0</v>
      </c>
      <c r="CH199" s="64">
        <f t="shared" ref="CH199:CH262" si="480">BM199-BR199</f>
        <v>0</v>
      </c>
      <c r="CI199" s="64">
        <f t="shared" ref="CI199:CI262" si="481">BN199-BS199</f>
        <v>0</v>
      </c>
      <c r="CJ199" s="64">
        <f t="shared" si="458"/>
        <v>0</v>
      </c>
      <c r="CK199" s="66"/>
      <c r="CL199" s="67">
        <f>BA195-CL196-CL198</f>
        <v>756.9970000000003</v>
      </c>
      <c r="CM199" s="67">
        <f>CL199-BF199</f>
        <v>756.9970000000003</v>
      </c>
      <c r="CN199" s="64">
        <f t="shared" si="459"/>
        <v>0</v>
      </c>
      <c r="CO199" s="64"/>
      <c r="CP199" s="65"/>
      <c r="CQ199" s="64"/>
      <c r="CR199" s="73"/>
      <c r="CS199" s="64">
        <f t="shared" si="460"/>
        <v>0</v>
      </c>
      <c r="CT199" s="64"/>
      <c r="CU199" s="65"/>
      <c r="CV199" s="64"/>
      <c r="CW199" s="73"/>
      <c r="CX199" s="64">
        <f t="shared" si="461"/>
        <v>0</v>
      </c>
      <c r="CY199" s="64">
        <f t="shared" si="462"/>
        <v>0</v>
      </c>
      <c r="CZ199" s="64">
        <f t="shared" si="462"/>
        <v>0</v>
      </c>
      <c r="DA199" s="64">
        <f t="shared" si="462"/>
        <v>0</v>
      </c>
      <c r="DB199" s="64">
        <f t="shared" si="462"/>
        <v>0</v>
      </c>
      <c r="DC199" s="64"/>
      <c r="DD199" s="64"/>
      <c r="DE199" s="64"/>
      <c r="DF199" s="64">
        <f t="shared" si="463"/>
        <v>0</v>
      </c>
      <c r="DH199" s="64">
        <f t="shared" si="464"/>
        <v>756.99700000000007</v>
      </c>
      <c r="DI199" s="64">
        <f t="shared" si="465"/>
        <v>756.99700000000007</v>
      </c>
      <c r="DK199" s="64">
        <f>DI199</f>
        <v>756.99700000000007</v>
      </c>
      <c r="DL199" s="64">
        <f>DF199</f>
        <v>0</v>
      </c>
      <c r="DN199" s="64">
        <f>CM199-DK199</f>
        <v>0</v>
      </c>
      <c r="DQ199" s="64">
        <f t="shared" si="468"/>
        <v>756.99700000000007</v>
      </c>
      <c r="DR199" s="64"/>
      <c r="DS199" s="74">
        <f>409.997+347</f>
        <v>756.99700000000007</v>
      </c>
      <c r="DT199" s="64"/>
      <c r="DU199" s="73"/>
      <c r="DV199" s="64">
        <f t="shared" si="469"/>
        <v>253.32937999999999</v>
      </c>
      <c r="DW199" s="64"/>
      <c r="DX199" s="64">
        <v>253.32937999999999</v>
      </c>
      <c r="DY199" s="64"/>
      <c r="DZ199" s="64"/>
      <c r="EA199" s="375"/>
      <c r="EB199" s="375"/>
      <c r="EC199" s="375"/>
      <c r="ED199" s="375"/>
      <c r="EE199" s="375"/>
      <c r="EF199" s="375"/>
      <c r="EG199" s="375"/>
      <c r="EH199" s="375"/>
      <c r="EI199" s="375"/>
      <c r="EJ199" s="375"/>
      <c r="EK199" s="375"/>
      <c r="EL199" s="375"/>
      <c r="EM199" s="375"/>
      <c r="EN199" s="375"/>
      <c r="EO199" s="375"/>
      <c r="EP199" s="375"/>
      <c r="EQ199" s="375"/>
      <c r="ER199" s="375"/>
      <c r="ES199" s="375"/>
      <c r="ET199" s="375"/>
      <c r="EU199" s="375"/>
      <c r="EV199" s="375"/>
      <c r="EW199" s="375"/>
      <c r="EX199" s="375"/>
      <c r="EY199" s="375"/>
      <c r="EZ199" s="375"/>
      <c r="FA199" s="375"/>
      <c r="FB199" s="375"/>
      <c r="FC199" s="375"/>
      <c r="FD199" s="375"/>
      <c r="FE199" s="375"/>
      <c r="FF199" s="375"/>
      <c r="FG199" s="375"/>
      <c r="FH199" s="375"/>
      <c r="FI199" s="375"/>
      <c r="FJ199" s="375"/>
      <c r="FK199" s="375"/>
      <c r="FL199" s="375"/>
      <c r="FM199" s="375"/>
      <c r="FN199" s="375"/>
      <c r="FO199" s="375"/>
      <c r="FP199" s="375"/>
      <c r="FQ199" s="375"/>
      <c r="FR199" s="375"/>
      <c r="FS199" s="375"/>
      <c r="FT199" s="375"/>
      <c r="FU199" s="375"/>
      <c r="FV199" s="375"/>
      <c r="FW199" s="375"/>
      <c r="FX199" s="375"/>
      <c r="FY199" s="375"/>
      <c r="FZ199" s="375"/>
      <c r="GA199" s="375"/>
      <c r="GB199" s="375"/>
      <c r="GC199" s="375"/>
      <c r="GD199" s="375"/>
      <c r="GE199" s="375"/>
      <c r="GF199" s="375"/>
      <c r="GG199" s="375"/>
      <c r="GH199" s="375"/>
      <c r="GI199" s="375"/>
      <c r="GJ199" s="375"/>
      <c r="GK199" s="375"/>
      <c r="GL199" s="375"/>
      <c r="GM199" s="375"/>
      <c r="GN199" s="375"/>
      <c r="GO199" s="375"/>
      <c r="GP199" s="375"/>
      <c r="GQ199" s="375"/>
      <c r="GR199" s="375"/>
    </row>
    <row r="200" spans="1:200" s="61" customFormat="1" ht="15.75" customHeight="1" x14ac:dyDescent="0.3">
      <c r="A200" s="280"/>
      <c r="B200" s="281"/>
      <c r="C200" s="282">
        <v>1</v>
      </c>
      <c r="D200" s="282"/>
      <c r="E200" s="4">
        <v>168</v>
      </c>
      <c r="F200" s="281"/>
      <c r="G200" s="282">
        <v>1</v>
      </c>
      <c r="H200" s="282">
        <v>1</v>
      </c>
      <c r="I200" s="4"/>
      <c r="J200" s="283"/>
      <c r="K200" s="283"/>
      <c r="L200" s="286"/>
      <c r="M200" s="4">
        <v>165</v>
      </c>
      <c r="N200" s="62" t="s">
        <v>238</v>
      </c>
      <c r="O200" s="62" t="s">
        <v>448</v>
      </c>
      <c r="P200" s="62" t="s">
        <v>448</v>
      </c>
      <c r="Q200" s="60">
        <f t="shared" ref="Q200:Q258" si="482">BL200-BQ200</f>
        <v>0</v>
      </c>
      <c r="R200" s="60">
        <f t="shared" ref="R200:R258" si="483">BM200-BR200</f>
        <v>0</v>
      </c>
      <c r="S200" s="60">
        <f t="shared" ref="S200:S258" si="484">BN200-BS200</f>
        <v>0</v>
      </c>
      <c r="T200" s="60">
        <v>1</v>
      </c>
      <c r="U200" s="60"/>
      <c r="V200" s="64">
        <f t="shared" si="446"/>
        <v>968.3</v>
      </c>
      <c r="W200" s="64"/>
      <c r="X200" s="65">
        <v>968.3</v>
      </c>
      <c r="Y200" s="64"/>
      <c r="Z200" s="73"/>
      <c r="AA200" s="64">
        <f t="shared" si="447"/>
        <v>968.3</v>
      </c>
      <c r="AB200" s="64"/>
      <c r="AC200" s="65">
        <v>968.3</v>
      </c>
      <c r="AD200" s="64"/>
      <c r="AE200" s="73"/>
      <c r="AF200" s="64">
        <f t="shared" si="448"/>
        <v>968.3</v>
      </c>
      <c r="AG200" s="64"/>
      <c r="AH200" s="65">
        <v>968.3</v>
      </c>
      <c r="AI200" s="64"/>
      <c r="AJ200" s="73"/>
      <c r="AK200" s="64">
        <f t="shared" si="449"/>
        <v>421</v>
      </c>
      <c r="AL200" s="64"/>
      <c r="AM200" s="65">
        <v>421</v>
      </c>
      <c r="AN200" s="64"/>
      <c r="AO200" s="73"/>
      <c r="AP200" s="83" t="s">
        <v>376</v>
      </c>
      <c r="AQ200" s="64">
        <f t="shared" si="450"/>
        <v>968.3</v>
      </c>
      <c r="AR200" s="64"/>
      <c r="AS200" s="65">
        <v>968.3</v>
      </c>
      <c r="AT200" s="64"/>
      <c r="AU200" s="73"/>
      <c r="AV200" s="64">
        <f t="shared" si="470"/>
        <v>0</v>
      </c>
      <c r="AW200" s="64">
        <f t="shared" si="471"/>
        <v>0</v>
      </c>
      <c r="AX200" s="64">
        <f t="shared" si="472"/>
        <v>0</v>
      </c>
      <c r="AY200" s="64">
        <f t="shared" si="473"/>
        <v>0</v>
      </c>
      <c r="AZ200" s="64" t="e">
        <f>#REF!-AU200</f>
        <v>#REF!</v>
      </c>
      <c r="BA200" s="64">
        <f t="shared" si="451"/>
        <v>968.3</v>
      </c>
      <c r="BB200" s="64"/>
      <c r="BC200" s="65">
        <v>968.3</v>
      </c>
      <c r="BD200" s="64"/>
      <c r="BE200" s="73"/>
      <c r="BF200" s="64">
        <f t="shared" si="452"/>
        <v>0</v>
      </c>
      <c r="BG200" s="64"/>
      <c r="BH200" s="64"/>
      <c r="BI200" s="64"/>
      <c r="BJ200" s="73"/>
      <c r="BK200" s="64">
        <f t="shared" si="453"/>
        <v>968.3</v>
      </c>
      <c r="BL200" s="64"/>
      <c r="BM200" s="65">
        <v>968.3</v>
      </c>
      <c r="BN200" s="64"/>
      <c r="BO200" s="74"/>
      <c r="BP200" s="64">
        <f t="shared" si="454"/>
        <v>968.30000000000007</v>
      </c>
      <c r="BQ200" s="64"/>
      <c r="BR200" s="64">
        <f>399.42107+205.68461+210.98711+152.20721</f>
        <v>968.30000000000007</v>
      </c>
      <c r="BS200" s="64"/>
      <c r="BT200" s="73"/>
      <c r="BU200" s="64">
        <f t="shared" si="455"/>
        <v>649.09615999999994</v>
      </c>
      <c r="BV200" s="64"/>
      <c r="BW200" s="64">
        <f>140.658+105.68915+277.5638+125.18521</f>
        <v>649.09615999999994</v>
      </c>
      <c r="BX200" s="64"/>
      <c r="BY200" s="64"/>
      <c r="BZ200" s="60">
        <f t="shared" si="456"/>
        <v>1617.39616</v>
      </c>
      <c r="CA200" s="64">
        <f t="shared" si="474"/>
        <v>1617.39616</v>
      </c>
      <c r="CB200" s="64">
        <f t="shared" si="475"/>
        <v>0</v>
      </c>
      <c r="CC200" s="64">
        <f t="shared" si="476"/>
        <v>1617.39616</v>
      </c>
      <c r="CD200" s="64">
        <f t="shared" si="477"/>
        <v>0</v>
      </c>
      <c r="CE200" s="64">
        <f t="shared" si="457"/>
        <v>0</v>
      </c>
      <c r="CF200" s="64">
        <f t="shared" si="478"/>
        <v>0</v>
      </c>
      <c r="CG200" s="64">
        <f t="shared" si="479"/>
        <v>0</v>
      </c>
      <c r="CH200" s="64">
        <f t="shared" si="480"/>
        <v>0</v>
      </c>
      <c r="CI200" s="64">
        <f t="shared" si="481"/>
        <v>0</v>
      </c>
      <c r="CJ200" s="64">
        <f t="shared" si="458"/>
        <v>0</v>
      </c>
      <c r="CK200" s="66"/>
      <c r="CL200" s="67"/>
      <c r="CM200" s="67"/>
      <c r="CN200" s="64">
        <f t="shared" si="459"/>
        <v>0</v>
      </c>
      <c r="CO200" s="64"/>
      <c r="CP200" s="64"/>
      <c r="CQ200" s="64"/>
      <c r="CR200" s="73"/>
      <c r="CS200" s="64">
        <f t="shared" si="460"/>
        <v>0</v>
      </c>
      <c r="CT200" s="64"/>
      <c r="CU200" s="64"/>
      <c r="CV200" s="64"/>
      <c r="CW200" s="73"/>
      <c r="CX200" s="64">
        <f t="shared" si="461"/>
        <v>0</v>
      </c>
      <c r="CY200" s="64">
        <f t="shared" si="462"/>
        <v>0</v>
      </c>
      <c r="CZ200" s="64">
        <f t="shared" si="462"/>
        <v>0</v>
      </c>
      <c r="DA200" s="64">
        <f t="shared" si="462"/>
        <v>0</v>
      </c>
      <c r="DB200" s="64">
        <f t="shared" si="462"/>
        <v>0</v>
      </c>
      <c r="DC200" s="64"/>
      <c r="DD200" s="64"/>
      <c r="DE200" s="64"/>
      <c r="DF200" s="64">
        <f t="shared" si="463"/>
        <v>0</v>
      </c>
      <c r="DH200" s="64">
        <f t="shared" si="464"/>
        <v>968.3</v>
      </c>
      <c r="DI200" s="64">
        <f t="shared" si="465"/>
        <v>968.30000000000007</v>
      </c>
      <c r="DK200" s="64"/>
      <c r="DL200" s="64"/>
      <c r="DN200" s="64"/>
      <c r="DQ200" s="64">
        <f t="shared" si="468"/>
        <v>968.30000000000007</v>
      </c>
      <c r="DR200" s="64"/>
      <c r="DS200" s="64">
        <f>399.42107+205.68461+210.98711+152.20721</f>
        <v>968.30000000000007</v>
      </c>
      <c r="DT200" s="64"/>
      <c r="DU200" s="73"/>
      <c r="DV200" s="64">
        <f t="shared" si="469"/>
        <v>0</v>
      </c>
      <c r="DW200" s="64"/>
      <c r="DX200" s="64"/>
      <c r="DY200" s="64"/>
      <c r="DZ200" s="64"/>
      <c r="EA200" s="375"/>
      <c r="EB200" s="375"/>
      <c r="EC200" s="375"/>
      <c r="ED200" s="375"/>
      <c r="EE200" s="375"/>
      <c r="EF200" s="375"/>
      <c r="EG200" s="375"/>
      <c r="EH200" s="375"/>
      <c r="EI200" s="375"/>
      <c r="EJ200" s="375"/>
      <c r="EK200" s="375"/>
      <c r="EL200" s="375"/>
      <c r="EM200" s="375"/>
      <c r="EN200" s="375"/>
      <c r="EO200" s="375"/>
      <c r="EP200" s="375"/>
      <c r="EQ200" s="375"/>
      <c r="ER200" s="375"/>
      <c r="ES200" s="375"/>
      <c r="ET200" s="375"/>
      <c r="EU200" s="375"/>
      <c r="EV200" s="375"/>
      <c r="EW200" s="375"/>
      <c r="EX200" s="375"/>
      <c r="EY200" s="375"/>
      <c r="EZ200" s="375"/>
      <c r="FA200" s="375"/>
      <c r="FB200" s="375"/>
      <c r="FC200" s="375"/>
      <c r="FD200" s="375"/>
      <c r="FE200" s="375"/>
      <c r="FF200" s="375"/>
      <c r="FG200" s="375"/>
      <c r="FH200" s="375"/>
      <c r="FI200" s="375"/>
      <c r="FJ200" s="375"/>
      <c r="FK200" s="375"/>
      <c r="FL200" s="375"/>
      <c r="FM200" s="375"/>
      <c r="FN200" s="375"/>
      <c r="FO200" s="375"/>
      <c r="FP200" s="375"/>
      <c r="FQ200" s="375"/>
      <c r="FR200" s="375"/>
      <c r="FS200" s="375"/>
      <c r="FT200" s="375"/>
      <c r="FU200" s="375"/>
      <c r="FV200" s="375"/>
      <c r="FW200" s="375"/>
      <c r="FX200" s="375"/>
      <c r="FY200" s="375"/>
      <c r="FZ200" s="375"/>
      <c r="GA200" s="375"/>
      <c r="GB200" s="375"/>
      <c r="GC200" s="375"/>
      <c r="GD200" s="375"/>
      <c r="GE200" s="375"/>
      <c r="GF200" s="375"/>
      <c r="GG200" s="375"/>
      <c r="GH200" s="375"/>
      <c r="GI200" s="375"/>
      <c r="GJ200" s="375"/>
      <c r="GK200" s="375"/>
      <c r="GL200" s="375"/>
      <c r="GM200" s="375"/>
      <c r="GN200" s="375"/>
      <c r="GO200" s="375"/>
      <c r="GP200" s="375"/>
      <c r="GQ200" s="375"/>
      <c r="GR200" s="375"/>
    </row>
    <row r="201" spans="1:200" s="61" customFormat="1" ht="15.75" customHeight="1" x14ac:dyDescent="0.3">
      <c r="A201" s="280"/>
      <c r="B201" s="281"/>
      <c r="C201" s="282">
        <v>1</v>
      </c>
      <c r="D201" s="282"/>
      <c r="E201" s="4">
        <v>169</v>
      </c>
      <c r="F201" s="281"/>
      <c r="G201" s="282">
        <v>1</v>
      </c>
      <c r="H201" s="282">
        <v>1</v>
      </c>
      <c r="I201" s="4"/>
      <c r="J201" s="283"/>
      <c r="K201" s="283"/>
      <c r="L201" s="286"/>
      <c r="M201" s="4">
        <v>166</v>
      </c>
      <c r="N201" s="62" t="s">
        <v>60</v>
      </c>
      <c r="O201" s="72">
        <v>0</v>
      </c>
      <c r="P201" s="62">
        <v>0</v>
      </c>
      <c r="Q201" s="60">
        <f t="shared" si="482"/>
        <v>0</v>
      </c>
      <c r="R201" s="60">
        <f t="shared" si="483"/>
        <v>0</v>
      </c>
      <c r="S201" s="109">
        <f t="shared" si="484"/>
        <v>0</v>
      </c>
      <c r="T201" s="78"/>
      <c r="U201" s="60"/>
      <c r="V201" s="64">
        <f t="shared" si="446"/>
        <v>0</v>
      </c>
      <c r="W201" s="64"/>
      <c r="X201" s="65">
        <v>0</v>
      </c>
      <c r="Y201" s="64"/>
      <c r="Z201" s="60"/>
      <c r="AA201" s="64">
        <f t="shared" si="447"/>
        <v>0</v>
      </c>
      <c r="AB201" s="64"/>
      <c r="AC201" s="65">
        <v>0</v>
      </c>
      <c r="AD201" s="64"/>
      <c r="AE201" s="60"/>
      <c r="AF201" s="64">
        <f t="shared" si="448"/>
        <v>0</v>
      </c>
      <c r="AG201" s="64"/>
      <c r="AH201" s="65">
        <v>0</v>
      </c>
      <c r="AI201" s="64"/>
      <c r="AJ201" s="60"/>
      <c r="AK201" s="64">
        <f t="shared" si="449"/>
        <v>79</v>
      </c>
      <c r="AL201" s="64"/>
      <c r="AM201" s="65">
        <v>79</v>
      </c>
      <c r="AN201" s="64"/>
      <c r="AO201" s="64"/>
      <c r="AQ201" s="60">
        <f t="shared" si="450"/>
        <v>0</v>
      </c>
      <c r="AR201" s="64"/>
      <c r="AS201" s="65"/>
      <c r="AT201" s="64"/>
      <c r="AU201" s="64"/>
      <c r="AV201" s="64">
        <f t="shared" si="470"/>
        <v>0</v>
      </c>
      <c r="AW201" s="64">
        <f t="shared" si="471"/>
        <v>0</v>
      </c>
      <c r="AX201" s="64">
        <f t="shared" si="472"/>
        <v>0</v>
      </c>
      <c r="AY201" s="64">
        <f t="shared" si="473"/>
        <v>0</v>
      </c>
      <c r="AZ201" s="64" t="e">
        <f>#REF!-AU201</f>
        <v>#REF!</v>
      </c>
      <c r="BA201" s="64">
        <f t="shared" si="451"/>
        <v>0</v>
      </c>
      <c r="BB201" s="64"/>
      <c r="BC201" s="73"/>
      <c r="BD201" s="64"/>
      <c r="BE201" s="64"/>
      <c r="BF201" s="64">
        <f t="shared" si="452"/>
        <v>0</v>
      </c>
      <c r="BG201" s="64"/>
      <c r="BH201" s="64"/>
      <c r="BI201" s="64"/>
      <c r="BJ201" s="64"/>
      <c r="BK201" s="64">
        <f t="shared" si="453"/>
        <v>0</v>
      </c>
      <c r="BL201" s="64"/>
      <c r="BM201" s="74"/>
      <c r="BN201" s="64"/>
      <c r="BO201" s="64"/>
      <c r="BP201" s="64">
        <f t="shared" si="454"/>
        <v>0</v>
      </c>
      <c r="BQ201" s="64"/>
      <c r="BR201" s="64"/>
      <c r="BS201" s="64"/>
      <c r="BT201" s="64"/>
      <c r="BU201" s="64">
        <f t="shared" si="455"/>
        <v>0</v>
      </c>
      <c r="BV201" s="64"/>
      <c r="BW201" s="64"/>
      <c r="BX201" s="64"/>
      <c r="BY201" s="64"/>
      <c r="BZ201" s="60">
        <f t="shared" si="456"/>
        <v>0</v>
      </c>
      <c r="CA201" s="64">
        <f t="shared" si="474"/>
        <v>0</v>
      </c>
      <c r="CB201" s="64">
        <f t="shared" si="475"/>
        <v>0</v>
      </c>
      <c r="CC201" s="64">
        <f t="shared" si="476"/>
        <v>0</v>
      </c>
      <c r="CD201" s="64">
        <f t="shared" si="477"/>
        <v>0</v>
      </c>
      <c r="CE201" s="64">
        <f t="shared" si="457"/>
        <v>0</v>
      </c>
      <c r="CF201" s="64">
        <f t="shared" si="478"/>
        <v>0</v>
      </c>
      <c r="CG201" s="64">
        <f t="shared" si="479"/>
        <v>0</v>
      </c>
      <c r="CH201" s="64">
        <f t="shared" si="480"/>
        <v>0</v>
      </c>
      <c r="CI201" s="64">
        <f t="shared" si="481"/>
        <v>0</v>
      </c>
      <c r="CJ201" s="64">
        <f t="shared" si="458"/>
        <v>0</v>
      </c>
      <c r="CK201" s="66"/>
      <c r="CL201" s="67"/>
      <c r="CM201" s="67"/>
      <c r="CN201" s="64">
        <f t="shared" si="459"/>
        <v>0</v>
      </c>
      <c r="CO201" s="64"/>
      <c r="CP201" s="64"/>
      <c r="CQ201" s="64"/>
      <c r="CR201" s="64"/>
      <c r="CS201" s="64">
        <f t="shared" si="460"/>
        <v>0</v>
      </c>
      <c r="CT201" s="64"/>
      <c r="CU201" s="64"/>
      <c r="CV201" s="64"/>
      <c r="CW201" s="64"/>
      <c r="CX201" s="64">
        <f t="shared" si="461"/>
        <v>0</v>
      </c>
      <c r="CY201" s="64">
        <f t="shared" si="462"/>
        <v>0</v>
      </c>
      <c r="CZ201" s="64">
        <f t="shared" si="462"/>
        <v>0</v>
      </c>
      <c r="DA201" s="64">
        <f t="shared" si="462"/>
        <v>0</v>
      </c>
      <c r="DB201" s="64">
        <f t="shared" si="462"/>
        <v>0</v>
      </c>
      <c r="DC201" s="64"/>
      <c r="DD201" s="64"/>
      <c r="DE201" s="64"/>
      <c r="DF201" s="64">
        <f t="shared" si="463"/>
        <v>0</v>
      </c>
      <c r="DH201" s="64">
        <f t="shared" si="464"/>
        <v>0</v>
      </c>
      <c r="DI201" s="64">
        <f t="shared" si="465"/>
        <v>0</v>
      </c>
      <c r="DK201" s="64"/>
      <c r="DL201" s="64"/>
      <c r="DN201" s="64"/>
      <c r="DQ201" s="64">
        <f t="shared" si="468"/>
        <v>0</v>
      </c>
      <c r="DR201" s="64"/>
      <c r="DS201" s="64"/>
      <c r="DT201" s="64"/>
      <c r="DU201" s="64"/>
      <c r="DV201" s="64">
        <f t="shared" si="469"/>
        <v>0</v>
      </c>
      <c r="DW201" s="64"/>
      <c r="DX201" s="64"/>
      <c r="DY201" s="64"/>
      <c r="DZ201" s="64"/>
      <c r="EA201" s="375"/>
      <c r="EB201" s="375"/>
      <c r="EC201" s="375"/>
      <c r="ED201" s="375"/>
      <c r="EE201" s="375"/>
      <c r="EF201" s="375"/>
      <c r="EG201" s="375"/>
      <c r="EH201" s="375"/>
      <c r="EI201" s="375"/>
      <c r="EJ201" s="375"/>
      <c r="EK201" s="375"/>
      <c r="EL201" s="375"/>
      <c r="EM201" s="375"/>
      <c r="EN201" s="375"/>
      <c r="EO201" s="375"/>
      <c r="EP201" s="375"/>
      <c r="EQ201" s="375"/>
      <c r="ER201" s="375"/>
      <c r="ES201" s="375"/>
      <c r="ET201" s="375"/>
      <c r="EU201" s="375"/>
      <c r="EV201" s="375"/>
      <c r="EW201" s="375"/>
      <c r="EX201" s="375"/>
      <c r="EY201" s="375"/>
      <c r="EZ201" s="375"/>
      <c r="FA201" s="375"/>
      <c r="FB201" s="375"/>
      <c r="FC201" s="375"/>
      <c r="FD201" s="375"/>
      <c r="FE201" s="375"/>
      <c r="FF201" s="375"/>
      <c r="FG201" s="375"/>
      <c r="FH201" s="375"/>
      <c r="FI201" s="375"/>
      <c r="FJ201" s="375"/>
      <c r="FK201" s="375"/>
      <c r="FL201" s="375"/>
      <c r="FM201" s="375"/>
      <c r="FN201" s="375"/>
      <c r="FO201" s="375"/>
      <c r="FP201" s="375"/>
      <c r="FQ201" s="375"/>
      <c r="FR201" s="375"/>
      <c r="FS201" s="375"/>
      <c r="FT201" s="375"/>
      <c r="FU201" s="375"/>
      <c r="FV201" s="375"/>
      <c r="FW201" s="375"/>
      <c r="FX201" s="375"/>
      <c r="FY201" s="375"/>
      <c r="FZ201" s="375"/>
      <c r="GA201" s="375"/>
      <c r="GB201" s="375"/>
      <c r="GC201" s="375"/>
      <c r="GD201" s="375"/>
      <c r="GE201" s="375"/>
      <c r="GF201" s="375"/>
      <c r="GG201" s="375"/>
      <c r="GH201" s="375"/>
      <c r="GI201" s="375"/>
      <c r="GJ201" s="375"/>
      <c r="GK201" s="375"/>
      <c r="GL201" s="375"/>
      <c r="GM201" s="375"/>
      <c r="GN201" s="375"/>
      <c r="GO201" s="375"/>
      <c r="GP201" s="375"/>
      <c r="GQ201" s="375"/>
      <c r="GR201" s="375"/>
    </row>
    <row r="202" spans="1:200" s="61" customFormat="1" ht="15.75" customHeight="1" x14ac:dyDescent="0.3">
      <c r="A202" s="280"/>
      <c r="B202" s="281"/>
      <c r="C202" s="282">
        <v>1</v>
      </c>
      <c r="D202" s="282"/>
      <c r="E202" s="4">
        <v>170</v>
      </c>
      <c r="F202" s="281"/>
      <c r="G202" s="282">
        <v>1</v>
      </c>
      <c r="H202" s="282">
        <v>1</v>
      </c>
      <c r="I202" s="4"/>
      <c r="J202" s="283"/>
      <c r="K202" s="283"/>
      <c r="L202" s="286"/>
      <c r="M202" s="4">
        <v>167</v>
      </c>
      <c r="N202" s="62" t="s">
        <v>61</v>
      </c>
      <c r="O202" s="62" t="s">
        <v>450</v>
      </c>
      <c r="P202" s="62" t="s">
        <v>450</v>
      </c>
      <c r="Q202" s="60">
        <f t="shared" si="482"/>
        <v>0</v>
      </c>
      <c r="R202" s="60">
        <f t="shared" si="483"/>
        <v>0</v>
      </c>
      <c r="S202" s="60">
        <f t="shared" si="484"/>
        <v>0</v>
      </c>
      <c r="T202" s="60">
        <v>1</v>
      </c>
      <c r="U202" s="60"/>
      <c r="V202" s="64">
        <f t="shared" si="446"/>
        <v>2451.4189999999999</v>
      </c>
      <c r="W202" s="64"/>
      <c r="X202" s="65">
        <v>2451.4189999999999</v>
      </c>
      <c r="Y202" s="64"/>
      <c r="Z202" s="73"/>
      <c r="AA202" s="64">
        <f t="shared" si="447"/>
        <v>2451.8000000000002</v>
      </c>
      <c r="AB202" s="64"/>
      <c r="AC202" s="65">
        <v>2451.8000000000002</v>
      </c>
      <c r="AD202" s="64"/>
      <c r="AE202" s="73"/>
      <c r="AF202" s="64">
        <f t="shared" si="448"/>
        <v>2451.8000000000002</v>
      </c>
      <c r="AG202" s="64"/>
      <c r="AH202" s="65">
        <v>2451.8000000000002</v>
      </c>
      <c r="AI202" s="64"/>
      <c r="AJ202" s="73"/>
      <c r="AK202" s="64">
        <f t="shared" si="449"/>
        <v>987</v>
      </c>
      <c r="AL202" s="64"/>
      <c r="AM202" s="65">
        <v>987</v>
      </c>
      <c r="AN202" s="64"/>
      <c r="AO202" s="73"/>
      <c r="AP202" s="83" t="s">
        <v>338</v>
      </c>
      <c r="AQ202" s="64">
        <f t="shared" si="450"/>
        <v>2451.4189999999999</v>
      </c>
      <c r="AR202" s="64"/>
      <c r="AS202" s="65">
        <v>2451.4189999999999</v>
      </c>
      <c r="AT202" s="64"/>
      <c r="AU202" s="73"/>
      <c r="AV202" s="64">
        <f t="shared" si="470"/>
        <v>0</v>
      </c>
      <c r="AW202" s="64">
        <f t="shared" si="471"/>
        <v>0</v>
      </c>
      <c r="AX202" s="64">
        <f t="shared" si="472"/>
        <v>0</v>
      </c>
      <c r="AY202" s="64">
        <f t="shared" si="473"/>
        <v>0</v>
      </c>
      <c r="AZ202" s="64" t="e">
        <f>#REF!-AU202</f>
        <v>#REF!</v>
      </c>
      <c r="BA202" s="64">
        <f t="shared" si="451"/>
        <v>2451.4189999999999</v>
      </c>
      <c r="BB202" s="64"/>
      <c r="BC202" s="65">
        <v>2451.4189999999999</v>
      </c>
      <c r="BD202" s="64"/>
      <c r="BE202" s="73"/>
      <c r="BF202" s="64">
        <f t="shared" si="452"/>
        <v>0</v>
      </c>
      <c r="BG202" s="64"/>
      <c r="BH202" s="64"/>
      <c r="BI202" s="64"/>
      <c r="BJ202" s="73"/>
      <c r="BK202" s="64">
        <f t="shared" si="453"/>
        <v>2451.4189999999999</v>
      </c>
      <c r="BL202" s="64"/>
      <c r="BM202" s="65">
        <v>2451.4189999999999</v>
      </c>
      <c r="BN202" s="64"/>
      <c r="BO202" s="74"/>
      <c r="BP202" s="64">
        <f t="shared" si="454"/>
        <v>2451.4189999999999</v>
      </c>
      <c r="BQ202" s="64"/>
      <c r="BR202" s="64">
        <f>1758.916+692.503</f>
        <v>2451.4189999999999</v>
      </c>
      <c r="BS202" s="64"/>
      <c r="BT202" s="73"/>
      <c r="BU202" s="64">
        <f t="shared" si="455"/>
        <v>817.14088000000004</v>
      </c>
      <c r="BV202" s="64"/>
      <c r="BW202" s="64">
        <f>586.30568+230.8352</f>
        <v>817.14088000000004</v>
      </c>
      <c r="BX202" s="64"/>
      <c r="BY202" s="64"/>
      <c r="BZ202" s="60">
        <f t="shared" si="456"/>
        <v>3268.5598799999998</v>
      </c>
      <c r="CA202" s="64">
        <f t="shared" si="474"/>
        <v>3268.5598799999998</v>
      </c>
      <c r="CB202" s="64">
        <f t="shared" si="475"/>
        <v>0</v>
      </c>
      <c r="CC202" s="64">
        <f t="shared" si="476"/>
        <v>3268.5598799999998</v>
      </c>
      <c r="CD202" s="64">
        <f t="shared" si="477"/>
        <v>0</v>
      </c>
      <c r="CE202" s="64">
        <f t="shared" si="457"/>
        <v>0</v>
      </c>
      <c r="CF202" s="64">
        <f t="shared" si="478"/>
        <v>0</v>
      </c>
      <c r="CG202" s="64">
        <f t="shared" si="479"/>
        <v>0</v>
      </c>
      <c r="CH202" s="64">
        <f t="shared" si="480"/>
        <v>0</v>
      </c>
      <c r="CI202" s="64">
        <f t="shared" si="481"/>
        <v>0</v>
      </c>
      <c r="CJ202" s="64">
        <f t="shared" si="458"/>
        <v>0</v>
      </c>
      <c r="CK202" s="66"/>
      <c r="CL202" s="67"/>
      <c r="CM202" s="67"/>
      <c r="CN202" s="64">
        <f t="shared" si="459"/>
        <v>0</v>
      </c>
      <c r="CO202" s="64"/>
      <c r="CP202" s="64"/>
      <c r="CQ202" s="64"/>
      <c r="CR202" s="73"/>
      <c r="CS202" s="64">
        <f t="shared" si="460"/>
        <v>0</v>
      </c>
      <c r="CT202" s="64"/>
      <c r="CU202" s="64"/>
      <c r="CV202" s="64"/>
      <c r="CW202" s="73"/>
      <c r="CX202" s="64">
        <f t="shared" si="461"/>
        <v>0</v>
      </c>
      <c r="CY202" s="64">
        <f t="shared" si="462"/>
        <v>0</v>
      </c>
      <c r="CZ202" s="64">
        <f t="shared" si="462"/>
        <v>0</v>
      </c>
      <c r="DA202" s="64">
        <f t="shared" si="462"/>
        <v>0</v>
      </c>
      <c r="DB202" s="64">
        <f t="shared" si="462"/>
        <v>0</v>
      </c>
      <c r="DC202" s="64"/>
      <c r="DD202" s="64"/>
      <c r="DE202" s="64"/>
      <c r="DF202" s="64">
        <f t="shared" si="463"/>
        <v>0</v>
      </c>
      <c r="DH202" s="64">
        <f t="shared" si="464"/>
        <v>2451.4189999999999</v>
      </c>
      <c r="DI202" s="64">
        <f t="shared" si="465"/>
        <v>2451.4189999999999</v>
      </c>
      <c r="DK202" s="64"/>
      <c r="DL202" s="64"/>
      <c r="DN202" s="64"/>
      <c r="DQ202" s="64">
        <f t="shared" si="468"/>
        <v>2451.4189999999999</v>
      </c>
      <c r="DR202" s="64"/>
      <c r="DS202" s="64">
        <f>1758.916+692.503</f>
        <v>2451.4189999999999</v>
      </c>
      <c r="DT202" s="64"/>
      <c r="DU202" s="73"/>
      <c r="DV202" s="64">
        <f t="shared" si="469"/>
        <v>817.14088000000004</v>
      </c>
      <c r="DW202" s="64"/>
      <c r="DX202" s="64">
        <v>817.14088000000004</v>
      </c>
      <c r="DY202" s="64"/>
      <c r="DZ202" s="64"/>
      <c r="EA202" s="375"/>
      <c r="EB202" s="375"/>
      <c r="EC202" s="375"/>
      <c r="ED202" s="375"/>
      <c r="EE202" s="375"/>
      <c r="EF202" s="375"/>
      <c r="EG202" s="375"/>
      <c r="EH202" s="375"/>
      <c r="EI202" s="375"/>
      <c r="EJ202" s="375"/>
      <c r="EK202" s="375"/>
      <c r="EL202" s="375"/>
      <c r="EM202" s="375"/>
      <c r="EN202" s="375"/>
      <c r="EO202" s="375"/>
      <c r="EP202" s="375"/>
      <c r="EQ202" s="375"/>
      <c r="ER202" s="375"/>
      <c r="ES202" s="375"/>
      <c r="ET202" s="375"/>
      <c r="EU202" s="375"/>
      <c r="EV202" s="375"/>
      <c r="EW202" s="375"/>
      <c r="EX202" s="375"/>
      <c r="EY202" s="375"/>
      <c r="EZ202" s="375"/>
      <c r="FA202" s="375"/>
      <c r="FB202" s="375"/>
      <c r="FC202" s="375"/>
      <c r="FD202" s="375"/>
      <c r="FE202" s="375"/>
      <c r="FF202" s="375"/>
      <c r="FG202" s="375"/>
      <c r="FH202" s="375"/>
      <c r="FI202" s="375"/>
      <c r="FJ202" s="375"/>
      <c r="FK202" s="375"/>
      <c r="FL202" s="375"/>
      <c r="FM202" s="375"/>
      <c r="FN202" s="375"/>
      <c r="FO202" s="375"/>
      <c r="FP202" s="375"/>
      <c r="FQ202" s="375"/>
      <c r="FR202" s="375"/>
      <c r="FS202" s="375"/>
      <c r="FT202" s="375"/>
      <c r="FU202" s="375"/>
      <c r="FV202" s="375"/>
      <c r="FW202" s="375"/>
      <c r="FX202" s="375"/>
      <c r="FY202" s="375"/>
      <c r="FZ202" s="375"/>
      <c r="GA202" s="375"/>
      <c r="GB202" s="375"/>
      <c r="GC202" s="375"/>
      <c r="GD202" s="375"/>
      <c r="GE202" s="375"/>
      <c r="GF202" s="375"/>
      <c r="GG202" s="375"/>
      <c r="GH202" s="375"/>
      <c r="GI202" s="375"/>
      <c r="GJ202" s="375"/>
      <c r="GK202" s="375"/>
      <c r="GL202" s="375"/>
      <c r="GM202" s="375"/>
      <c r="GN202" s="375"/>
      <c r="GO202" s="375"/>
      <c r="GP202" s="375"/>
      <c r="GQ202" s="375"/>
      <c r="GR202" s="375"/>
    </row>
    <row r="203" spans="1:200" s="48" customFormat="1" ht="25.5" customHeight="1" x14ac:dyDescent="0.3">
      <c r="A203" s="276"/>
      <c r="B203" s="277"/>
      <c r="C203" s="278"/>
      <c r="D203" s="278"/>
      <c r="E203" s="279"/>
      <c r="F203" s="277"/>
      <c r="G203" s="278"/>
      <c r="H203" s="278"/>
      <c r="I203" s="2"/>
      <c r="J203" s="2"/>
      <c r="K203" s="2"/>
      <c r="L203" s="300"/>
      <c r="M203" s="279"/>
      <c r="N203" s="42" t="s">
        <v>13</v>
      </c>
      <c r="O203" s="42"/>
      <c r="P203" s="42"/>
      <c r="Q203" s="43">
        <f t="shared" si="482"/>
        <v>0</v>
      </c>
      <c r="R203" s="43">
        <f t="shared" si="483"/>
        <v>62.076129999997647</v>
      </c>
      <c r="S203" s="43">
        <f t="shared" si="484"/>
        <v>0</v>
      </c>
      <c r="T203" s="43">
        <f>T204+T205+T206+T207+T208+T209+T210+T211+T212+T213+T214+T215+T216+T217+T218+T219</f>
        <v>14</v>
      </c>
      <c r="U203" s="43">
        <f>U204+U205+U206+U207+U208+U209+U210+U211+U212+U213+U214+U215+U216+U217+U218+U219</f>
        <v>14</v>
      </c>
      <c r="V203" s="43">
        <f t="shared" ref="V203:Z203" si="485">SUM(V204:V219)-V205</f>
        <v>17286.744999999999</v>
      </c>
      <c r="W203" s="43">
        <f t="shared" si="485"/>
        <v>0</v>
      </c>
      <c r="X203" s="43">
        <f t="shared" si="485"/>
        <v>17286.744999999999</v>
      </c>
      <c r="Y203" s="43">
        <f t="shared" si="485"/>
        <v>0</v>
      </c>
      <c r="Z203" s="43">
        <f t="shared" si="485"/>
        <v>0</v>
      </c>
      <c r="AA203" s="43">
        <f t="shared" ref="AA203:AE203" si="486">SUM(AA204:AA219)-AA205</f>
        <v>17286.8</v>
      </c>
      <c r="AB203" s="43">
        <f t="shared" si="486"/>
        <v>0</v>
      </c>
      <c r="AC203" s="43">
        <f t="shared" si="486"/>
        <v>17286.8</v>
      </c>
      <c r="AD203" s="43">
        <f t="shared" si="486"/>
        <v>0</v>
      </c>
      <c r="AE203" s="43">
        <f t="shared" si="486"/>
        <v>0</v>
      </c>
      <c r="AF203" s="43">
        <f t="shared" ref="AF203:AJ203" si="487">SUM(AF204:AF219)-AF205</f>
        <v>17286.8</v>
      </c>
      <c r="AG203" s="43">
        <f t="shared" si="487"/>
        <v>0</v>
      </c>
      <c r="AH203" s="43">
        <f t="shared" si="487"/>
        <v>17286.8</v>
      </c>
      <c r="AI203" s="43">
        <f t="shared" si="487"/>
        <v>0</v>
      </c>
      <c r="AJ203" s="43">
        <f t="shared" si="487"/>
        <v>0</v>
      </c>
      <c r="AK203" s="45">
        <f t="shared" ref="AK203:AO203" si="488">SUM(AK204:AK219)-AK205</f>
        <v>7516</v>
      </c>
      <c r="AL203" s="43">
        <f t="shared" si="488"/>
        <v>0</v>
      </c>
      <c r="AM203" s="43">
        <f t="shared" si="488"/>
        <v>7516</v>
      </c>
      <c r="AN203" s="43">
        <f t="shared" si="488"/>
        <v>0</v>
      </c>
      <c r="AO203" s="43">
        <f t="shared" si="488"/>
        <v>0</v>
      </c>
      <c r="AP203" s="44"/>
      <c r="AQ203" s="43">
        <f>SUM(AQ204:AQ219)-AQ205</f>
        <v>17286.744999999999</v>
      </c>
      <c r="AR203" s="43">
        <f>SUM(AR204:AR219)-AR205</f>
        <v>0</v>
      </c>
      <c r="AS203" s="43">
        <f>SUM(AS204:AS219)-AS205</f>
        <v>17286.744999999999</v>
      </c>
      <c r="AT203" s="43">
        <f>SUM(AT204:AT219)-AT205</f>
        <v>0</v>
      </c>
      <c r="AU203" s="43">
        <f>SUM(AU204:AU219)-AU205</f>
        <v>0</v>
      </c>
      <c r="AV203" s="43">
        <f t="shared" si="470"/>
        <v>0</v>
      </c>
      <c r="AW203" s="43">
        <f t="shared" si="471"/>
        <v>0</v>
      </c>
      <c r="AX203" s="43">
        <f t="shared" si="472"/>
        <v>0</v>
      </c>
      <c r="AY203" s="43">
        <f t="shared" si="473"/>
        <v>0</v>
      </c>
      <c r="AZ203" s="43" t="e">
        <f t="shared" ref="AZ203:BE203" si="489">SUM(AZ204:AZ219)-AZ205</f>
        <v>#REF!</v>
      </c>
      <c r="BA203" s="43">
        <f t="shared" si="489"/>
        <v>17286.744999999999</v>
      </c>
      <c r="BB203" s="43">
        <f t="shared" si="489"/>
        <v>0</v>
      </c>
      <c r="BC203" s="43">
        <f t="shared" si="489"/>
        <v>17286.744999999999</v>
      </c>
      <c r="BD203" s="43">
        <f t="shared" si="489"/>
        <v>0</v>
      </c>
      <c r="BE203" s="43">
        <f t="shared" si="489"/>
        <v>0</v>
      </c>
      <c r="BF203" s="43">
        <f t="shared" ref="BF203:CJ203" si="490">SUM(BF204:BF219)-BF205</f>
        <v>0</v>
      </c>
      <c r="BG203" s="43">
        <f t="shared" si="490"/>
        <v>0</v>
      </c>
      <c r="BH203" s="43">
        <f t="shared" si="490"/>
        <v>0</v>
      </c>
      <c r="BI203" s="43">
        <f t="shared" si="490"/>
        <v>0</v>
      </c>
      <c r="BJ203" s="43">
        <f t="shared" si="490"/>
        <v>0</v>
      </c>
      <c r="BK203" s="43">
        <f t="shared" si="490"/>
        <v>17286.744999999999</v>
      </c>
      <c r="BL203" s="43">
        <f t="shared" si="490"/>
        <v>0</v>
      </c>
      <c r="BM203" s="43">
        <f t="shared" si="490"/>
        <v>17286.744999999999</v>
      </c>
      <c r="BN203" s="43">
        <f t="shared" si="490"/>
        <v>0</v>
      </c>
      <c r="BO203" s="43">
        <f t="shared" si="490"/>
        <v>0</v>
      </c>
      <c r="BP203" s="43">
        <f t="shared" si="490"/>
        <v>17224.668870000001</v>
      </c>
      <c r="BQ203" s="43">
        <f t="shared" si="490"/>
        <v>0</v>
      </c>
      <c r="BR203" s="43">
        <f t="shared" si="490"/>
        <v>17224.668870000001</v>
      </c>
      <c r="BS203" s="43">
        <f t="shared" si="490"/>
        <v>0</v>
      </c>
      <c r="BT203" s="43">
        <f t="shared" si="490"/>
        <v>0</v>
      </c>
      <c r="BU203" s="45">
        <f t="shared" si="490"/>
        <v>11118.372590000001</v>
      </c>
      <c r="BV203" s="304">
        <f t="shared" si="490"/>
        <v>0</v>
      </c>
      <c r="BW203" s="304">
        <f t="shared" si="490"/>
        <v>11118.372590000001</v>
      </c>
      <c r="BX203" s="304">
        <f t="shared" si="490"/>
        <v>0</v>
      </c>
      <c r="BY203" s="43">
        <f t="shared" si="490"/>
        <v>0</v>
      </c>
      <c r="BZ203" s="43">
        <f t="shared" si="490"/>
        <v>28343.041460000004</v>
      </c>
      <c r="CA203" s="43">
        <f t="shared" si="474"/>
        <v>28343.04146</v>
      </c>
      <c r="CB203" s="43">
        <f t="shared" si="475"/>
        <v>0</v>
      </c>
      <c r="CC203" s="43">
        <f t="shared" si="476"/>
        <v>28343.04146</v>
      </c>
      <c r="CD203" s="43">
        <f t="shared" si="477"/>
        <v>0</v>
      </c>
      <c r="CE203" s="43">
        <f t="shared" si="490"/>
        <v>0</v>
      </c>
      <c r="CF203" s="43">
        <f t="shared" si="478"/>
        <v>62.076129999997647</v>
      </c>
      <c r="CG203" s="43">
        <f t="shared" si="479"/>
        <v>0</v>
      </c>
      <c r="CH203" s="43">
        <f t="shared" si="480"/>
        <v>62.076129999997647</v>
      </c>
      <c r="CI203" s="43">
        <f t="shared" si="481"/>
        <v>0</v>
      </c>
      <c r="CJ203" s="43">
        <f t="shared" si="490"/>
        <v>0</v>
      </c>
      <c r="CK203" s="46">
        <f>CL203+CN203-BF203</f>
        <v>17286.744999999999</v>
      </c>
      <c r="CL203" s="47">
        <f t="shared" ref="CL203:DF203" si="491">SUM(CL204:CL219)-CL205</f>
        <v>17286.744999999999</v>
      </c>
      <c r="CM203" s="47">
        <f t="shared" si="491"/>
        <v>17286.744999999999</v>
      </c>
      <c r="CN203" s="43">
        <f t="shared" si="491"/>
        <v>0</v>
      </c>
      <c r="CO203" s="43">
        <f t="shared" si="491"/>
        <v>0</v>
      </c>
      <c r="CP203" s="43">
        <f t="shared" si="491"/>
        <v>0</v>
      </c>
      <c r="CQ203" s="43">
        <f t="shared" si="491"/>
        <v>0</v>
      </c>
      <c r="CR203" s="43">
        <f t="shared" si="491"/>
        <v>0</v>
      </c>
      <c r="CS203" s="43">
        <f t="shared" si="491"/>
        <v>0</v>
      </c>
      <c r="CT203" s="43">
        <f t="shared" si="491"/>
        <v>0</v>
      </c>
      <c r="CU203" s="43">
        <f t="shared" si="491"/>
        <v>0</v>
      </c>
      <c r="CV203" s="43">
        <f t="shared" si="491"/>
        <v>0</v>
      </c>
      <c r="CW203" s="43">
        <f t="shared" si="491"/>
        <v>0</v>
      </c>
      <c r="CX203" s="43">
        <f t="shared" si="491"/>
        <v>0</v>
      </c>
      <c r="CY203" s="43">
        <f t="shared" si="491"/>
        <v>0</v>
      </c>
      <c r="CZ203" s="43">
        <f t="shared" si="491"/>
        <v>0</v>
      </c>
      <c r="DA203" s="43">
        <f t="shared" si="491"/>
        <v>0</v>
      </c>
      <c r="DB203" s="43">
        <f t="shared" si="491"/>
        <v>0</v>
      </c>
      <c r="DC203" s="43">
        <f t="shared" si="491"/>
        <v>0</v>
      </c>
      <c r="DD203" s="43">
        <f t="shared" si="491"/>
        <v>0</v>
      </c>
      <c r="DE203" s="43">
        <f t="shared" si="491"/>
        <v>0</v>
      </c>
      <c r="DF203" s="43">
        <f t="shared" si="491"/>
        <v>62.076129999999552</v>
      </c>
      <c r="DH203" s="43">
        <f>SUM(DH204:DH219)-DH205</f>
        <v>17286.744999999999</v>
      </c>
      <c r="DI203" s="43">
        <f>SUM(DI204:DI219)-DI205</f>
        <v>17224.668870000001</v>
      </c>
      <c r="DK203" s="43">
        <f>SUM(DK204:DK219)-DK205</f>
        <v>17224.668870000001</v>
      </c>
      <c r="DL203" s="43">
        <f>SUM(DL204:DL219)-DL205</f>
        <v>62.076129999999552</v>
      </c>
      <c r="DN203" s="43">
        <f>SUM(DN204:DN219)-DN205</f>
        <v>62.076129999999466</v>
      </c>
      <c r="DO203" s="49">
        <f>DF203-DN203</f>
        <v>8.5265128291212022E-14</v>
      </c>
      <c r="DP203" s="49"/>
      <c r="DQ203" s="43">
        <f>SUM(DQ204:DQ219)-DQ205</f>
        <v>17224.668870000001</v>
      </c>
      <c r="DR203" s="43">
        <f t="shared" ref="DR203:DU203" si="492">SUM(DR204:DR219)-DR205</f>
        <v>0</v>
      </c>
      <c r="DS203" s="43">
        <f t="shared" si="492"/>
        <v>17224.668870000001</v>
      </c>
      <c r="DT203" s="43">
        <f t="shared" si="492"/>
        <v>0</v>
      </c>
      <c r="DU203" s="43">
        <f t="shared" si="492"/>
        <v>0</v>
      </c>
      <c r="DV203" s="43">
        <f>SUM(DV204:DV219)-DV205</f>
        <v>6314.0530099999996</v>
      </c>
      <c r="DW203" s="43">
        <f t="shared" ref="DW203:DZ203" si="493">SUM(DW204:DW219)-DW205</f>
        <v>0</v>
      </c>
      <c r="DX203" s="43">
        <f t="shared" si="493"/>
        <v>6314.0530099999996</v>
      </c>
      <c r="DY203" s="43">
        <f t="shared" si="493"/>
        <v>0</v>
      </c>
      <c r="DZ203" s="43">
        <f t="shared" si="493"/>
        <v>0</v>
      </c>
      <c r="EA203" s="372"/>
      <c r="EB203" s="372"/>
      <c r="EC203" s="372"/>
      <c r="ED203" s="372"/>
      <c r="EE203" s="372"/>
      <c r="EF203" s="372"/>
      <c r="EG203" s="372"/>
      <c r="EH203" s="372"/>
      <c r="EI203" s="372"/>
      <c r="EJ203" s="372"/>
      <c r="EK203" s="372"/>
      <c r="EL203" s="372"/>
      <c r="EM203" s="372"/>
      <c r="EN203" s="372"/>
      <c r="EO203" s="372"/>
      <c r="EP203" s="372"/>
      <c r="EQ203" s="372"/>
      <c r="ER203" s="372"/>
      <c r="ES203" s="372"/>
      <c r="ET203" s="372"/>
      <c r="EU203" s="372"/>
      <c r="EV203" s="372"/>
      <c r="EW203" s="372"/>
      <c r="EX203" s="372"/>
      <c r="EY203" s="372"/>
      <c r="EZ203" s="372"/>
      <c r="FA203" s="372"/>
      <c r="FB203" s="372"/>
      <c r="FC203" s="372"/>
      <c r="FD203" s="372"/>
      <c r="FE203" s="372"/>
      <c r="FF203" s="372"/>
      <c r="FG203" s="372"/>
      <c r="FH203" s="372"/>
      <c r="FI203" s="372"/>
      <c r="FJ203" s="372"/>
      <c r="FK203" s="372"/>
      <c r="FL203" s="372"/>
      <c r="FM203" s="372"/>
      <c r="FN203" s="372"/>
      <c r="FO203" s="372"/>
      <c r="FP203" s="372"/>
      <c r="FQ203" s="372"/>
      <c r="FR203" s="372"/>
      <c r="FS203" s="372"/>
      <c r="FT203" s="372"/>
      <c r="FU203" s="372"/>
      <c r="FV203" s="372"/>
      <c r="FW203" s="372"/>
      <c r="FX203" s="372"/>
      <c r="FY203" s="372"/>
      <c r="FZ203" s="372"/>
      <c r="GA203" s="372"/>
      <c r="GB203" s="372"/>
      <c r="GC203" s="372"/>
      <c r="GD203" s="372"/>
      <c r="GE203" s="372"/>
      <c r="GF203" s="372"/>
      <c r="GG203" s="372"/>
      <c r="GH203" s="372"/>
      <c r="GI203" s="372"/>
      <c r="GJ203" s="372"/>
      <c r="GK203" s="372"/>
      <c r="GL203" s="372"/>
      <c r="GM203" s="372"/>
      <c r="GN203" s="372"/>
      <c r="GO203" s="372"/>
      <c r="GP203" s="372"/>
      <c r="GQ203" s="372"/>
      <c r="GR203" s="372"/>
    </row>
    <row r="204" spans="1:200" s="61" customFormat="1" ht="14.25" customHeight="1" x14ac:dyDescent="0.3">
      <c r="A204" s="280"/>
      <c r="B204" s="281">
        <v>1</v>
      </c>
      <c r="C204" s="282"/>
      <c r="D204" s="282"/>
      <c r="E204" s="4">
        <v>171</v>
      </c>
      <c r="F204" s="281"/>
      <c r="G204" s="282"/>
      <c r="H204" s="282"/>
      <c r="I204" s="280"/>
      <c r="J204" s="280"/>
      <c r="K204" s="280"/>
      <c r="L204" s="280"/>
      <c r="M204" s="4">
        <v>168</v>
      </c>
      <c r="N204" s="68" t="s">
        <v>239</v>
      </c>
      <c r="O204" s="69"/>
      <c r="P204" s="63"/>
      <c r="Q204" s="64">
        <f t="shared" si="482"/>
        <v>0</v>
      </c>
      <c r="R204" s="64">
        <f t="shared" si="483"/>
        <v>0</v>
      </c>
      <c r="S204" s="64">
        <f t="shared" si="484"/>
        <v>0</v>
      </c>
      <c r="T204" s="69"/>
      <c r="U204" s="69"/>
      <c r="V204" s="64">
        <f t="shared" ref="V204:V219" si="494">W204+X204+Y204+Z204</f>
        <v>0</v>
      </c>
      <c r="W204" s="64"/>
      <c r="X204" s="65">
        <v>0</v>
      </c>
      <c r="Y204" s="64"/>
      <c r="Z204" s="60"/>
      <c r="AA204" s="64">
        <f t="shared" ref="AA204:AA219" si="495">AB204+AC204+AD204+AE204</f>
        <v>0</v>
      </c>
      <c r="AB204" s="64"/>
      <c r="AC204" s="65">
        <v>0</v>
      </c>
      <c r="AD204" s="64"/>
      <c r="AE204" s="60"/>
      <c r="AF204" s="64">
        <f t="shared" ref="AF204:AF219" si="496">AG204+AH204+AI204+AJ204</f>
        <v>0</v>
      </c>
      <c r="AG204" s="64"/>
      <c r="AH204" s="65">
        <v>0</v>
      </c>
      <c r="AI204" s="64"/>
      <c r="AJ204" s="60"/>
      <c r="AK204" s="64">
        <f t="shared" ref="AK204:AK219" si="497">AL204+AM204+AN204+AO204</f>
        <v>1029</v>
      </c>
      <c r="AL204" s="64"/>
      <c r="AM204" s="65">
        <v>1029</v>
      </c>
      <c r="AN204" s="64"/>
      <c r="AO204" s="64"/>
      <c r="AP204" s="64"/>
      <c r="AQ204" s="64">
        <f t="shared" ref="AQ204:AQ219" si="498">AR204+AS204+AT204+AU204</f>
        <v>0</v>
      </c>
      <c r="AR204" s="64"/>
      <c r="AS204" s="64"/>
      <c r="AT204" s="64"/>
      <c r="AU204" s="64"/>
      <c r="AV204" s="64">
        <f t="shared" si="470"/>
        <v>0</v>
      </c>
      <c r="AW204" s="64">
        <f t="shared" si="471"/>
        <v>0</v>
      </c>
      <c r="AX204" s="64">
        <f t="shared" si="472"/>
        <v>0</v>
      </c>
      <c r="AY204" s="64">
        <f t="shared" si="473"/>
        <v>0</v>
      </c>
      <c r="AZ204" s="64" t="e">
        <f>#REF!-AU204</f>
        <v>#REF!</v>
      </c>
      <c r="BA204" s="64">
        <f t="shared" ref="BA204:BA219" si="499">BB204+BC204+BD204+BE204</f>
        <v>0</v>
      </c>
      <c r="BB204" s="64"/>
      <c r="BC204" s="64"/>
      <c r="BD204" s="64"/>
      <c r="BE204" s="64"/>
      <c r="BF204" s="64">
        <f t="shared" ref="BF204:BF219" si="500">BG204+BH204+BI204+BJ204</f>
        <v>0</v>
      </c>
      <c r="BG204" s="64"/>
      <c r="BH204" s="64"/>
      <c r="BI204" s="64"/>
      <c r="BJ204" s="64"/>
      <c r="BK204" s="64">
        <f t="shared" ref="BK204:BK219" si="501">BL204+BM204+BN204+BO204</f>
        <v>0</v>
      </c>
      <c r="BL204" s="64"/>
      <c r="BM204" s="64"/>
      <c r="BN204" s="64"/>
      <c r="BO204" s="64"/>
      <c r="BP204" s="64">
        <f t="shared" ref="BP204:BP219" si="502">BQ204+BR204+BS204+BT204</f>
        <v>0</v>
      </c>
      <c r="BQ204" s="64"/>
      <c r="BR204" s="64"/>
      <c r="BS204" s="64"/>
      <c r="BT204" s="64"/>
      <c r="BU204" s="64">
        <f t="shared" ref="BU204:BU219" si="503">BV204+BW204+BX204+BY204</f>
        <v>0</v>
      </c>
      <c r="BV204" s="64"/>
      <c r="BW204" s="64"/>
      <c r="BX204" s="64"/>
      <c r="BY204" s="64"/>
      <c r="BZ204" s="60">
        <f t="shared" ref="BZ204:BZ219" si="504">CA204</f>
        <v>0</v>
      </c>
      <c r="CA204" s="64">
        <f t="shared" si="474"/>
        <v>0</v>
      </c>
      <c r="CB204" s="64">
        <f t="shared" si="475"/>
        <v>0</v>
      </c>
      <c r="CC204" s="64">
        <f t="shared" si="476"/>
        <v>0</v>
      </c>
      <c r="CD204" s="64">
        <f t="shared" si="477"/>
        <v>0</v>
      </c>
      <c r="CE204" s="64">
        <f t="shared" ref="CE204:CE219" si="505">BT204+BY204</f>
        <v>0</v>
      </c>
      <c r="CF204" s="64">
        <f t="shared" si="478"/>
        <v>0</v>
      </c>
      <c r="CG204" s="64">
        <f t="shared" si="479"/>
        <v>0</v>
      </c>
      <c r="CH204" s="64">
        <f t="shared" si="480"/>
        <v>0</v>
      </c>
      <c r="CI204" s="64">
        <f t="shared" si="481"/>
        <v>0</v>
      </c>
      <c r="CJ204" s="64">
        <f t="shared" ref="CJ204:CJ219" si="506">BO204-BT204</f>
        <v>0</v>
      </c>
      <c r="CK204" s="66"/>
      <c r="CL204" s="67">
        <f>BA204</f>
        <v>0</v>
      </c>
      <c r="CM204" s="67">
        <f>CL204</f>
        <v>0</v>
      </c>
      <c r="CN204" s="64">
        <f t="shared" ref="CN204:CN219" si="507">CO204+CP204+CQ204+CR204</f>
        <v>0</v>
      </c>
      <c r="CO204" s="64"/>
      <c r="CP204" s="64"/>
      <c r="CQ204" s="64"/>
      <c r="CR204" s="64"/>
      <c r="CS204" s="64">
        <f t="shared" ref="CS204:CS219" si="508">CT204+CU204+CV204+CW204</f>
        <v>0</v>
      </c>
      <c r="CT204" s="64"/>
      <c r="CU204" s="64"/>
      <c r="CV204" s="64"/>
      <c r="CW204" s="64"/>
      <c r="CX204" s="64">
        <f t="shared" ref="CX204:CX219" si="509">CY204+CZ204+DA204+DB204</f>
        <v>0</v>
      </c>
      <c r="CY204" s="64">
        <f t="shared" ref="CY204:DB219" si="510">CO204-CT204</f>
        <v>0</v>
      </c>
      <c r="CZ204" s="64">
        <f t="shared" si="510"/>
        <v>0</v>
      </c>
      <c r="DA204" s="64">
        <f t="shared" si="510"/>
        <v>0</v>
      </c>
      <c r="DB204" s="64">
        <f t="shared" si="510"/>
        <v>0</v>
      </c>
      <c r="DC204" s="64"/>
      <c r="DD204" s="64"/>
      <c r="DE204" s="64"/>
      <c r="DF204" s="64">
        <f t="shared" ref="DF204:DF219" si="511">CF204+CX204+DE204</f>
        <v>0</v>
      </c>
      <c r="DH204" s="64">
        <f t="shared" ref="DH204:DH219" si="512">BK204+CN204+DC204</f>
        <v>0</v>
      </c>
      <c r="DI204" s="64">
        <f t="shared" ref="DI204:DI219" si="513">BP204+CS204+DD204</f>
        <v>0</v>
      </c>
      <c r="DK204" s="64">
        <f t="shared" ref="DK204:DK205" si="514">DI204</f>
        <v>0</v>
      </c>
      <c r="DL204" s="64">
        <f t="shared" ref="DL204:DL205" si="515">DF204</f>
        <v>0</v>
      </c>
      <c r="DN204" s="64">
        <f>CM204-DK204</f>
        <v>0</v>
      </c>
      <c r="DQ204" s="64">
        <f t="shared" ref="DQ204:DQ219" si="516">DR204+DS204+DT204+DU204</f>
        <v>0</v>
      </c>
      <c r="DR204" s="64"/>
      <c r="DS204" s="64"/>
      <c r="DT204" s="64"/>
      <c r="DU204" s="64"/>
      <c r="DV204" s="64">
        <f t="shared" ref="DV204:DV219" si="517">DW204+DX204+DY204+DZ204</f>
        <v>0</v>
      </c>
      <c r="DW204" s="64"/>
      <c r="DX204" s="64"/>
      <c r="DY204" s="64"/>
      <c r="DZ204" s="64"/>
      <c r="EA204" s="375"/>
      <c r="EB204" s="375"/>
      <c r="EC204" s="375"/>
      <c r="ED204" s="375"/>
      <c r="EE204" s="375"/>
      <c r="EF204" s="375"/>
      <c r="EG204" s="375"/>
      <c r="EH204" s="375"/>
      <c r="EI204" s="375"/>
      <c r="EJ204" s="375"/>
      <c r="EK204" s="375"/>
      <c r="EL204" s="375"/>
      <c r="EM204" s="375"/>
      <c r="EN204" s="375"/>
      <c r="EO204" s="375"/>
      <c r="EP204" s="375"/>
      <c r="EQ204" s="375"/>
      <c r="ER204" s="375"/>
      <c r="ES204" s="375"/>
      <c r="ET204" s="375"/>
      <c r="EU204" s="375"/>
      <c r="EV204" s="375"/>
      <c r="EW204" s="375"/>
      <c r="EX204" s="375"/>
      <c r="EY204" s="375"/>
      <c r="EZ204" s="375"/>
      <c r="FA204" s="375"/>
      <c r="FB204" s="375"/>
      <c r="FC204" s="375"/>
      <c r="FD204" s="375"/>
      <c r="FE204" s="375"/>
      <c r="FF204" s="375"/>
      <c r="FG204" s="375"/>
      <c r="FH204" s="375"/>
      <c r="FI204" s="375"/>
      <c r="FJ204" s="375"/>
      <c r="FK204" s="375"/>
      <c r="FL204" s="375"/>
      <c r="FM204" s="375"/>
      <c r="FN204" s="375"/>
      <c r="FO204" s="375"/>
      <c r="FP204" s="375"/>
      <c r="FQ204" s="375"/>
      <c r="FR204" s="375"/>
      <c r="FS204" s="375"/>
      <c r="FT204" s="375"/>
      <c r="FU204" s="375"/>
      <c r="FV204" s="375"/>
      <c r="FW204" s="375"/>
      <c r="FX204" s="375"/>
      <c r="FY204" s="375"/>
      <c r="FZ204" s="375"/>
      <c r="GA204" s="375"/>
      <c r="GB204" s="375"/>
      <c r="GC204" s="375"/>
      <c r="GD204" s="375"/>
      <c r="GE204" s="375"/>
      <c r="GF204" s="375"/>
      <c r="GG204" s="375"/>
      <c r="GH204" s="375"/>
      <c r="GI204" s="375"/>
      <c r="GJ204" s="375"/>
      <c r="GK204" s="375"/>
      <c r="GL204" s="375"/>
      <c r="GM204" s="375"/>
      <c r="GN204" s="375"/>
      <c r="GO204" s="375"/>
      <c r="GP204" s="375"/>
      <c r="GQ204" s="375"/>
      <c r="GR204" s="375"/>
    </row>
    <row r="205" spans="1:200" s="61" customFormat="1" ht="15.75" hidden="1" customHeight="1" x14ac:dyDescent="0.3">
      <c r="A205" s="280"/>
      <c r="B205" s="281"/>
      <c r="C205" s="282"/>
      <c r="D205" s="282"/>
      <c r="E205" s="4"/>
      <c r="F205" s="281"/>
      <c r="G205" s="282"/>
      <c r="H205" s="282"/>
      <c r="I205" s="298"/>
      <c r="J205" s="298"/>
      <c r="K205" s="298"/>
      <c r="L205" s="299"/>
      <c r="M205" s="4"/>
      <c r="N205" s="371" t="s">
        <v>249</v>
      </c>
      <c r="O205" s="69" t="s">
        <v>450</v>
      </c>
      <c r="P205" s="63" t="s">
        <v>448</v>
      </c>
      <c r="Q205" s="64">
        <f t="shared" si="482"/>
        <v>0</v>
      </c>
      <c r="R205" s="64">
        <f t="shared" si="483"/>
        <v>0</v>
      </c>
      <c r="S205" s="64">
        <f t="shared" si="484"/>
        <v>0</v>
      </c>
      <c r="T205" s="69"/>
      <c r="U205" s="69"/>
      <c r="V205" s="64">
        <f t="shared" si="494"/>
        <v>0</v>
      </c>
      <c r="W205" s="64"/>
      <c r="X205" s="65"/>
      <c r="Y205" s="64"/>
      <c r="Z205" s="60"/>
      <c r="AA205" s="64">
        <f t="shared" si="495"/>
        <v>0</v>
      </c>
      <c r="AB205" s="64"/>
      <c r="AC205" s="65"/>
      <c r="AD205" s="64"/>
      <c r="AE205" s="60"/>
      <c r="AF205" s="64">
        <f t="shared" si="496"/>
        <v>0</v>
      </c>
      <c r="AG205" s="64"/>
      <c r="AH205" s="65"/>
      <c r="AI205" s="64"/>
      <c r="AJ205" s="60"/>
      <c r="AK205" s="64">
        <f t="shared" si="497"/>
        <v>0</v>
      </c>
      <c r="AL205" s="64"/>
      <c r="AM205" s="65"/>
      <c r="AN205" s="64"/>
      <c r="AO205" s="64"/>
      <c r="AP205" s="64"/>
      <c r="AQ205" s="64">
        <f t="shared" si="498"/>
        <v>0</v>
      </c>
      <c r="AR205" s="64"/>
      <c r="AS205" s="64"/>
      <c r="AT205" s="64"/>
      <c r="AU205" s="64"/>
      <c r="AV205" s="64">
        <f t="shared" si="470"/>
        <v>0</v>
      </c>
      <c r="AW205" s="64">
        <f t="shared" si="471"/>
        <v>0</v>
      </c>
      <c r="AX205" s="64">
        <f t="shared" si="472"/>
        <v>0</v>
      </c>
      <c r="AY205" s="64">
        <f t="shared" si="473"/>
        <v>0</v>
      </c>
      <c r="AZ205" s="64" t="e">
        <f>#REF!-AU205</f>
        <v>#REF!</v>
      </c>
      <c r="BA205" s="64">
        <f t="shared" si="499"/>
        <v>0</v>
      </c>
      <c r="BB205" s="64"/>
      <c r="BC205" s="64"/>
      <c r="BD205" s="64"/>
      <c r="BE205" s="64"/>
      <c r="BF205" s="64">
        <f t="shared" si="500"/>
        <v>0</v>
      </c>
      <c r="BG205" s="64"/>
      <c r="BH205" s="64"/>
      <c r="BI205" s="64"/>
      <c r="BJ205" s="64"/>
      <c r="BK205" s="64">
        <f t="shared" si="501"/>
        <v>0</v>
      </c>
      <c r="BL205" s="64"/>
      <c r="BM205" s="64"/>
      <c r="BN205" s="64"/>
      <c r="BO205" s="64"/>
      <c r="BP205" s="64">
        <f t="shared" si="502"/>
        <v>0</v>
      </c>
      <c r="BQ205" s="64"/>
      <c r="BR205" s="64"/>
      <c r="BS205" s="64"/>
      <c r="BT205" s="64"/>
      <c r="BU205" s="64">
        <f t="shared" si="503"/>
        <v>0</v>
      </c>
      <c r="BV205" s="64"/>
      <c r="BW205" s="64"/>
      <c r="BX205" s="64"/>
      <c r="BY205" s="64"/>
      <c r="BZ205" s="60">
        <f t="shared" si="504"/>
        <v>0</v>
      </c>
      <c r="CA205" s="64">
        <f t="shared" si="474"/>
        <v>0</v>
      </c>
      <c r="CB205" s="64">
        <f t="shared" si="475"/>
        <v>0</v>
      </c>
      <c r="CC205" s="64">
        <f t="shared" si="476"/>
        <v>0</v>
      </c>
      <c r="CD205" s="64">
        <f t="shared" si="477"/>
        <v>0</v>
      </c>
      <c r="CE205" s="64">
        <f t="shared" si="505"/>
        <v>0</v>
      </c>
      <c r="CF205" s="64">
        <f t="shared" si="478"/>
        <v>0</v>
      </c>
      <c r="CG205" s="64">
        <f t="shared" si="479"/>
        <v>0</v>
      </c>
      <c r="CH205" s="64">
        <f t="shared" si="480"/>
        <v>0</v>
      </c>
      <c r="CI205" s="64">
        <f t="shared" si="481"/>
        <v>0</v>
      </c>
      <c r="CJ205" s="64">
        <f t="shared" si="506"/>
        <v>0</v>
      </c>
      <c r="CK205" s="66"/>
      <c r="CL205" s="67"/>
      <c r="CM205" s="67"/>
      <c r="CN205" s="64">
        <f t="shared" si="507"/>
        <v>0</v>
      </c>
      <c r="CO205" s="64"/>
      <c r="CP205" s="64"/>
      <c r="CQ205" s="64"/>
      <c r="CR205" s="64"/>
      <c r="CS205" s="64">
        <f t="shared" si="508"/>
        <v>0</v>
      </c>
      <c r="CT205" s="64"/>
      <c r="CU205" s="64"/>
      <c r="CV205" s="64"/>
      <c r="CW205" s="64"/>
      <c r="CX205" s="64">
        <f t="shared" si="509"/>
        <v>0</v>
      </c>
      <c r="CY205" s="64">
        <f t="shared" si="510"/>
        <v>0</v>
      </c>
      <c r="CZ205" s="64">
        <f t="shared" si="510"/>
        <v>0</v>
      </c>
      <c r="DA205" s="64">
        <f t="shared" si="510"/>
        <v>0</v>
      </c>
      <c r="DB205" s="64">
        <f t="shared" si="510"/>
        <v>0</v>
      </c>
      <c r="DC205" s="64"/>
      <c r="DD205" s="64"/>
      <c r="DE205" s="64"/>
      <c r="DF205" s="64">
        <f t="shared" si="511"/>
        <v>0</v>
      </c>
      <c r="DH205" s="64">
        <f t="shared" si="512"/>
        <v>0</v>
      </c>
      <c r="DI205" s="64">
        <f t="shared" si="513"/>
        <v>0</v>
      </c>
      <c r="DK205" s="64">
        <f t="shared" si="514"/>
        <v>0</v>
      </c>
      <c r="DL205" s="64">
        <f t="shared" si="515"/>
        <v>0</v>
      </c>
      <c r="DN205" s="64"/>
      <c r="DQ205" s="64">
        <f t="shared" si="516"/>
        <v>0</v>
      </c>
      <c r="DR205" s="64"/>
      <c r="DS205" s="64"/>
      <c r="DT205" s="64"/>
      <c r="DU205" s="64"/>
      <c r="DV205" s="64">
        <f t="shared" si="517"/>
        <v>0</v>
      </c>
      <c r="DW205" s="64"/>
      <c r="DX205" s="64"/>
      <c r="DY205" s="64"/>
      <c r="DZ205" s="64"/>
      <c r="EA205" s="375"/>
      <c r="EB205" s="375"/>
      <c r="EC205" s="375"/>
      <c r="ED205" s="375"/>
      <c r="EE205" s="375"/>
      <c r="EF205" s="375"/>
      <c r="EG205" s="375"/>
      <c r="EH205" s="375"/>
      <c r="EI205" s="375"/>
      <c r="EJ205" s="375"/>
      <c r="EK205" s="375"/>
      <c r="EL205" s="375"/>
      <c r="EM205" s="375"/>
      <c r="EN205" s="375"/>
      <c r="EO205" s="375"/>
      <c r="EP205" s="375"/>
      <c r="EQ205" s="375"/>
      <c r="ER205" s="375"/>
      <c r="ES205" s="375"/>
      <c r="ET205" s="375"/>
      <c r="EU205" s="375"/>
      <c r="EV205" s="375"/>
      <c r="EW205" s="375"/>
      <c r="EX205" s="375"/>
      <c r="EY205" s="375"/>
      <c r="EZ205" s="375"/>
      <c r="FA205" s="375"/>
      <c r="FB205" s="375"/>
      <c r="FC205" s="375"/>
      <c r="FD205" s="375"/>
      <c r="FE205" s="375"/>
      <c r="FF205" s="375"/>
      <c r="FG205" s="375"/>
      <c r="FH205" s="375"/>
      <c r="FI205" s="375"/>
      <c r="FJ205" s="375"/>
      <c r="FK205" s="375"/>
      <c r="FL205" s="375"/>
      <c r="FM205" s="375"/>
      <c r="FN205" s="375"/>
      <c r="FO205" s="375"/>
      <c r="FP205" s="375"/>
      <c r="FQ205" s="375"/>
      <c r="FR205" s="375"/>
      <c r="FS205" s="375"/>
      <c r="FT205" s="375"/>
      <c r="FU205" s="375"/>
      <c r="FV205" s="375"/>
      <c r="FW205" s="375"/>
      <c r="FX205" s="375"/>
      <c r="FY205" s="375"/>
      <c r="FZ205" s="375"/>
      <c r="GA205" s="375"/>
      <c r="GB205" s="375"/>
      <c r="GC205" s="375"/>
      <c r="GD205" s="375"/>
      <c r="GE205" s="375"/>
      <c r="GF205" s="375"/>
      <c r="GG205" s="375"/>
      <c r="GH205" s="375"/>
      <c r="GI205" s="375"/>
      <c r="GJ205" s="375"/>
      <c r="GK205" s="375"/>
      <c r="GL205" s="375"/>
      <c r="GM205" s="375"/>
      <c r="GN205" s="375"/>
      <c r="GO205" s="375"/>
      <c r="GP205" s="375"/>
      <c r="GQ205" s="375"/>
      <c r="GR205" s="375"/>
    </row>
    <row r="206" spans="1:200" s="61" customFormat="1" ht="15.75" customHeight="1" x14ac:dyDescent="0.3">
      <c r="A206" s="280"/>
      <c r="B206" s="281"/>
      <c r="C206" s="282"/>
      <c r="D206" s="282">
        <v>1</v>
      </c>
      <c r="E206" s="4">
        <v>172</v>
      </c>
      <c r="F206" s="281"/>
      <c r="G206" s="282"/>
      <c r="H206" s="282">
        <v>1</v>
      </c>
      <c r="I206" s="4"/>
      <c r="J206" s="283"/>
      <c r="K206" s="283"/>
      <c r="L206" s="286"/>
      <c r="M206" s="4">
        <v>169</v>
      </c>
      <c r="N206" s="62" t="s">
        <v>140</v>
      </c>
      <c r="O206" s="62" t="s">
        <v>448</v>
      </c>
      <c r="P206" s="62" t="s">
        <v>448</v>
      </c>
      <c r="Q206" s="60">
        <f t="shared" si="482"/>
        <v>0</v>
      </c>
      <c r="R206" s="60">
        <f t="shared" si="483"/>
        <v>0.757129999999961</v>
      </c>
      <c r="S206" s="60">
        <f t="shared" si="484"/>
        <v>0</v>
      </c>
      <c r="T206" s="60">
        <v>1</v>
      </c>
      <c r="U206" s="60"/>
      <c r="V206" s="64">
        <f t="shared" si="494"/>
        <v>871.7</v>
      </c>
      <c r="W206" s="64"/>
      <c r="X206" s="65">
        <v>871.7</v>
      </c>
      <c r="Y206" s="64"/>
      <c r="Z206" s="65"/>
      <c r="AA206" s="64">
        <f t="shared" si="495"/>
        <v>871.7</v>
      </c>
      <c r="AB206" s="64"/>
      <c r="AC206" s="65">
        <v>871.7</v>
      </c>
      <c r="AD206" s="64"/>
      <c r="AE206" s="65"/>
      <c r="AF206" s="64">
        <f t="shared" si="496"/>
        <v>871.7</v>
      </c>
      <c r="AG206" s="64"/>
      <c r="AH206" s="65">
        <v>871.7</v>
      </c>
      <c r="AI206" s="64"/>
      <c r="AJ206" s="65"/>
      <c r="AK206" s="64">
        <f t="shared" si="497"/>
        <v>379</v>
      </c>
      <c r="AL206" s="64"/>
      <c r="AM206" s="65">
        <v>379</v>
      </c>
      <c r="AN206" s="64"/>
      <c r="AO206" s="65"/>
      <c r="AP206" s="64" t="s">
        <v>350</v>
      </c>
      <c r="AQ206" s="64">
        <f t="shared" si="498"/>
        <v>871.7</v>
      </c>
      <c r="AR206" s="64"/>
      <c r="AS206" s="65">
        <v>871.7</v>
      </c>
      <c r="AT206" s="64"/>
      <c r="AU206" s="65"/>
      <c r="AV206" s="64">
        <f t="shared" si="470"/>
        <v>0</v>
      </c>
      <c r="AW206" s="64">
        <f t="shared" si="471"/>
        <v>0</v>
      </c>
      <c r="AX206" s="64">
        <f t="shared" si="472"/>
        <v>0</v>
      </c>
      <c r="AY206" s="64">
        <f t="shared" si="473"/>
        <v>0</v>
      </c>
      <c r="AZ206" s="64" t="e">
        <f>#REF!-AU206</f>
        <v>#REF!</v>
      </c>
      <c r="BA206" s="64">
        <f t="shared" si="499"/>
        <v>871.7</v>
      </c>
      <c r="BB206" s="64"/>
      <c r="BC206" s="65">
        <v>871.7</v>
      </c>
      <c r="BD206" s="64"/>
      <c r="BE206" s="65"/>
      <c r="BF206" s="64">
        <f t="shared" si="500"/>
        <v>0</v>
      </c>
      <c r="BG206" s="64"/>
      <c r="BH206" s="65"/>
      <c r="BI206" s="64"/>
      <c r="BJ206" s="65"/>
      <c r="BK206" s="64">
        <f t="shared" si="501"/>
        <v>871.7</v>
      </c>
      <c r="BL206" s="64"/>
      <c r="BM206" s="65">
        <v>871.7</v>
      </c>
      <c r="BN206" s="64"/>
      <c r="BO206" s="74"/>
      <c r="BP206" s="64">
        <f t="shared" si="502"/>
        <v>870.94287000000008</v>
      </c>
      <c r="BQ206" s="64"/>
      <c r="BR206" s="74">
        <f>871.7-0.75713</f>
        <v>870.94287000000008</v>
      </c>
      <c r="BS206" s="64"/>
      <c r="BT206" s="74"/>
      <c r="BU206" s="64">
        <f t="shared" si="503"/>
        <v>1394.0157800000002</v>
      </c>
      <c r="BV206" s="64"/>
      <c r="BW206" s="64">
        <f>1118.31158+276.91604-1.21184</f>
        <v>1394.0157800000002</v>
      </c>
      <c r="BX206" s="64"/>
      <c r="BY206" s="64"/>
      <c r="BZ206" s="60">
        <f t="shared" si="504"/>
        <v>2264.9586500000005</v>
      </c>
      <c r="CA206" s="64">
        <f t="shared" si="474"/>
        <v>2264.9586500000005</v>
      </c>
      <c r="CB206" s="64">
        <f t="shared" si="475"/>
        <v>0</v>
      </c>
      <c r="CC206" s="64">
        <f t="shared" si="476"/>
        <v>2264.9586500000005</v>
      </c>
      <c r="CD206" s="64">
        <f t="shared" si="477"/>
        <v>0</v>
      </c>
      <c r="CE206" s="64">
        <f t="shared" si="505"/>
        <v>0</v>
      </c>
      <c r="CF206" s="64">
        <f t="shared" si="478"/>
        <v>0.757129999999961</v>
      </c>
      <c r="CG206" s="64">
        <f t="shared" si="479"/>
        <v>0</v>
      </c>
      <c r="CH206" s="64">
        <f t="shared" si="480"/>
        <v>0.757129999999961</v>
      </c>
      <c r="CI206" s="64">
        <f t="shared" si="481"/>
        <v>0</v>
      </c>
      <c r="CJ206" s="64">
        <f t="shared" si="506"/>
        <v>0</v>
      </c>
      <c r="CK206" s="66"/>
      <c r="CL206" s="67"/>
      <c r="CM206" s="67"/>
      <c r="CN206" s="64">
        <f t="shared" si="507"/>
        <v>0</v>
      </c>
      <c r="CO206" s="64"/>
      <c r="CP206" s="65"/>
      <c r="CQ206" s="64"/>
      <c r="CR206" s="65"/>
      <c r="CS206" s="64">
        <f t="shared" si="508"/>
        <v>0</v>
      </c>
      <c r="CT206" s="64"/>
      <c r="CU206" s="65"/>
      <c r="CV206" s="64"/>
      <c r="CW206" s="65"/>
      <c r="CX206" s="64">
        <f t="shared" si="509"/>
        <v>0</v>
      </c>
      <c r="CY206" s="64">
        <f t="shared" si="510"/>
        <v>0</v>
      </c>
      <c r="CZ206" s="64">
        <f t="shared" si="510"/>
        <v>0</v>
      </c>
      <c r="DA206" s="64">
        <f t="shared" si="510"/>
        <v>0</v>
      </c>
      <c r="DB206" s="64">
        <f t="shared" si="510"/>
        <v>0</v>
      </c>
      <c r="DC206" s="64"/>
      <c r="DD206" s="64"/>
      <c r="DE206" s="64"/>
      <c r="DF206" s="64">
        <f t="shared" si="511"/>
        <v>0.757129999999961</v>
      </c>
      <c r="DH206" s="64">
        <f t="shared" si="512"/>
        <v>871.7</v>
      </c>
      <c r="DI206" s="64">
        <f t="shared" si="513"/>
        <v>870.94287000000008</v>
      </c>
      <c r="DK206" s="64"/>
      <c r="DL206" s="64"/>
      <c r="DN206" s="64"/>
      <c r="DQ206" s="64">
        <f t="shared" si="516"/>
        <v>870.94287000000008</v>
      </c>
      <c r="DR206" s="64"/>
      <c r="DS206" s="74">
        <f>871.7-0.75713</f>
        <v>870.94287000000008</v>
      </c>
      <c r="DT206" s="64"/>
      <c r="DU206" s="74"/>
      <c r="DV206" s="64">
        <f t="shared" si="517"/>
        <v>1395.2276199999999</v>
      </c>
      <c r="DW206" s="64"/>
      <c r="DX206" s="64">
        <v>1395.2276199999999</v>
      </c>
      <c r="DY206" s="64"/>
      <c r="DZ206" s="64"/>
      <c r="EA206" s="375"/>
      <c r="EB206" s="375"/>
      <c r="EC206" s="375"/>
      <c r="ED206" s="375"/>
      <c r="EE206" s="375"/>
      <c r="EF206" s="375"/>
      <c r="EG206" s="375"/>
      <c r="EH206" s="375"/>
      <c r="EI206" s="375"/>
      <c r="EJ206" s="375"/>
      <c r="EK206" s="375"/>
      <c r="EL206" s="375"/>
      <c r="EM206" s="375"/>
      <c r="EN206" s="375"/>
      <c r="EO206" s="375"/>
      <c r="EP206" s="375"/>
      <c r="EQ206" s="375"/>
      <c r="ER206" s="375"/>
      <c r="ES206" s="375"/>
      <c r="ET206" s="375"/>
      <c r="EU206" s="375"/>
      <c r="EV206" s="375"/>
      <c r="EW206" s="375"/>
      <c r="EX206" s="375"/>
      <c r="EY206" s="375"/>
      <c r="EZ206" s="375"/>
      <c r="FA206" s="375"/>
      <c r="FB206" s="375"/>
      <c r="FC206" s="375"/>
      <c r="FD206" s="375"/>
      <c r="FE206" s="375"/>
      <c r="FF206" s="375"/>
      <c r="FG206" s="375"/>
      <c r="FH206" s="375"/>
      <c r="FI206" s="375"/>
      <c r="FJ206" s="375"/>
      <c r="FK206" s="375"/>
      <c r="FL206" s="375"/>
      <c r="FM206" s="375"/>
      <c r="FN206" s="375"/>
      <c r="FO206" s="375"/>
      <c r="FP206" s="375"/>
      <c r="FQ206" s="375"/>
      <c r="FR206" s="375"/>
      <c r="FS206" s="375"/>
      <c r="FT206" s="375"/>
      <c r="FU206" s="375"/>
      <c r="FV206" s="375"/>
      <c r="FW206" s="375"/>
      <c r="FX206" s="375"/>
      <c r="FY206" s="375"/>
      <c r="FZ206" s="375"/>
      <c r="GA206" s="375"/>
      <c r="GB206" s="375"/>
      <c r="GC206" s="375"/>
      <c r="GD206" s="375"/>
      <c r="GE206" s="375"/>
      <c r="GF206" s="375"/>
      <c r="GG206" s="375"/>
      <c r="GH206" s="375"/>
      <c r="GI206" s="375"/>
      <c r="GJ206" s="375"/>
      <c r="GK206" s="375"/>
      <c r="GL206" s="375"/>
      <c r="GM206" s="375"/>
      <c r="GN206" s="375"/>
      <c r="GO206" s="375"/>
      <c r="GP206" s="375"/>
      <c r="GQ206" s="375"/>
      <c r="GR206" s="375"/>
    </row>
    <row r="207" spans="1:200" s="61" customFormat="1" ht="15.75" customHeight="1" x14ac:dyDescent="0.3">
      <c r="A207" s="280"/>
      <c r="B207" s="281"/>
      <c r="C207" s="282"/>
      <c r="D207" s="282">
        <v>1</v>
      </c>
      <c r="E207" s="4">
        <v>173</v>
      </c>
      <c r="F207" s="281"/>
      <c r="G207" s="282"/>
      <c r="H207" s="282">
        <v>1</v>
      </c>
      <c r="I207" s="4"/>
      <c r="J207" s="283"/>
      <c r="K207" s="283"/>
      <c r="L207" s="286"/>
      <c r="M207" s="4">
        <v>170</v>
      </c>
      <c r="N207" s="62" t="s">
        <v>240</v>
      </c>
      <c r="O207" s="62" t="s">
        <v>450</v>
      </c>
      <c r="P207" s="62" t="s">
        <v>450</v>
      </c>
      <c r="Q207" s="60">
        <f t="shared" si="482"/>
        <v>0</v>
      </c>
      <c r="R207" s="60">
        <f t="shared" si="483"/>
        <v>0</v>
      </c>
      <c r="S207" s="60">
        <f t="shared" si="484"/>
        <v>0</v>
      </c>
      <c r="T207" s="60">
        <v>1</v>
      </c>
      <c r="U207" s="60"/>
      <c r="V207" s="64">
        <f t="shared" si="494"/>
        <v>1639.9</v>
      </c>
      <c r="W207" s="64"/>
      <c r="X207" s="65">
        <v>1639.9</v>
      </c>
      <c r="Y207" s="64"/>
      <c r="Z207" s="65"/>
      <c r="AA207" s="64">
        <f t="shared" si="495"/>
        <v>1639.9</v>
      </c>
      <c r="AB207" s="64"/>
      <c r="AC207" s="65">
        <v>1639.9</v>
      </c>
      <c r="AD207" s="64"/>
      <c r="AE207" s="65"/>
      <c r="AF207" s="64">
        <f t="shared" si="496"/>
        <v>1639.9</v>
      </c>
      <c r="AG207" s="64"/>
      <c r="AH207" s="65">
        <v>1639.9</v>
      </c>
      <c r="AI207" s="64"/>
      <c r="AJ207" s="65"/>
      <c r="AK207" s="64">
        <f t="shared" si="497"/>
        <v>713</v>
      </c>
      <c r="AL207" s="64"/>
      <c r="AM207" s="65">
        <v>713</v>
      </c>
      <c r="AN207" s="64"/>
      <c r="AO207" s="65"/>
      <c r="AP207" s="64" t="s">
        <v>360</v>
      </c>
      <c r="AQ207" s="64">
        <f t="shared" si="498"/>
        <v>1639.9</v>
      </c>
      <c r="AR207" s="64"/>
      <c r="AS207" s="65">
        <v>1639.9</v>
      </c>
      <c r="AT207" s="64"/>
      <c r="AU207" s="64"/>
      <c r="AV207" s="64">
        <f t="shared" si="470"/>
        <v>0</v>
      </c>
      <c r="AW207" s="64">
        <f t="shared" si="471"/>
        <v>0</v>
      </c>
      <c r="AX207" s="64">
        <f t="shared" si="472"/>
        <v>0</v>
      </c>
      <c r="AY207" s="64">
        <f t="shared" si="473"/>
        <v>0</v>
      </c>
      <c r="AZ207" s="64" t="e">
        <f>#REF!-AU207</f>
        <v>#REF!</v>
      </c>
      <c r="BA207" s="64">
        <f t="shared" si="499"/>
        <v>1639.9</v>
      </c>
      <c r="BB207" s="64"/>
      <c r="BC207" s="65">
        <v>1639.9</v>
      </c>
      <c r="BD207" s="64"/>
      <c r="BE207" s="64"/>
      <c r="BF207" s="64">
        <f t="shared" si="500"/>
        <v>0</v>
      </c>
      <c r="BG207" s="64"/>
      <c r="BH207" s="65"/>
      <c r="BI207" s="64"/>
      <c r="BJ207" s="64"/>
      <c r="BK207" s="64">
        <f t="shared" si="501"/>
        <v>1639.9</v>
      </c>
      <c r="BL207" s="64"/>
      <c r="BM207" s="65">
        <v>1639.9</v>
      </c>
      <c r="BN207" s="64"/>
      <c r="BO207" s="64"/>
      <c r="BP207" s="64">
        <f t="shared" si="502"/>
        <v>1639.9</v>
      </c>
      <c r="BQ207" s="64"/>
      <c r="BR207" s="74">
        <v>1639.9</v>
      </c>
      <c r="BS207" s="64"/>
      <c r="BT207" s="64"/>
      <c r="BU207" s="64">
        <f t="shared" si="503"/>
        <v>560.1</v>
      </c>
      <c r="BV207" s="64"/>
      <c r="BW207" s="64">
        <v>560.1</v>
      </c>
      <c r="BX207" s="64"/>
      <c r="BY207" s="64"/>
      <c r="BZ207" s="60">
        <f t="shared" si="504"/>
        <v>2200</v>
      </c>
      <c r="CA207" s="64">
        <f t="shared" si="474"/>
        <v>2200</v>
      </c>
      <c r="CB207" s="64">
        <f t="shared" si="475"/>
        <v>0</v>
      </c>
      <c r="CC207" s="64">
        <f t="shared" si="476"/>
        <v>2200</v>
      </c>
      <c r="CD207" s="64">
        <f t="shared" si="477"/>
        <v>0</v>
      </c>
      <c r="CE207" s="64">
        <f t="shared" si="505"/>
        <v>0</v>
      </c>
      <c r="CF207" s="64">
        <f t="shared" si="478"/>
        <v>0</v>
      </c>
      <c r="CG207" s="64">
        <f t="shared" si="479"/>
        <v>0</v>
      </c>
      <c r="CH207" s="64">
        <f t="shared" si="480"/>
        <v>0</v>
      </c>
      <c r="CI207" s="64">
        <f t="shared" si="481"/>
        <v>0</v>
      </c>
      <c r="CJ207" s="64">
        <f t="shared" si="506"/>
        <v>0</v>
      </c>
      <c r="CK207" s="66"/>
      <c r="CL207" s="67"/>
      <c r="CM207" s="67"/>
      <c r="CN207" s="64">
        <f t="shared" si="507"/>
        <v>0</v>
      </c>
      <c r="CO207" s="64"/>
      <c r="CP207" s="65"/>
      <c r="CQ207" s="64"/>
      <c r="CR207" s="64"/>
      <c r="CS207" s="64">
        <f t="shared" si="508"/>
        <v>0</v>
      </c>
      <c r="CT207" s="64"/>
      <c r="CU207" s="65"/>
      <c r="CV207" s="64"/>
      <c r="CW207" s="64"/>
      <c r="CX207" s="64">
        <f t="shared" si="509"/>
        <v>0</v>
      </c>
      <c r="CY207" s="64">
        <f t="shared" si="510"/>
        <v>0</v>
      </c>
      <c r="CZ207" s="64">
        <f t="shared" si="510"/>
        <v>0</v>
      </c>
      <c r="DA207" s="64">
        <f t="shared" si="510"/>
        <v>0</v>
      </c>
      <c r="DB207" s="64">
        <f t="shared" si="510"/>
        <v>0</v>
      </c>
      <c r="DC207" s="64"/>
      <c r="DD207" s="64"/>
      <c r="DE207" s="64"/>
      <c r="DF207" s="64">
        <f t="shared" si="511"/>
        <v>0</v>
      </c>
      <c r="DH207" s="64">
        <f t="shared" si="512"/>
        <v>1639.9</v>
      </c>
      <c r="DI207" s="64">
        <f t="shared" si="513"/>
        <v>1639.9</v>
      </c>
      <c r="DK207" s="64"/>
      <c r="DL207" s="64"/>
      <c r="DN207" s="64"/>
      <c r="DQ207" s="64">
        <f t="shared" si="516"/>
        <v>1639.9</v>
      </c>
      <c r="DR207" s="64"/>
      <c r="DS207" s="74">
        <v>1639.9</v>
      </c>
      <c r="DT207" s="64"/>
      <c r="DU207" s="64"/>
      <c r="DV207" s="64">
        <f t="shared" si="517"/>
        <v>560.1</v>
      </c>
      <c r="DW207" s="64"/>
      <c r="DX207" s="64">
        <v>560.1</v>
      </c>
      <c r="DY207" s="64"/>
      <c r="DZ207" s="64"/>
      <c r="EA207" s="375"/>
      <c r="EB207" s="375"/>
      <c r="EC207" s="375"/>
      <c r="ED207" s="375"/>
      <c r="EE207" s="375"/>
      <c r="EF207" s="375"/>
      <c r="EG207" s="375"/>
      <c r="EH207" s="375"/>
      <c r="EI207" s="375"/>
      <c r="EJ207" s="375"/>
      <c r="EK207" s="375"/>
      <c r="EL207" s="375"/>
      <c r="EM207" s="375"/>
      <c r="EN207" s="375"/>
      <c r="EO207" s="375"/>
      <c r="EP207" s="375"/>
      <c r="EQ207" s="375"/>
      <c r="ER207" s="375"/>
      <c r="ES207" s="375"/>
      <c r="ET207" s="375"/>
      <c r="EU207" s="375"/>
      <c r="EV207" s="375"/>
      <c r="EW207" s="375"/>
      <c r="EX207" s="375"/>
      <c r="EY207" s="375"/>
      <c r="EZ207" s="375"/>
      <c r="FA207" s="375"/>
      <c r="FB207" s="375"/>
      <c r="FC207" s="375"/>
      <c r="FD207" s="375"/>
      <c r="FE207" s="375"/>
      <c r="FF207" s="375"/>
      <c r="FG207" s="375"/>
      <c r="FH207" s="375"/>
      <c r="FI207" s="375"/>
      <c r="FJ207" s="375"/>
      <c r="FK207" s="375"/>
      <c r="FL207" s="375"/>
      <c r="FM207" s="375"/>
      <c r="FN207" s="375"/>
      <c r="FO207" s="375"/>
      <c r="FP207" s="375"/>
      <c r="FQ207" s="375"/>
      <c r="FR207" s="375"/>
      <c r="FS207" s="375"/>
      <c r="FT207" s="375"/>
      <c r="FU207" s="375"/>
      <c r="FV207" s="375"/>
      <c r="FW207" s="375"/>
      <c r="FX207" s="375"/>
      <c r="FY207" s="375"/>
      <c r="FZ207" s="375"/>
      <c r="GA207" s="375"/>
      <c r="GB207" s="375"/>
      <c r="GC207" s="375"/>
      <c r="GD207" s="375"/>
      <c r="GE207" s="375"/>
      <c r="GF207" s="375"/>
      <c r="GG207" s="375"/>
      <c r="GH207" s="375"/>
      <c r="GI207" s="375"/>
      <c r="GJ207" s="375"/>
      <c r="GK207" s="375"/>
      <c r="GL207" s="375"/>
      <c r="GM207" s="375"/>
      <c r="GN207" s="375"/>
      <c r="GO207" s="375"/>
      <c r="GP207" s="375"/>
      <c r="GQ207" s="375"/>
      <c r="GR207" s="375"/>
    </row>
    <row r="208" spans="1:200" s="61" customFormat="1" ht="15.75" customHeight="1" x14ac:dyDescent="0.3">
      <c r="A208" s="280"/>
      <c r="B208" s="281"/>
      <c r="C208" s="282"/>
      <c r="D208" s="282">
        <v>1</v>
      </c>
      <c r="E208" s="4">
        <v>174</v>
      </c>
      <c r="F208" s="281"/>
      <c r="G208" s="282"/>
      <c r="H208" s="282">
        <v>1</v>
      </c>
      <c r="I208" s="4"/>
      <c r="J208" s="283"/>
      <c r="K208" s="283"/>
      <c r="L208" s="286"/>
      <c r="M208" s="4">
        <v>171</v>
      </c>
      <c r="N208" s="62" t="s">
        <v>309</v>
      </c>
      <c r="O208" s="62" t="s">
        <v>448</v>
      </c>
      <c r="P208" s="62" t="s">
        <v>450</v>
      </c>
      <c r="Q208" s="60">
        <f t="shared" si="482"/>
        <v>0</v>
      </c>
      <c r="R208" s="60">
        <f t="shared" si="483"/>
        <v>0</v>
      </c>
      <c r="S208" s="60">
        <f t="shared" si="484"/>
        <v>0</v>
      </c>
      <c r="T208" s="60">
        <v>1</v>
      </c>
      <c r="U208" s="60"/>
      <c r="V208" s="64">
        <f t="shared" si="494"/>
        <v>455.4</v>
      </c>
      <c r="W208" s="64"/>
      <c r="X208" s="65">
        <v>455.4</v>
      </c>
      <c r="Y208" s="64"/>
      <c r="Z208" s="65"/>
      <c r="AA208" s="64">
        <f t="shared" si="495"/>
        <v>455.4</v>
      </c>
      <c r="AB208" s="64"/>
      <c r="AC208" s="65">
        <v>455.4</v>
      </c>
      <c r="AD208" s="64"/>
      <c r="AE208" s="65"/>
      <c r="AF208" s="64">
        <f t="shared" si="496"/>
        <v>455.4</v>
      </c>
      <c r="AG208" s="64"/>
      <c r="AH208" s="65">
        <v>455.4</v>
      </c>
      <c r="AI208" s="64"/>
      <c r="AJ208" s="65"/>
      <c r="AK208" s="64">
        <f t="shared" si="497"/>
        <v>198</v>
      </c>
      <c r="AL208" s="64"/>
      <c r="AM208" s="65">
        <v>198</v>
      </c>
      <c r="AN208" s="64"/>
      <c r="AO208" s="65"/>
      <c r="AP208" s="64" t="s">
        <v>371</v>
      </c>
      <c r="AQ208" s="64">
        <f t="shared" si="498"/>
        <v>455.4</v>
      </c>
      <c r="AR208" s="64"/>
      <c r="AS208" s="65">
        <v>455.4</v>
      </c>
      <c r="AT208" s="64"/>
      <c r="AU208" s="64"/>
      <c r="AV208" s="64">
        <f t="shared" si="470"/>
        <v>0</v>
      </c>
      <c r="AW208" s="64">
        <f t="shared" si="471"/>
        <v>0</v>
      </c>
      <c r="AX208" s="64">
        <f t="shared" si="472"/>
        <v>0</v>
      </c>
      <c r="AY208" s="64">
        <f t="shared" si="473"/>
        <v>0</v>
      </c>
      <c r="AZ208" s="64" t="e">
        <f>#REF!-AU208</f>
        <v>#REF!</v>
      </c>
      <c r="BA208" s="64">
        <f t="shared" si="499"/>
        <v>455.4</v>
      </c>
      <c r="BB208" s="64"/>
      <c r="BC208" s="65">
        <v>455.4</v>
      </c>
      <c r="BD208" s="64"/>
      <c r="BE208" s="64"/>
      <c r="BF208" s="64">
        <f t="shared" si="500"/>
        <v>0</v>
      </c>
      <c r="BG208" s="64"/>
      <c r="BH208" s="73"/>
      <c r="BI208" s="64"/>
      <c r="BJ208" s="64"/>
      <c r="BK208" s="64">
        <f t="shared" si="501"/>
        <v>455.4</v>
      </c>
      <c r="BL208" s="64"/>
      <c r="BM208" s="65">
        <v>455.4</v>
      </c>
      <c r="BN208" s="64"/>
      <c r="BO208" s="64"/>
      <c r="BP208" s="64">
        <f t="shared" si="502"/>
        <v>455.4</v>
      </c>
      <c r="BQ208" s="64"/>
      <c r="BR208" s="74">
        <v>455.4</v>
      </c>
      <c r="BS208" s="64"/>
      <c r="BT208" s="64"/>
      <c r="BU208" s="64">
        <f t="shared" si="503"/>
        <v>795.14747999999997</v>
      </c>
      <c r="BV208" s="64"/>
      <c r="BW208" s="64">
        <v>795.14747999999997</v>
      </c>
      <c r="BX208" s="64"/>
      <c r="BY208" s="64"/>
      <c r="BZ208" s="60">
        <f t="shared" si="504"/>
        <v>1250.54748</v>
      </c>
      <c r="CA208" s="64">
        <f t="shared" si="474"/>
        <v>1250.54748</v>
      </c>
      <c r="CB208" s="64">
        <f t="shared" si="475"/>
        <v>0</v>
      </c>
      <c r="CC208" s="64">
        <f t="shared" si="476"/>
        <v>1250.54748</v>
      </c>
      <c r="CD208" s="64">
        <f t="shared" si="477"/>
        <v>0</v>
      </c>
      <c r="CE208" s="64">
        <f t="shared" si="505"/>
        <v>0</v>
      </c>
      <c r="CF208" s="64">
        <f t="shared" si="478"/>
        <v>0</v>
      </c>
      <c r="CG208" s="64">
        <f t="shared" si="479"/>
        <v>0</v>
      </c>
      <c r="CH208" s="64">
        <f t="shared" si="480"/>
        <v>0</v>
      </c>
      <c r="CI208" s="64">
        <f t="shared" si="481"/>
        <v>0</v>
      </c>
      <c r="CJ208" s="64">
        <f t="shared" si="506"/>
        <v>0</v>
      </c>
      <c r="CK208" s="66"/>
      <c r="CL208" s="67"/>
      <c r="CM208" s="67"/>
      <c r="CN208" s="64">
        <f t="shared" si="507"/>
        <v>0</v>
      </c>
      <c r="CO208" s="64"/>
      <c r="CP208" s="73"/>
      <c r="CQ208" s="64"/>
      <c r="CR208" s="64"/>
      <c r="CS208" s="64">
        <f t="shared" si="508"/>
        <v>0</v>
      </c>
      <c r="CT208" s="64"/>
      <c r="CU208" s="73"/>
      <c r="CV208" s="64"/>
      <c r="CW208" s="64"/>
      <c r="CX208" s="64">
        <f t="shared" si="509"/>
        <v>0</v>
      </c>
      <c r="CY208" s="64">
        <f t="shared" si="510"/>
        <v>0</v>
      </c>
      <c r="CZ208" s="64">
        <f t="shared" si="510"/>
        <v>0</v>
      </c>
      <c r="DA208" s="64">
        <f t="shared" si="510"/>
        <v>0</v>
      </c>
      <c r="DB208" s="64">
        <f t="shared" si="510"/>
        <v>0</v>
      </c>
      <c r="DC208" s="64"/>
      <c r="DD208" s="64"/>
      <c r="DE208" s="64"/>
      <c r="DF208" s="64">
        <f t="shared" si="511"/>
        <v>0</v>
      </c>
      <c r="DH208" s="64">
        <f t="shared" si="512"/>
        <v>455.4</v>
      </c>
      <c r="DI208" s="64">
        <f t="shared" si="513"/>
        <v>455.4</v>
      </c>
      <c r="DK208" s="64"/>
      <c r="DL208" s="64"/>
      <c r="DN208" s="64"/>
      <c r="DQ208" s="64">
        <f t="shared" si="516"/>
        <v>455.4</v>
      </c>
      <c r="DR208" s="64"/>
      <c r="DS208" s="74">
        <v>455.4</v>
      </c>
      <c r="DT208" s="64"/>
      <c r="DU208" s="64"/>
      <c r="DV208" s="64">
        <f t="shared" si="517"/>
        <v>0</v>
      </c>
      <c r="DW208" s="64"/>
      <c r="DX208" s="64"/>
      <c r="DY208" s="64"/>
      <c r="DZ208" s="64"/>
      <c r="EA208" s="375"/>
      <c r="EB208" s="375"/>
      <c r="EC208" s="375"/>
      <c r="ED208" s="375"/>
      <c r="EE208" s="375"/>
      <c r="EF208" s="375"/>
      <c r="EG208" s="375"/>
      <c r="EH208" s="375"/>
      <c r="EI208" s="375"/>
      <c r="EJ208" s="375"/>
      <c r="EK208" s="375"/>
      <c r="EL208" s="375"/>
      <c r="EM208" s="375"/>
      <c r="EN208" s="375"/>
      <c r="EO208" s="375"/>
      <c r="EP208" s="375"/>
      <c r="EQ208" s="375"/>
      <c r="ER208" s="375"/>
      <c r="ES208" s="375"/>
      <c r="ET208" s="375"/>
      <c r="EU208" s="375"/>
      <c r="EV208" s="375"/>
      <c r="EW208" s="375"/>
      <c r="EX208" s="375"/>
      <c r="EY208" s="375"/>
      <c r="EZ208" s="375"/>
      <c r="FA208" s="375"/>
      <c r="FB208" s="375"/>
      <c r="FC208" s="375"/>
      <c r="FD208" s="375"/>
      <c r="FE208" s="375"/>
      <c r="FF208" s="375"/>
      <c r="FG208" s="375"/>
      <c r="FH208" s="375"/>
      <c r="FI208" s="375"/>
      <c r="FJ208" s="375"/>
      <c r="FK208" s="375"/>
      <c r="FL208" s="375"/>
      <c r="FM208" s="375"/>
      <c r="FN208" s="375"/>
      <c r="FO208" s="375"/>
      <c r="FP208" s="375"/>
      <c r="FQ208" s="375"/>
      <c r="FR208" s="375"/>
      <c r="FS208" s="375"/>
      <c r="FT208" s="375"/>
      <c r="FU208" s="375"/>
      <c r="FV208" s="375"/>
      <c r="FW208" s="375"/>
      <c r="FX208" s="375"/>
      <c r="FY208" s="375"/>
      <c r="FZ208" s="375"/>
      <c r="GA208" s="375"/>
      <c r="GB208" s="375"/>
      <c r="GC208" s="375"/>
      <c r="GD208" s="375"/>
      <c r="GE208" s="375"/>
      <c r="GF208" s="375"/>
      <c r="GG208" s="375"/>
      <c r="GH208" s="375"/>
      <c r="GI208" s="375"/>
      <c r="GJ208" s="375"/>
      <c r="GK208" s="375"/>
      <c r="GL208" s="375"/>
      <c r="GM208" s="375"/>
      <c r="GN208" s="375"/>
      <c r="GO208" s="375"/>
      <c r="GP208" s="375"/>
      <c r="GQ208" s="375"/>
      <c r="GR208" s="375"/>
    </row>
    <row r="209" spans="1:200" s="61" customFormat="1" ht="15.75" customHeight="1" x14ac:dyDescent="0.3">
      <c r="A209" s="280"/>
      <c r="B209" s="281"/>
      <c r="C209" s="282">
        <v>1</v>
      </c>
      <c r="D209" s="282"/>
      <c r="E209" s="4">
        <v>175</v>
      </c>
      <c r="F209" s="281"/>
      <c r="G209" s="282">
        <v>1</v>
      </c>
      <c r="H209" s="282">
        <v>1</v>
      </c>
      <c r="I209" s="4"/>
      <c r="J209" s="283"/>
      <c r="K209" s="283"/>
      <c r="L209" s="286"/>
      <c r="M209" s="4">
        <v>172</v>
      </c>
      <c r="N209" s="62" t="s">
        <v>241</v>
      </c>
      <c r="O209" s="62" t="s">
        <v>450</v>
      </c>
      <c r="P209" s="62" t="s">
        <v>450</v>
      </c>
      <c r="Q209" s="60">
        <f t="shared" si="482"/>
        <v>0</v>
      </c>
      <c r="R209" s="60">
        <f t="shared" si="483"/>
        <v>0</v>
      </c>
      <c r="S209" s="60">
        <f t="shared" si="484"/>
        <v>0</v>
      </c>
      <c r="T209" s="60">
        <v>1</v>
      </c>
      <c r="U209" s="60">
        <v>1</v>
      </c>
      <c r="V209" s="64">
        <f t="shared" si="494"/>
        <v>494.5</v>
      </c>
      <c r="W209" s="64"/>
      <c r="X209" s="65">
        <v>494.5</v>
      </c>
      <c r="Y209" s="64"/>
      <c r="Z209" s="65"/>
      <c r="AA209" s="64">
        <f t="shared" si="495"/>
        <v>494.5</v>
      </c>
      <c r="AB209" s="64"/>
      <c r="AC209" s="65">
        <v>494.5</v>
      </c>
      <c r="AD209" s="64"/>
      <c r="AE209" s="65"/>
      <c r="AF209" s="64">
        <f t="shared" si="496"/>
        <v>494.5</v>
      </c>
      <c r="AG209" s="64"/>
      <c r="AH209" s="65">
        <v>494.5</v>
      </c>
      <c r="AI209" s="64"/>
      <c r="AJ209" s="65"/>
      <c r="AK209" s="64">
        <f t="shared" si="497"/>
        <v>215</v>
      </c>
      <c r="AL209" s="64"/>
      <c r="AM209" s="65">
        <v>215</v>
      </c>
      <c r="AN209" s="64"/>
      <c r="AO209" s="65"/>
      <c r="AP209" s="64" t="s">
        <v>373</v>
      </c>
      <c r="AQ209" s="64">
        <f t="shared" si="498"/>
        <v>494.5</v>
      </c>
      <c r="AR209" s="64"/>
      <c r="AS209" s="65">
        <f>215+279.5</f>
        <v>494.5</v>
      </c>
      <c r="AT209" s="64"/>
      <c r="AU209" s="64"/>
      <c r="AV209" s="64">
        <f t="shared" si="470"/>
        <v>0</v>
      </c>
      <c r="AW209" s="64">
        <f t="shared" si="471"/>
        <v>0</v>
      </c>
      <c r="AX209" s="64">
        <f t="shared" si="472"/>
        <v>0</v>
      </c>
      <c r="AY209" s="64">
        <f t="shared" si="473"/>
        <v>0</v>
      </c>
      <c r="AZ209" s="64" t="e">
        <f>#REF!-AU209</f>
        <v>#REF!</v>
      </c>
      <c r="BA209" s="64">
        <f t="shared" si="499"/>
        <v>494.5</v>
      </c>
      <c r="BB209" s="64"/>
      <c r="BC209" s="65">
        <f>215+279.5</f>
        <v>494.5</v>
      </c>
      <c r="BD209" s="64"/>
      <c r="BE209" s="64"/>
      <c r="BF209" s="64">
        <f t="shared" si="500"/>
        <v>0</v>
      </c>
      <c r="BG209" s="64"/>
      <c r="BH209" s="65"/>
      <c r="BI209" s="64"/>
      <c r="BJ209" s="64"/>
      <c r="BK209" s="64">
        <f t="shared" si="501"/>
        <v>494.5</v>
      </c>
      <c r="BL209" s="64"/>
      <c r="BM209" s="65">
        <f>215+279.5</f>
        <v>494.5</v>
      </c>
      <c r="BN209" s="64"/>
      <c r="BO209" s="64"/>
      <c r="BP209" s="64">
        <f t="shared" si="502"/>
        <v>494.5</v>
      </c>
      <c r="BQ209" s="64"/>
      <c r="BR209" s="74">
        <v>494.5</v>
      </c>
      <c r="BS209" s="64"/>
      <c r="BT209" s="64"/>
      <c r="BU209" s="64">
        <f t="shared" si="503"/>
        <v>667.70442000000003</v>
      </c>
      <c r="BV209" s="64"/>
      <c r="BW209" s="74">
        <f>128.4+62.00034+35.66937+441.63471</f>
        <v>667.70442000000003</v>
      </c>
      <c r="BX209" s="64"/>
      <c r="BY209" s="64"/>
      <c r="BZ209" s="60">
        <f t="shared" si="504"/>
        <v>1162.20442</v>
      </c>
      <c r="CA209" s="64">
        <f t="shared" si="474"/>
        <v>1162.20442</v>
      </c>
      <c r="CB209" s="64">
        <f t="shared" si="475"/>
        <v>0</v>
      </c>
      <c r="CC209" s="64">
        <f t="shared" si="476"/>
        <v>1162.20442</v>
      </c>
      <c r="CD209" s="64">
        <f t="shared" si="477"/>
        <v>0</v>
      </c>
      <c r="CE209" s="64">
        <f t="shared" si="505"/>
        <v>0</v>
      </c>
      <c r="CF209" s="64">
        <f t="shared" si="478"/>
        <v>0</v>
      </c>
      <c r="CG209" s="64">
        <f t="shared" si="479"/>
        <v>0</v>
      </c>
      <c r="CH209" s="64">
        <f t="shared" si="480"/>
        <v>0</v>
      </c>
      <c r="CI209" s="64">
        <f t="shared" si="481"/>
        <v>0</v>
      </c>
      <c r="CJ209" s="64">
        <f t="shared" si="506"/>
        <v>0</v>
      </c>
      <c r="CK209" s="66"/>
      <c r="CL209" s="76">
        <f>BA209+BA215</f>
        <v>4934.3999999999996</v>
      </c>
      <c r="CM209" s="76">
        <f>CL209</f>
        <v>4934.3999999999996</v>
      </c>
      <c r="CN209" s="64">
        <f t="shared" si="507"/>
        <v>0</v>
      </c>
      <c r="CO209" s="64"/>
      <c r="CP209" s="65"/>
      <c r="CQ209" s="64"/>
      <c r="CR209" s="64"/>
      <c r="CS209" s="64">
        <f t="shared" si="508"/>
        <v>0</v>
      </c>
      <c r="CT209" s="64"/>
      <c r="CU209" s="65"/>
      <c r="CV209" s="64"/>
      <c r="CW209" s="64"/>
      <c r="CX209" s="64">
        <f t="shared" si="509"/>
        <v>0</v>
      </c>
      <c r="CY209" s="64">
        <f t="shared" si="510"/>
        <v>0</v>
      </c>
      <c r="CZ209" s="64">
        <f t="shared" si="510"/>
        <v>0</v>
      </c>
      <c r="DA209" s="64">
        <f t="shared" si="510"/>
        <v>0</v>
      </c>
      <c r="DB209" s="64">
        <f t="shared" si="510"/>
        <v>0</v>
      </c>
      <c r="DC209" s="64"/>
      <c r="DD209" s="64"/>
      <c r="DE209" s="64"/>
      <c r="DF209" s="64">
        <f t="shared" si="511"/>
        <v>0</v>
      </c>
      <c r="DH209" s="64">
        <f t="shared" si="512"/>
        <v>494.5</v>
      </c>
      <c r="DI209" s="64">
        <f t="shared" si="513"/>
        <v>494.5</v>
      </c>
      <c r="DK209" s="77">
        <f>DI209+DI215</f>
        <v>4931.777</v>
      </c>
      <c r="DL209" s="77">
        <f>DF209+DF215</f>
        <v>2.6229999999995925</v>
      </c>
      <c r="DN209" s="64">
        <f>CM209-DK209</f>
        <v>2.6229999999995925</v>
      </c>
      <c r="DQ209" s="64">
        <f t="shared" si="516"/>
        <v>494.5</v>
      </c>
      <c r="DR209" s="64"/>
      <c r="DS209" s="74">
        <v>494.5</v>
      </c>
      <c r="DT209" s="64"/>
      <c r="DU209" s="64"/>
      <c r="DV209" s="64">
        <f t="shared" si="517"/>
        <v>0</v>
      </c>
      <c r="DW209" s="64"/>
      <c r="DX209" s="64"/>
      <c r="DY209" s="64"/>
      <c r="DZ209" s="64"/>
      <c r="EA209" s="375"/>
      <c r="EB209" s="375"/>
      <c r="EC209" s="375"/>
      <c r="ED209" s="375"/>
      <c r="EE209" s="375"/>
      <c r="EF209" s="375"/>
      <c r="EG209" s="375"/>
      <c r="EH209" s="375"/>
      <c r="EI209" s="375"/>
      <c r="EJ209" s="375"/>
      <c r="EK209" s="375"/>
      <c r="EL209" s="375"/>
      <c r="EM209" s="375"/>
      <c r="EN209" s="375"/>
      <c r="EO209" s="375"/>
      <c r="EP209" s="375"/>
      <c r="EQ209" s="375"/>
      <c r="ER209" s="375"/>
      <c r="ES209" s="375"/>
      <c r="ET209" s="375"/>
      <c r="EU209" s="375"/>
      <c r="EV209" s="375"/>
      <c r="EW209" s="375"/>
      <c r="EX209" s="375"/>
      <c r="EY209" s="375"/>
      <c r="EZ209" s="375"/>
      <c r="FA209" s="375"/>
      <c r="FB209" s="375"/>
      <c r="FC209" s="375"/>
      <c r="FD209" s="375"/>
      <c r="FE209" s="375"/>
      <c r="FF209" s="375"/>
      <c r="FG209" s="375"/>
      <c r="FH209" s="375"/>
      <c r="FI209" s="375"/>
      <c r="FJ209" s="375"/>
      <c r="FK209" s="375"/>
      <c r="FL209" s="375"/>
      <c r="FM209" s="375"/>
      <c r="FN209" s="375"/>
      <c r="FO209" s="375"/>
      <c r="FP209" s="375"/>
      <c r="FQ209" s="375"/>
      <c r="FR209" s="375"/>
      <c r="FS209" s="375"/>
      <c r="FT209" s="375"/>
      <c r="FU209" s="375"/>
      <c r="FV209" s="375"/>
      <c r="FW209" s="375"/>
      <c r="FX209" s="375"/>
      <c r="FY209" s="375"/>
      <c r="FZ209" s="375"/>
      <c r="GA209" s="375"/>
      <c r="GB209" s="375"/>
      <c r="GC209" s="375"/>
      <c r="GD209" s="375"/>
      <c r="GE209" s="375"/>
      <c r="GF209" s="375"/>
      <c r="GG209" s="375"/>
      <c r="GH209" s="375"/>
      <c r="GI209" s="375"/>
      <c r="GJ209" s="375"/>
      <c r="GK209" s="375"/>
      <c r="GL209" s="375"/>
      <c r="GM209" s="375"/>
      <c r="GN209" s="375"/>
      <c r="GO209" s="375"/>
      <c r="GP209" s="375"/>
      <c r="GQ209" s="375"/>
      <c r="GR209" s="375"/>
    </row>
    <row r="210" spans="1:200" s="61" customFormat="1" ht="15.75" customHeight="1" x14ac:dyDescent="0.3">
      <c r="A210" s="280"/>
      <c r="B210" s="281"/>
      <c r="C210" s="282"/>
      <c r="D210" s="282">
        <v>1</v>
      </c>
      <c r="E210" s="4">
        <v>176</v>
      </c>
      <c r="F210" s="281"/>
      <c r="G210" s="282"/>
      <c r="H210" s="282">
        <v>1</v>
      </c>
      <c r="I210" s="4"/>
      <c r="J210" s="283"/>
      <c r="K210" s="283"/>
      <c r="L210" s="286"/>
      <c r="M210" s="4">
        <v>173</v>
      </c>
      <c r="N210" s="62" t="s">
        <v>141</v>
      </c>
      <c r="O210" s="62" t="s">
        <v>450</v>
      </c>
      <c r="P210" s="62" t="s">
        <v>450</v>
      </c>
      <c r="Q210" s="60">
        <f t="shared" si="482"/>
        <v>0</v>
      </c>
      <c r="R210" s="60">
        <f t="shared" si="483"/>
        <v>0</v>
      </c>
      <c r="S210" s="60">
        <f t="shared" si="484"/>
        <v>0</v>
      </c>
      <c r="T210" s="60">
        <v>1</v>
      </c>
      <c r="U210" s="60">
        <v>1</v>
      </c>
      <c r="V210" s="64">
        <f t="shared" si="494"/>
        <v>1945.8</v>
      </c>
      <c r="W210" s="64"/>
      <c r="X210" s="65">
        <v>1945.8</v>
      </c>
      <c r="Y210" s="64"/>
      <c r="Z210" s="65"/>
      <c r="AA210" s="64">
        <f t="shared" si="495"/>
        <v>1945.8</v>
      </c>
      <c r="AB210" s="64"/>
      <c r="AC210" s="65">
        <v>1945.8</v>
      </c>
      <c r="AD210" s="64"/>
      <c r="AE210" s="65"/>
      <c r="AF210" s="64">
        <f t="shared" si="496"/>
        <v>1945.8</v>
      </c>
      <c r="AG210" s="64"/>
      <c r="AH210" s="65">
        <v>1945.8</v>
      </c>
      <c r="AI210" s="64"/>
      <c r="AJ210" s="65"/>
      <c r="AK210" s="64">
        <f t="shared" si="497"/>
        <v>846</v>
      </c>
      <c r="AL210" s="64"/>
      <c r="AM210" s="65">
        <v>846</v>
      </c>
      <c r="AN210" s="64"/>
      <c r="AO210" s="65"/>
      <c r="AP210" s="64" t="s">
        <v>349</v>
      </c>
      <c r="AQ210" s="64">
        <f t="shared" si="498"/>
        <v>1945.8</v>
      </c>
      <c r="AR210" s="64"/>
      <c r="AS210" s="65">
        <f>846+1099.8</f>
        <v>1945.8</v>
      </c>
      <c r="AT210" s="64"/>
      <c r="AU210" s="64"/>
      <c r="AV210" s="64">
        <f t="shared" si="470"/>
        <v>0</v>
      </c>
      <c r="AW210" s="64">
        <f t="shared" si="471"/>
        <v>0</v>
      </c>
      <c r="AX210" s="64">
        <f t="shared" si="472"/>
        <v>0</v>
      </c>
      <c r="AY210" s="64">
        <f t="shared" si="473"/>
        <v>0</v>
      </c>
      <c r="AZ210" s="64" t="e">
        <f>#REF!-AU210</f>
        <v>#REF!</v>
      </c>
      <c r="BA210" s="64">
        <f t="shared" si="499"/>
        <v>1945.8</v>
      </c>
      <c r="BB210" s="64"/>
      <c r="BC210" s="65">
        <f>846+1099.8</f>
        <v>1945.8</v>
      </c>
      <c r="BD210" s="64"/>
      <c r="BE210" s="64"/>
      <c r="BF210" s="64">
        <f t="shared" si="500"/>
        <v>0</v>
      </c>
      <c r="BG210" s="64"/>
      <c r="BH210" s="65"/>
      <c r="BI210" s="64"/>
      <c r="BJ210" s="64"/>
      <c r="BK210" s="64">
        <f t="shared" si="501"/>
        <v>1945.8</v>
      </c>
      <c r="BL210" s="64"/>
      <c r="BM210" s="65">
        <f>846+1099.8</f>
        <v>1945.8</v>
      </c>
      <c r="BN210" s="64"/>
      <c r="BO210" s="64"/>
      <c r="BP210" s="64">
        <f t="shared" si="502"/>
        <v>1945.8</v>
      </c>
      <c r="BQ210" s="64"/>
      <c r="BR210" s="74">
        <v>1945.8</v>
      </c>
      <c r="BS210" s="64"/>
      <c r="BT210" s="64"/>
      <c r="BU210" s="64">
        <f t="shared" si="503"/>
        <v>1381.11094</v>
      </c>
      <c r="BV210" s="64"/>
      <c r="BW210" s="64">
        <v>1381.11094</v>
      </c>
      <c r="BX210" s="64"/>
      <c r="BY210" s="64"/>
      <c r="BZ210" s="60">
        <f t="shared" si="504"/>
        <v>3326.9109399999998</v>
      </c>
      <c r="CA210" s="64">
        <f t="shared" si="474"/>
        <v>3326.9109399999998</v>
      </c>
      <c r="CB210" s="64">
        <f t="shared" si="475"/>
        <v>0</v>
      </c>
      <c r="CC210" s="64">
        <f t="shared" si="476"/>
        <v>3326.9109399999998</v>
      </c>
      <c r="CD210" s="64">
        <f t="shared" si="477"/>
        <v>0</v>
      </c>
      <c r="CE210" s="64">
        <f t="shared" si="505"/>
        <v>0</v>
      </c>
      <c r="CF210" s="64">
        <f t="shared" si="478"/>
        <v>0</v>
      </c>
      <c r="CG210" s="64">
        <f t="shared" si="479"/>
        <v>0</v>
      </c>
      <c r="CH210" s="64">
        <f t="shared" si="480"/>
        <v>0</v>
      </c>
      <c r="CI210" s="64">
        <f t="shared" si="481"/>
        <v>0</v>
      </c>
      <c r="CJ210" s="64">
        <f t="shared" si="506"/>
        <v>0</v>
      </c>
      <c r="CK210" s="66"/>
      <c r="CL210" s="67">
        <f>BA203-CL204-CL209</f>
        <v>12352.344999999999</v>
      </c>
      <c r="CM210" s="67">
        <f>CL210</f>
        <v>12352.344999999999</v>
      </c>
      <c r="CN210" s="64">
        <f t="shared" si="507"/>
        <v>0</v>
      </c>
      <c r="CO210" s="64"/>
      <c r="CP210" s="65"/>
      <c r="CQ210" s="64"/>
      <c r="CR210" s="64"/>
      <c r="CS210" s="64">
        <f t="shared" si="508"/>
        <v>0</v>
      </c>
      <c r="CT210" s="64"/>
      <c r="CU210" s="65"/>
      <c r="CV210" s="64"/>
      <c r="CW210" s="64"/>
      <c r="CX210" s="64">
        <f t="shared" si="509"/>
        <v>0</v>
      </c>
      <c r="CY210" s="64">
        <f t="shared" si="510"/>
        <v>0</v>
      </c>
      <c r="CZ210" s="64">
        <f t="shared" si="510"/>
        <v>0</v>
      </c>
      <c r="DA210" s="64">
        <f t="shared" si="510"/>
        <v>0</v>
      </c>
      <c r="DB210" s="64">
        <f t="shared" si="510"/>
        <v>0</v>
      </c>
      <c r="DC210" s="64"/>
      <c r="DD210" s="64"/>
      <c r="DE210" s="64"/>
      <c r="DF210" s="64">
        <f t="shared" si="511"/>
        <v>0</v>
      </c>
      <c r="DH210" s="64">
        <f t="shared" si="512"/>
        <v>1945.8</v>
      </c>
      <c r="DI210" s="64">
        <f t="shared" si="513"/>
        <v>1945.8</v>
      </c>
      <c r="DK210" s="64">
        <f>DI206+DI207+DI208+DI210+DI211+DI212+DI213+DI214+DI216+DI217+DI218+DI219</f>
        <v>12292.891869999999</v>
      </c>
      <c r="DL210" s="64">
        <f>DF206+DF207+DF208+DF210+DF211+DF212+DF213+DF214+DF216+DF217+DF218+DF219</f>
        <v>59.453129999999959</v>
      </c>
      <c r="DN210" s="64">
        <f>CM210-DK210</f>
        <v>59.453129999999874</v>
      </c>
      <c r="DQ210" s="64">
        <f t="shared" si="516"/>
        <v>1945.8</v>
      </c>
      <c r="DR210" s="64"/>
      <c r="DS210" s="74">
        <v>1945.8</v>
      </c>
      <c r="DT210" s="64"/>
      <c r="DU210" s="64"/>
      <c r="DV210" s="64">
        <f t="shared" si="517"/>
        <v>0</v>
      </c>
      <c r="DW210" s="64"/>
      <c r="DX210" s="64"/>
      <c r="DY210" s="64"/>
      <c r="DZ210" s="64"/>
      <c r="EA210" s="375"/>
      <c r="EB210" s="375"/>
      <c r="EC210" s="375"/>
      <c r="ED210" s="375"/>
      <c r="EE210" s="375"/>
      <c r="EF210" s="375"/>
      <c r="EG210" s="375"/>
      <c r="EH210" s="375"/>
      <c r="EI210" s="375"/>
      <c r="EJ210" s="375"/>
      <c r="EK210" s="375"/>
      <c r="EL210" s="375"/>
      <c r="EM210" s="375"/>
      <c r="EN210" s="375"/>
      <c r="EO210" s="375"/>
      <c r="EP210" s="375"/>
      <c r="EQ210" s="375"/>
      <c r="ER210" s="375"/>
      <c r="ES210" s="375"/>
      <c r="ET210" s="375"/>
      <c r="EU210" s="375"/>
      <c r="EV210" s="375"/>
      <c r="EW210" s="375"/>
      <c r="EX210" s="375"/>
      <c r="EY210" s="375"/>
      <c r="EZ210" s="375"/>
      <c r="FA210" s="375"/>
      <c r="FB210" s="375"/>
      <c r="FC210" s="375"/>
      <c r="FD210" s="375"/>
      <c r="FE210" s="375"/>
      <c r="FF210" s="375"/>
      <c r="FG210" s="375"/>
      <c r="FH210" s="375"/>
      <c r="FI210" s="375"/>
      <c r="FJ210" s="375"/>
      <c r="FK210" s="375"/>
      <c r="FL210" s="375"/>
      <c r="FM210" s="375"/>
      <c r="FN210" s="375"/>
      <c r="FO210" s="375"/>
      <c r="FP210" s="375"/>
      <c r="FQ210" s="375"/>
      <c r="FR210" s="375"/>
      <c r="FS210" s="375"/>
      <c r="FT210" s="375"/>
      <c r="FU210" s="375"/>
      <c r="FV210" s="375"/>
      <c r="FW210" s="375"/>
      <c r="FX210" s="375"/>
      <c r="FY210" s="375"/>
      <c r="FZ210" s="375"/>
      <c r="GA210" s="375"/>
      <c r="GB210" s="375"/>
      <c r="GC210" s="375"/>
      <c r="GD210" s="375"/>
      <c r="GE210" s="375"/>
      <c r="GF210" s="375"/>
      <c r="GG210" s="375"/>
      <c r="GH210" s="375"/>
      <c r="GI210" s="375"/>
      <c r="GJ210" s="375"/>
      <c r="GK210" s="375"/>
      <c r="GL210" s="375"/>
      <c r="GM210" s="375"/>
      <c r="GN210" s="375"/>
      <c r="GO210" s="375"/>
      <c r="GP210" s="375"/>
      <c r="GQ210" s="375"/>
      <c r="GR210" s="375"/>
    </row>
    <row r="211" spans="1:200" s="61" customFormat="1" ht="15.75" customHeight="1" x14ac:dyDescent="0.3">
      <c r="A211" s="280"/>
      <c r="B211" s="281"/>
      <c r="C211" s="282"/>
      <c r="D211" s="282">
        <v>1</v>
      </c>
      <c r="E211" s="4">
        <v>177</v>
      </c>
      <c r="F211" s="281"/>
      <c r="G211" s="282"/>
      <c r="H211" s="282">
        <v>1</v>
      </c>
      <c r="I211" s="4"/>
      <c r="J211" s="283"/>
      <c r="K211" s="283"/>
      <c r="L211" s="286"/>
      <c r="M211" s="4">
        <v>174</v>
      </c>
      <c r="N211" s="62" t="s">
        <v>142</v>
      </c>
      <c r="O211" s="62" t="s">
        <v>448</v>
      </c>
      <c r="P211" s="62" t="s">
        <v>450</v>
      </c>
      <c r="Q211" s="60">
        <f t="shared" si="482"/>
        <v>0</v>
      </c>
      <c r="R211" s="60">
        <f t="shared" si="483"/>
        <v>0</v>
      </c>
      <c r="S211" s="60">
        <f t="shared" si="484"/>
        <v>0</v>
      </c>
      <c r="T211" s="60">
        <v>1</v>
      </c>
      <c r="U211" s="60">
        <v>1</v>
      </c>
      <c r="V211" s="64">
        <f t="shared" si="494"/>
        <v>2086.1</v>
      </c>
      <c r="W211" s="64"/>
      <c r="X211" s="65">
        <v>2086.1</v>
      </c>
      <c r="Y211" s="64"/>
      <c r="Z211" s="65"/>
      <c r="AA211" s="64">
        <f t="shared" si="495"/>
        <v>2086.1</v>
      </c>
      <c r="AB211" s="64"/>
      <c r="AC211" s="65">
        <v>2086.1</v>
      </c>
      <c r="AD211" s="64"/>
      <c r="AE211" s="65"/>
      <c r="AF211" s="64">
        <f t="shared" si="496"/>
        <v>2086.1</v>
      </c>
      <c r="AG211" s="64"/>
      <c r="AH211" s="65">
        <v>2086.1</v>
      </c>
      <c r="AI211" s="64"/>
      <c r="AJ211" s="65"/>
      <c r="AK211" s="64">
        <f t="shared" si="497"/>
        <v>907</v>
      </c>
      <c r="AL211" s="64"/>
      <c r="AM211" s="65">
        <v>907</v>
      </c>
      <c r="AN211" s="64"/>
      <c r="AO211" s="65"/>
      <c r="AP211" s="64" t="s">
        <v>364</v>
      </c>
      <c r="AQ211" s="64">
        <f t="shared" si="498"/>
        <v>2086.1</v>
      </c>
      <c r="AR211" s="64"/>
      <c r="AS211" s="65">
        <f>907+1179.1</f>
        <v>2086.1</v>
      </c>
      <c r="AT211" s="64"/>
      <c r="AU211" s="64"/>
      <c r="AV211" s="64">
        <f t="shared" si="470"/>
        <v>0</v>
      </c>
      <c r="AW211" s="64">
        <f t="shared" si="471"/>
        <v>0</v>
      </c>
      <c r="AX211" s="64">
        <f t="shared" si="472"/>
        <v>0</v>
      </c>
      <c r="AY211" s="64">
        <f t="shared" si="473"/>
        <v>0</v>
      </c>
      <c r="AZ211" s="64" t="e">
        <f>#REF!-AU211</f>
        <v>#REF!</v>
      </c>
      <c r="BA211" s="64">
        <f t="shared" si="499"/>
        <v>2086.1</v>
      </c>
      <c r="BB211" s="64"/>
      <c r="BC211" s="65">
        <f>907+1179.1</f>
        <v>2086.1</v>
      </c>
      <c r="BD211" s="64"/>
      <c r="BE211" s="64"/>
      <c r="BF211" s="64">
        <f t="shared" si="500"/>
        <v>0</v>
      </c>
      <c r="BG211" s="64"/>
      <c r="BH211" s="65"/>
      <c r="BI211" s="64"/>
      <c r="BJ211" s="64"/>
      <c r="BK211" s="64">
        <f t="shared" si="501"/>
        <v>2086.1</v>
      </c>
      <c r="BL211" s="64"/>
      <c r="BM211" s="65">
        <f>907+1179.1</f>
        <v>2086.1</v>
      </c>
      <c r="BN211" s="64"/>
      <c r="BO211" s="64"/>
      <c r="BP211" s="64">
        <f t="shared" si="502"/>
        <v>2086.1</v>
      </c>
      <c r="BQ211" s="64"/>
      <c r="BR211" s="74">
        <v>2086.1</v>
      </c>
      <c r="BS211" s="64"/>
      <c r="BT211" s="64"/>
      <c r="BU211" s="64">
        <f t="shared" si="503"/>
        <v>1171.8240000000001</v>
      </c>
      <c r="BV211" s="64"/>
      <c r="BW211" s="64">
        <v>1171.8240000000001</v>
      </c>
      <c r="BX211" s="64"/>
      <c r="BY211" s="64"/>
      <c r="BZ211" s="60">
        <f t="shared" si="504"/>
        <v>3257.924</v>
      </c>
      <c r="CA211" s="64">
        <f t="shared" si="474"/>
        <v>3257.924</v>
      </c>
      <c r="CB211" s="64">
        <f t="shared" si="475"/>
        <v>0</v>
      </c>
      <c r="CC211" s="64">
        <f t="shared" si="476"/>
        <v>3257.924</v>
      </c>
      <c r="CD211" s="64">
        <f t="shared" si="477"/>
        <v>0</v>
      </c>
      <c r="CE211" s="64">
        <f t="shared" si="505"/>
        <v>0</v>
      </c>
      <c r="CF211" s="64">
        <f t="shared" si="478"/>
        <v>0</v>
      </c>
      <c r="CG211" s="64">
        <f t="shared" si="479"/>
        <v>0</v>
      </c>
      <c r="CH211" s="64">
        <f t="shared" si="480"/>
        <v>0</v>
      </c>
      <c r="CI211" s="64">
        <f t="shared" si="481"/>
        <v>0</v>
      </c>
      <c r="CJ211" s="64">
        <f t="shared" si="506"/>
        <v>0</v>
      </c>
      <c r="CK211" s="66"/>
      <c r="CL211" s="67"/>
      <c r="CM211" s="67"/>
      <c r="CN211" s="64">
        <f t="shared" si="507"/>
        <v>0</v>
      </c>
      <c r="CO211" s="64"/>
      <c r="CP211" s="65"/>
      <c r="CQ211" s="64"/>
      <c r="CR211" s="64"/>
      <c r="CS211" s="64">
        <f t="shared" si="508"/>
        <v>0</v>
      </c>
      <c r="CT211" s="64"/>
      <c r="CU211" s="65"/>
      <c r="CV211" s="64"/>
      <c r="CW211" s="64"/>
      <c r="CX211" s="64">
        <f t="shared" si="509"/>
        <v>0</v>
      </c>
      <c r="CY211" s="64">
        <f t="shared" si="510"/>
        <v>0</v>
      </c>
      <c r="CZ211" s="64">
        <f t="shared" si="510"/>
        <v>0</v>
      </c>
      <c r="DA211" s="64">
        <f t="shared" si="510"/>
        <v>0</v>
      </c>
      <c r="DB211" s="64">
        <f t="shared" si="510"/>
        <v>0</v>
      </c>
      <c r="DC211" s="64"/>
      <c r="DD211" s="64"/>
      <c r="DE211" s="64"/>
      <c r="DF211" s="64">
        <f t="shared" si="511"/>
        <v>0</v>
      </c>
      <c r="DH211" s="64">
        <f t="shared" si="512"/>
        <v>2086.1</v>
      </c>
      <c r="DI211" s="64">
        <f t="shared" si="513"/>
        <v>2086.1</v>
      </c>
      <c r="DK211" s="64"/>
      <c r="DL211" s="64"/>
      <c r="DN211" s="64"/>
      <c r="DQ211" s="64">
        <f t="shared" si="516"/>
        <v>2086.1</v>
      </c>
      <c r="DR211" s="64"/>
      <c r="DS211" s="74">
        <v>2086.1</v>
      </c>
      <c r="DT211" s="64"/>
      <c r="DU211" s="64"/>
      <c r="DV211" s="64">
        <f t="shared" si="517"/>
        <v>0</v>
      </c>
      <c r="DW211" s="64"/>
      <c r="DX211" s="64"/>
      <c r="DY211" s="64"/>
      <c r="DZ211" s="64"/>
      <c r="EA211" s="375"/>
      <c r="EB211" s="375"/>
      <c r="EC211" s="375"/>
      <c r="ED211" s="375"/>
      <c r="EE211" s="375"/>
      <c r="EF211" s="375"/>
      <c r="EG211" s="375"/>
      <c r="EH211" s="375"/>
      <c r="EI211" s="375"/>
      <c r="EJ211" s="375"/>
      <c r="EK211" s="375"/>
      <c r="EL211" s="375"/>
      <c r="EM211" s="375"/>
      <c r="EN211" s="375"/>
      <c r="EO211" s="375"/>
      <c r="EP211" s="375"/>
      <c r="EQ211" s="375"/>
      <c r="ER211" s="375"/>
      <c r="ES211" s="375"/>
      <c r="ET211" s="375"/>
      <c r="EU211" s="375"/>
      <c r="EV211" s="375"/>
      <c r="EW211" s="375"/>
      <c r="EX211" s="375"/>
      <c r="EY211" s="375"/>
      <c r="EZ211" s="375"/>
      <c r="FA211" s="375"/>
      <c r="FB211" s="375"/>
      <c r="FC211" s="375"/>
      <c r="FD211" s="375"/>
      <c r="FE211" s="375"/>
      <c r="FF211" s="375"/>
      <c r="FG211" s="375"/>
      <c r="FH211" s="375"/>
      <c r="FI211" s="375"/>
      <c r="FJ211" s="375"/>
      <c r="FK211" s="375"/>
      <c r="FL211" s="375"/>
      <c r="FM211" s="375"/>
      <c r="FN211" s="375"/>
      <c r="FO211" s="375"/>
      <c r="FP211" s="375"/>
      <c r="FQ211" s="375"/>
      <c r="FR211" s="375"/>
      <c r="FS211" s="375"/>
      <c r="FT211" s="375"/>
      <c r="FU211" s="375"/>
      <c r="FV211" s="375"/>
      <c r="FW211" s="375"/>
      <c r="FX211" s="375"/>
      <c r="FY211" s="375"/>
      <c r="FZ211" s="375"/>
      <c r="GA211" s="375"/>
      <c r="GB211" s="375"/>
      <c r="GC211" s="375"/>
      <c r="GD211" s="375"/>
      <c r="GE211" s="375"/>
      <c r="GF211" s="375"/>
      <c r="GG211" s="375"/>
      <c r="GH211" s="375"/>
      <c r="GI211" s="375"/>
      <c r="GJ211" s="375"/>
      <c r="GK211" s="375"/>
      <c r="GL211" s="375"/>
      <c r="GM211" s="375"/>
      <c r="GN211" s="375"/>
      <c r="GO211" s="375"/>
      <c r="GP211" s="375"/>
      <c r="GQ211" s="375"/>
      <c r="GR211" s="375"/>
    </row>
    <row r="212" spans="1:200" s="61" customFormat="1" ht="15.75" customHeight="1" x14ac:dyDescent="0.3">
      <c r="A212" s="280"/>
      <c r="B212" s="281"/>
      <c r="C212" s="282"/>
      <c r="D212" s="282">
        <v>1</v>
      </c>
      <c r="E212" s="4">
        <v>178</v>
      </c>
      <c r="F212" s="281"/>
      <c r="G212" s="282"/>
      <c r="H212" s="282">
        <v>1</v>
      </c>
      <c r="I212" s="4"/>
      <c r="J212" s="283"/>
      <c r="K212" s="283"/>
      <c r="L212" s="286"/>
      <c r="M212" s="4">
        <v>175</v>
      </c>
      <c r="N212" s="62" t="s">
        <v>168</v>
      </c>
      <c r="O212" s="62" t="s">
        <v>448</v>
      </c>
      <c r="P212" s="62" t="s">
        <v>450</v>
      </c>
      <c r="Q212" s="60">
        <f t="shared" si="482"/>
        <v>0</v>
      </c>
      <c r="R212" s="60">
        <f t="shared" si="483"/>
        <v>0</v>
      </c>
      <c r="S212" s="60">
        <f t="shared" si="484"/>
        <v>0</v>
      </c>
      <c r="T212" s="60">
        <v>1</v>
      </c>
      <c r="U212" s="60"/>
      <c r="V212" s="64">
        <f t="shared" si="494"/>
        <v>265.84500000000003</v>
      </c>
      <c r="W212" s="64"/>
      <c r="X212" s="65">
        <v>265.84500000000003</v>
      </c>
      <c r="Y212" s="64"/>
      <c r="Z212" s="65"/>
      <c r="AA212" s="64">
        <f t="shared" si="495"/>
        <v>618.70000000000005</v>
      </c>
      <c r="AB212" s="64"/>
      <c r="AC212" s="65">
        <v>618.70000000000005</v>
      </c>
      <c r="AD212" s="64"/>
      <c r="AE212" s="65"/>
      <c r="AF212" s="64">
        <f t="shared" si="496"/>
        <v>618.70000000000005</v>
      </c>
      <c r="AG212" s="64"/>
      <c r="AH212" s="65">
        <v>618.70000000000005</v>
      </c>
      <c r="AI212" s="64"/>
      <c r="AJ212" s="65"/>
      <c r="AK212" s="64">
        <f t="shared" si="497"/>
        <v>269</v>
      </c>
      <c r="AL212" s="64"/>
      <c r="AM212" s="65">
        <v>269</v>
      </c>
      <c r="AN212" s="64"/>
      <c r="AO212" s="65"/>
      <c r="AP212" s="64" t="s">
        <v>326</v>
      </c>
      <c r="AQ212" s="64">
        <f t="shared" si="498"/>
        <v>265.84500000000003</v>
      </c>
      <c r="AR212" s="64"/>
      <c r="AS212" s="65">
        <v>265.84500000000003</v>
      </c>
      <c r="AT212" s="64"/>
      <c r="AU212" s="64"/>
      <c r="AV212" s="64">
        <f t="shared" si="470"/>
        <v>0</v>
      </c>
      <c r="AW212" s="64">
        <f t="shared" si="471"/>
        <v>0</v>
      </c>
      <c r="AX212" s="64">
        <f t="shared" si="472"/>
        <v>0</v>
      </c>
      <c r="AY212" s="64">
        <f t="shared" si="473"/>
        <v>0</v>
      </c>
      <c r="AZ212" s="64" t="e">
        <f>#REF!-AU212</f>
        <v>#REF!</v>
      </c>
      <c r="BA212" s="64">
        <f t="shared" si="499"/>
        <v>265.84500000000003</v>
      </c>
      <c r="BB212" s="64"/>
      <c r="BC212" s="65">
        <v>265.84500000000003</v>
      </c>
      <c r="BD212" s="64"/>
      <c r="BE212" s="64"/>
      <c r="BF212" s="64">
        <f t="shared" si="500"/>
        <v>0</v>
      </c>
      <c r="BG212" s="64"/>
      <c r="BH212" s="73"/>
      <c r="BI212" s="64"/>
      <c r="BJ212" s="64"/>
      <c r="BK212" s="64">
        <f t="shared" si="501"/>
        <v>265.84500000000003</v>
      </c>
      <c r="BL212" s="64"/>
      <c r="BM212" s="65">
        <v>265.84500000000003</v>
      </c>
      <c r="BN212" s="64"/>
      <c r="BO212" s="64"/>
      <c r="BP212" s="64">
        <f t="shared" si="502"/>
        <v>265.84500000000003</v>
      </c>
      <c r="BQ212" s="64"/>
      <c r="BR212" s="74">
        <v>265.84500000000003</v>
      </c>
      <c r="BS212" s="64"/>
      <c r="BT212" s="64"/>
      <c r="BU212" s="64">
        <f t="shared" si="503"/>
        <v>88.850999999999999</v>
      </c>
      <c r="BV212" s="64"/>
      <c r="BW212" s="64">
        <v>88.850999999999999</v>
      </c>
      <c r="BX212" s="64"/>
      <c r="BY212" s="64"/>
      <c r="BZ212" s="60">
        <f t="shared" si="504"/>
        <v>354.69600000000003</v>
      </c>
      <c r="CA212" s="64">
        <f t="shared" si="474"/>
        <v>354.69600000000003</v>
      </c>
      <c r="CB212" s="64">
        <f t="shared" si="475"/>
        <v>0</v>
      </c>
      <c r="CC212" s="64">
        <f t="shared" si="476"/>
        <v>354.69600000000003</v>
      </c>
      <c r="CD212" s="64">
        <f t="shared" si="477"/>
        <v>0</v>
      </c>
      <c r="CE212" s="64">
        <f t="shared" si="505"/>
        <v>0</v>
      </c>
      <c r="CF212" s="64">
        <f t="shared" si="478"/>
        <v>0</v>
      </c>
      <c r="CG212" s="64">
        <f t="shared" si="479"/>
        <v>0</v>
      </c>
      <c r="CH212" s="64">
        <f t="shared" si="480"/>
        <v>0</v>
      </c>
      <c r="CI212" s="64">
        <f t="shared" si="481"/>
        <v>0</v>
      </c>
      <c r="CJ212" s="64">
        <f t="shared" si="506"/>
        <v>0</v>
      </c>
      <c r="CK212" s="66"/>
      <c r="CL212" s="67"/>
      <c r="CM212" s="67"/>
      <c r="CN212" s="64">
        <f t="shared" si="507"/>
        <v>0</v>
      </c>
      <c r="CO212" s="64"/>
      <c r="CP212" s="73"/>
      <c r="CQ212" s="64"/>
      <c r="CR212" s="64"/>
      <c r="CS212" s="64">
        <f t="shared" si="508"/>
        <v>0</v>
      </c>
      <c r="CT212" s="64"/>
      <c r="CU212" s="73"/>
      <c r="CV212" s="64"/>
      <c r="CW212" s="64"/>
      <c r="CX212" s="64">
        <f t="shared" si="509"/>
        <v>0</v>
      </c>
      <c r="CY212" s="64">
        <f t="shared" si="510"/>
        <v>0</v>
      </c>
      <c r="CZ212" s="64">
        <f t="shared" si="510"/>
        <v>0</v>
      </c>
      <c r="DA212" s="64">
        <f t="shared" si="510"/>
        <v>0</v>
      </c>
      <c r="DB212" s="64">
        <f t="shared" si="510"/>
        <v>0</v>
      </c>
      <c r="DC212" s="64"/>
      <c r="DD212" s="64"/>
      <c r="DE212" s="64"/>
      <c r="DF212" s="64">
        <f t="shared" si="511"/>
        <v>0</v>
      </c>
      <c r="DH212" s="64">
        <f t="shared" si="512"/>
        <v>265.84500000000003</v>
      </c>
      <c r="DI212" s="64">
        <f t="shared" si="513"/>
        <v>265.84500000000003</v>
      </c>
      <c r="DK212" s="64"/>
      <c r="DL212" s="64"/>
      <c r="DN212" s="64"/>
      <c r="DQ212" s="64">
        <f t="shared" si="516"/>
        <v>265.84500000000003</v>
      </c>
      <c r="DR212" s="64"/>
      <c r="DS212" s="74">
        <v>265.84500000000003</v>
      </c>
      <c r="DT212" s="64"/>
      <c r="DU212" s="64"/>
      <c r="DV212" s="64">
        <f t="shared" si="517"/>
        <v>92.74512</v>
      </c>
      <c r="DW212" s="64"/>
      <c r="DX212" s="64">
        <v>92.74512</v>
      </c>
      <c r="DY212" s="64"/>
      <c r="DZ212" s="64"/>
      <c r="EA212" s="375"/>
      <c r="EB212" s="375"/>
      <c r="EC212" s="375"/>
      <c r="ED212" s="375"/>
      <c r="EE212" s="375"/>
      <c r="EF212" s="375"/>
      <c r="EG212" s="375"/>
      <c r="EH212" s="375"/>
      <c r="EI212" s="375"/>
      <c r="EJ212" s="375"/>
      <c r="EK212" s="375"/>
      <c r="EL212" s="375"/>
      <c r="EM212" s="375"/>
      <c r="EN212" s="375"/>
      <c r="EO212" s="375"/>
      <c r="EP212" s="375"/>
      <c r="EQ212" s="375"/>
      <c r="ER212" s="375"/>
      <c r="ES212" s="375"/>
      <c r="ET212" s="375"/>
      <c r="EU212" s="375"/>
      <c r="EV212" s="375"/>
      <c r="EW212" s="375"/>
      <c r="EX212" s="375"/>
      <c r="EY212" s="375"/>
      <c r="EZ212" s="375"/>
      <c r="FA212" s="375"/>
      <c r="FB212" s="375"/>
      <c r="FC212" s="375"/>
      <c r="FD212" s="375"/>
      <c r="FE212" s="375"/>
      <c r="FF212" s="375"/>
      <c r="FG212" s="375"/>
      <c r="FH212" s="375"/>
      <c r="FI212" s="375"/>
      <c r="FJ212" s="375"/>
      <c r="FK212" s="375"/>
      <c r="FL212" s="375"/>
      <c r="FM212" s="375"/>
      <c r="FN212" s="375"/>
      <c r="FO212" s="375"/>
      <c r="FP212" s="375"/>
      <c r="FQ212" s="375"/>
      <c r="FR212" s="375"/>
      <c r="FS212" s="375"/>
      <c r="FT212" s="375"/>
      <c r="FU212" s="375"/>
      <c r="FV212" s="375"/>
      <c r="FW212" s="375"/>
      <c r="FX212" s="375"/>
      <c r="FY212" s="375"/>
      <c r="FZ212" s="375"/>
      <c r="GA212" s="375"/>
      <c r="GB212" s="375"/>
      <c r="GC212" s="375"/>
      <c r="GD212" s="375"/>
      <c r="GE212" s="375"/>
      <c r="GF212" s="375"/>
      <c r="GG212" s="375"/>
      <c r="GH212" s="375"/>
      <c r="GI212" s="375"/>
      <c r="GJ212" s="375"/>
      <c r="GK212" s="375"/>
      <c r="GL212" s="375"/>
      <c r="GM212" s="375"/>
      <c r="GN212" s="375"/>
      <c r="GO212" s="375"/>
      <c r="GP212" s="375"/>
      <c r="GQ212" s="375"/>
      <c r="GR212" s="375"/>
    </row>
    <row r="213" spans="1:200" s="61" customFormat="1" ht="15.75" customHeight="1" x14ac:dyDescent="0.3">
      <c r="A213" s="280"/>
      <c r="B213" s="281"/>
      <c r="C213" s="282"/>
      <c r="D213" s="282">
        <v>1</v>
      </c>
      <c r="E213" s="4">
        <v>179</v>
      </c>
      <c r="F213" s="281"/>
      <c r="G213" s="282"/>
      <c r="H213" s="282">
        <v>1</v>
      </c>
      <c r="I213" s="298"/>
      <c r="J213" s="298"/>
      <c r="K213" s="298"/>
      <c r="L213" s="299"/>
      <c r="M213" s="4">
        <v>176</v>
      </c>
      <c r="N213" s="62" t="s">
        <v>169</v>
      </c>
      <c r="O213" s="62" t="s">
        <v>448</v>
      </c>
      <c r="P213" s="62" t="s">
        <v>450</v>
      </c>
      <c r="Q213" s="60">
        <f t="shared" si="482"/>
        <v>0</v>
      </c>
      <c r="R213" s="60">
        <f t="shared" si="483"/>
        <v>0</v>
      </c>
      <c r="S213" s="60">
        <f t="shared" si="484"/>
        <v>0</v>
      </c>
      <c r="T213" s="60">
        <v>1</v>
      </c>
      <c r="U213" s="60">
        <v>1</v>
      </c>
      <c r="V213" s="64">
        <f t="shared" si="494"/>
        <v>775.1</v>
      </c>
      <c r="W213" s="85"/>
      <c r="X213" s="65">
        <v>775.1</v>
      </c>
      <c r="Y213" s="85"/>
      <c r="Z213" s="65"/>
      <c r="AA213" s="64">
        <f t="shared" si="495"/>
        <v>775.1</v>
      </c>
      <c r="AB213" s="85"/>
      <c r="AC213" s="65">
        <v>775.1</v>
      </c>
      <c r="AD213" s="85"/>
      <c r="AE213" s="65"/>
      <c r="AF213" s="64">
        <f t="shared" si="496"/>
        <v>775.1</v>
      </c>
      <c r="AG213" s="85"/>
      <c r="AH213" s="65">
        <v>775.1</v>
      </c>
      <c r="AI213" s="85"/>
      <c r="AJ213" s="65"/>
      <c r="AK213" s="64">
        <f t="shared" si="497"/>
        <v>337</v>
      </c>
      <c r="AL213" s="85"/>
      <c r="AM213" s="65">
        <v>337</v>
      </c>
      <c r="AN213" s="85"/>
      <c r="AO213" s="65"/>
      <c r="AP213" s="64" t="s">
        <v>398</v>
      </c>
      <c r="AQ213" s="64">
        <f t="shared" si="498"/>
        <v>775.1</v>
      </c>
      <c r="AR213" s="80"/>
      <c r="AS213" s="65">
        <f>337+438.1</f>
        <v>775.1</v>
      </c>
      <c r="AT213" s="80"/>
      <c r="AU213" s="80"/>
      <c r="AV213" s="64">
        <f t="shared" si="470"/>
        <v>0</v>
      </c>
      <c r="AW213" s="64">
        <f t="shared" si="471"/>
        <v>0</v>
      </c>
      <c r="AX213" s="64">
        <f t="shared" si="472"/>
        <v>0</v>
      </c>
      <c r="AY213" s="64">
        <f t="shared" si="473"/>
        <v>0</v>
      </c>
      <c r="AZ213" s="64" t="e">
        <f>#REF!-AU213</f>
        <v>#REF!</v>
      </c>
      <c r="BA213" s="64">
        <f t="shared" si="499"/>
        <v>775.1</v>
      </c>
      <c r="BB213" s="80"/>
      <c r="BC213" s="65">
        <f>337+438.1</f>
        <v>775.1</v>
      </c>
      <c r="BD213" s="80"/>
      <c r="BE213" s="80"/>
      <c r="BF213" s="64">
        <f t="shared" si="500"/>
        <v>0</v>
      </c>
      <c r="BG213" s="80"/>
      <c r="BH213" s="80"/>
      <c r="BI213" s="80"/>
      <c r="BJ213" s="80"/>
      <c r="BK213" s="64">
        <f t="shared" si="501"/>
        <v>775.1</v>
      </c>
      <c r="BL213" s="80"/>
      <c r="BM213" s="65">
        <f>337+438.1</f>
        <v>775.1</v>
      </c>
      <c r="BN213" s="85"/>
      <c r="BO213" s="85"/>
      <c r="BP213" s="64">
        <f t="shared" si="502"/>
        <v>775.1</v>
      </c>
      <c r="BQ213" s="85"/>
      <c r="BR213" s="85">
        <v>775.1</v>
      </c>
      <c r="BS213" s="85"/>
      <c r="BT213" s="85"/>
      <c r="BU213" s="64">
        <f t="shared" si="503"/>
        <v>258.36667</v>
      </c>
      <c r="BV213" s="80"/>
      <c r="BW213" s="80">
        <v>258.36667</v>
      </c>
      <c r="BX213" s="80"/>
      <c r="BY213" s="80"/>
      <c r="BZ213" s="60">
        <f t="shared" si="504"/>
        <v>1033.46667</v>
      </c>
      <c r="CA213" s="64">
        <f t="shared" si="474"/>
        <v>1033.46667</v>
      </c>
      <c r="CB213" s="64">
        <f t="shared" si="475"/>
        <v>0</v>
      </c>
      <c r="CC213" s="64">
        <f t="shared" si="476"/>
        <v>1033.46667</v>
      </c>
      <c r="CD213" s="64">
        <f t="shared" si="477"/>
        <v>0</v>
      </c>
      <c r="CE213" s="64">
        <f t="shared" si="505"/>
        <v>0</v>
      </c>
      <c r="CF213" s="64">
        <f t="shared" si="478"/>
        <v>0</v>
      </c>
      <c r="CG213" s="64">
        <f t="shared" si="479"/>
        <v>0</v>
      </c>
      <c r="CH213" s="64">
        <f t="shared" si="480"/>
        <v>0</v>
      </c>
      <c r="CI213" s="64">
        <f t="shared" si="481"/>
        <v>0</v>
      </c>
      <c r="CJ213" s="64">
        <f t="shared" si="506"/>
        <v>0</v>
      </c>
      <c r="CK213" s="66"/>
      <c r="CL213" s="89"/>
      <c r="CM213" s="89"/>
      <c r="CN213" s="64">
        <f t="shared" si="507"/>
        <v>0</v>
      </c>
      <c r="CO213" s="80"/>
      <c r="CP213" s="80"/>
      <c r="CQ213" s="80"/>
      <c r="CR213" s="80"/>
      <c r="CS213" s="64">
        <f t="shared" si="508"/>
        <v>0</v>
      </c>
      <c r="CT213" s="80"/>
      <c r="CU213" s="80"/>
      <c r="CV213" s="80"/>
      <c r="CW213" s="80"/>
      <c r="CX213" s="64">
        <f t="shared" si="509"/>
        <v>0</v>
      </c>
      <c r="CY213" s="64">
        <f t="shared" si="510"/>
        <v>0</v>
      </c>
      <c r="CZ213" s="64">
        <f t="shared" si="510"/>
        <v>0</v>
      </c>
      <c r="DA213" s="64">
        <f t="shared" si="510"/>
        <v>0</v>
      </c>
      <c r="DB213" s="64">
        <f t="shared" si="510"/>
        <v>0</v>
      </c>
      <c r="DC213" s="80"/>
      <c r="DD213" s="80"/>
      <c r="DE213" s="80"/>
      <c r="DF213" s="64">
        <f t="shared" si="511"/>
        <v>0</v>
      </c>
      <c r="DH213" s="64">
        <f t="shared" si="512"/>
        <v>775.1</v>
      </c>
      <c r="DI213" s="64">
        <f t="shared" si="513"/>
        <v>775.1</v>
      </c>
      <c r="DK213" s="80"/>
      <c r="DL213" s="80"/>
      <c r="DN213" s="80"/>
      <c r="DQ213" s="64">
        <f t="shared" si="516"/>
        <v>775.1</v>
      </c>
      <c r="DR213" s="85"/>
      <c r="DS213" s="85">
        <v>775.1</v>
      </c>
      <c r="DT213" s="85"/>
      <c r="DU213" s="85"/>
      <c r="DV213" s="64">
        <f t="shared" si="517"/>
        <v>258.36667</v>
      </c>
      <c r="DW213" s="80"/>
      <c r="DX213" s="80">
        <v>258.36667</v>
      </c>
      <c r="DY213" s="80"/>
      <c r="DZ213" s="80"/>
      <c r="EA213" s="375"/>
      <c r="EB213" s="375"/>
      <c r="EC213" s="375"/>
      <c r="ED213" s="375"/>
      <c r="EE213" s="375"/>
      <c r="EF213" s="375"/>
      <c r="EG213" s="375"/>
      <c r="EH213" s="375"/>
      <c r="EI213" s="375"/>
      <c r="EJ213" s="375"/>
      <c r="EK213" s="375"/>
      <c r="EL213" s="375"/>
      <c r="EM213" s="375"/>
      <c r="EN213" s="375"/>
      <c r="EO213" s="375"/>
      <c r="EP213" s="375"/>
      <c r="EQ213" s="375"/>
      <c r="ER213" s="375"/>
      <c r="ES213" s="375"/>
      <c r="ET213" s="375"/>
      <c r="EU213" s="375"/>
      <c r="EV213" s="375"/>
      <c r="EW213" s="375"/>
      <c r="EX213" s="375"/>
      <c r="EY213" s="375"/>
      <c r="EZ213" s="375"/>
      <c r="FA213" s="375"/>
      <c r="FB213" s="375"/>
      <c r="FC213" s="375"/>
      <c r="FD213" s="375"/>
      <c r="FE213" s="375"/>
      <c r="FF213" s="375"/>
      <c r="FG213" s="375"/>
      <c r="FH213" s="375"/>
      <c r="FI213" s="375"/>
      <c r="FJ213" s="375"/>
      <c r="FK213" s="375"/>
      <c r="FL213" s="375"/>
      <c r="FM213" s="375"/>
      <c r="FN213" s="375"/>
      <c r="FO213" s="375"/>
      <c r="FP213" s="375"/>
      <c r="FQ213" s="375"/>
      <c r="FR213" s="375"/>
      <c r="FS213" s="375"/>
      <c r="FT213" s="375"/>
      <c r="FU213" s="375"/>
      <c r="FV213" s="375"/>
      <c r="FW213" s="375"/>
      <c r="FX213" s="375"/>
      <c r="FY213" s="375"/>
      <c r="FZ213" s="375"/>
      <c r="GA213" s="375"/>
      <c r="GB213" s="375"/>
      <c r="GC213" s="375"/>
      <c r="GD213" s="375"/>
      <c r="GE213" s="375"/>
      <c r="GF213" s="375"/>
      <c r="GG213" s="375"/>
      <c r="GH213" s="375"/>
      <c r="GI213" s="375"/>
      <c r="GJ213" s="375"/>
      <c r="GK213" s="375"/>
      <c r="GL213" s="375"/>
      <c r="GM213" s="375"/>
      <c r="GN213" s="375"/>
      <c r="GO213" s="375"/>
      <c r="GP213" s="375"/>
      <c r="GQ213" s="375"/>
      <c r="GR213" s="375"/>
    </row>
    <row r="214" spans="1:200" s="61" customFormat="1" ht="15.75" customHeight="1" x14ac:dyDescent="0.3">
      <c r="A214" s="280"/>
      <c r="B214" s="281"/>
      <c r="C214" s="282"/>
      <c r="D214" s="282">
        <v>1</v>
      </c>
      <c r="E214" s="4">
        <v>180</v>
      </c>
      <c r="F214" s="281"/>
      <c r="G214" s="282"/>
      <c r="H214" s="282"/>
      <c r="I214" s="4"/>
      <c r="J214" s="283"/>
      <c r="K214" s="283"/>
      <c r="L214" s="286"/>
      <c r="M214" s="4">
        <v>177</v>
      </c>
      <c r="N214" s="62" t="s">
        <v>143</v>
      </c>
      <c r="O214" s="62" t="s">
        <v>523</v>
      </c>
      <c r="P214" s="62" t="s">
        <v>448</v>
      </c>
      <c r="Q214" s="60">
        <f t="shared" si="482"/>
        <v>0</v>
      </c>
      <c r="R214" s="60">
        <f t="shared" si="483"/>
        <v>0</v>
      </c>
      <c r="S214" s="60">
        <f t="shared" si="484"/>
        <v>0</v>
      </c>
      <c r="T214" s="60">
        <v>1</v>
      </c>
      <c r="U214" s="60">
        <v>1</v>
      </c>
      <c r="V214" s="64">
        <f t="shared" si="494"/>
        <v>1161.5</v>
      </c>
      <c r="W214" s="64"/>
      <c r="X214" s="65">
        <v>1161.5</v>
      </c>
      <c r="Y214" s="64"/>
      <c r="Z214" s="65"/>
      <c r="AA214" s="64">
        <f t="shared" si="495"/>
        <v>1161.5</v>
      </c>
      <c r="AB214" s="64"/>
      <c r="AC214" s="65">
        <v>1161.5</v>
      </c>
      <c r="AD214" s="64"/>
      <c r="AE214" s="65"/>
      <c r="AF214" s="64">
        <f t="shared" si="496"/>
        <v>1161.5</v>
      </c>
      <c r="AG214" s="64"/>
      <c r="AH214" s="65">
        <v>1161.5</v>
      </c>
      <c r="AI214" s="64"/>
      <c r="AJ214" s="65"/>
      <c r="AK214" s="64">
        <f t="shared" si="497"/>
        <v>505</v>
      </c>
      <c r="AL214" s="64"/>
      <c r="AM214" s="65">
        <v>505</v>
      </c>
      <c r="AN214" s="64"/>
      <c r="AO214" s="65"/>
      <c r="AP214" s="83" t="s">
        <v>482</v>
      </c>
      <c r="AQ214" s="64">
        <f t="shared" si="498"/>
        <v>1161.5</v>
      </c>
      <c r="AR214" s="64"/>
      <c r="AS214" s="65">
        <v>1161.5</v>
      </c>
      <c r="AT214" s="64"/>
      <c r="AU214" s="64"/>
      <c r="AV214" s="64">
        <f t="shared" si="470"/>
        <v>0</v>
      </c>
      <c r="AW214" s="64">
        <f t="shared" si="471"/>
        <v>0</v>
      </c>
      <c r="AX214" s="64">
        <f t="shared" si="472"/>
        <v>0</v>
      </c>
      <c r="AY214" s="64">
        <f t="shared" si="473"/>
        <v>0</v>
      </c>
      <c r="AZ214" s="64" t="e">
        <f>#REF!-AU214</f>
        <v>#REF!</v>
      </c>
      <c r="BA214" s="64">
        <f t="shared" si="499"/>
        <v>1161.5</v>
      </c>
      <c r="BB214" s="64"/>
      <c r="BC214" s="65">
        <v>1161.5</v>
      </c>
      <c r="BD214" s="64"/>
      <c r="BE214" s="64"/>
      <c r="BF214" s="64">
        <f t="shared" si="500"/>
        <v>0</v>
      </c>
      <c r="BG214" s="64"/>
      <c r="BH214" s="64"/>
      <c r="BI214" s="64"/>
      <c r="BJ214" s="64"/>
      <c r="BK214" s="64">
        <f t="shared" si="501"/>
        <v>1161.5</v>
      </c>
      <c r="BL214" s="64"/>
      <c r="BM214" s="65">
        <v>1161.5</v>
      </c>
      <c r="BN214" s="64"/>
      <c r="BO214" s="64"/>
      <c r="BP214" s="64">
        <f t="shared" si="502"/>
        <v>1161.5</v>
      </c>
      <c r="BQ214" s="64"/>
      <c r="BR214" s="64">
        <f>661.5+500</f>
        <v>1161.5</v>
      </c>
      <c r="BS214" s="64"/>
      <c r="BT214" s="64"/>
      <c r="BU214" s="64">
        <f t="shared" si="503"/>
        <v>1116.10484</v>
      </c>
      <c r="BV214" s="64"/>
      <c r="BW214" s="64">
        <f>696.0907+420.01414</f>
        <v>1116.10484</v>
      </c>
      <c r="BX214" s="64"/>
      <c r="BY214" s="64"/>
      <c r="BZ214" s="60">
        <f t="shared" si="504"/>
        <v>2277.60484</v>
      </c>
      <c r="CA214" s="64">
        <f t="shared" si="474"/>
        <v>2277.60484</v>
      </c>
      <c r="CB214" s="64">
        <f t="shared" si="475"/>
        <v>0</v>
      </c>
      <c r="CC214" s="64">
        <f t="shared" si="476"/>
        <v>2277.60484</v>
      </c>
      <c r="CD214" s="64">
        <f t="shared" si="477"/>
        <v>0</v>
      </c>
      <c r="CE214" s="64">
        <f t="shared" si="505"/>
        <v>0</v>
      </c>
      <c r="CF214" s="64">
        <f t="shared" si="478"/>
        <v>0</v>
      </c>
      <c r="CG214" s="64">
        <f t="shared" si="479"/>
        <v>0</v>
      </c>
      <c r="CH214" s="64">
        <f t="shared" si="480"/>
        <v>0</v>
      </c>
      <c r="CI214" s="64">
        <f t="shared" si="481"/>
        <v>0</v>
      </c>
      <c r="CJ214" s="64">
        <f t="shared" si="506"/>
        <v>0</v>
      </c>
      <c r="CK214" s="66"/>
      <c r="CL214" s="67"/>
      <c r="CM214" s="67"/>
      <c r="CN214" s="64">
        <f t="shared" si="507"/>
        <v>0</v>
      </c>
      <c r="CO214" s="64"/>
      <c r="CP214" s="64"/>
      <c r="CQ214" s="64"/>
      <c r="CR214" s="64"/>
      <c r="CS214" s="64">
        <f t="shared" si="508"/>
        <v>0</v>
      </c>
      <c r="CT214" s="64"/>
      <c r="CU214" s="64"/>
      <c r="CV214" s="64"/>
      <c r="CW214" s="64"/>
      <c r="CX214" s="64">
        <f t="shared" si="509"/>
        <v>0</v>
      </c>
      <c r="CY214" s="64">
        <f t="shared" si="510"/>
        <v>0</v>
      </c>
      <c r="CZ214" s="64">
        <f t="shared" si="510"/>
        <v>0</v>
      </c>
      <c r="DA214" s="64">
        <f t="shared" si="510"/>
        <v>0</v>
      </c>
      <c r="DB214" s="64">
        <f t="shared" si="510"/>
        <v>0</v>
      </c>
      <c r="DC214" s="64"/>
      <c r="DD214" s="64"/>
      <c r="DE214" s="64"/>
      <c r="DF214" s="64">
        <f t="shared" si="511"/>
        <v>0</v>
      </c>
      <c r="DH214" s="64">
        <f t="shared" si="512"/>
        <v>1161.5</v>
      </c>
      <c r="DI214" s="64">
        <f t="shared" si="513"/>
        <v>1161.5</v>
      </c>
      <c r="DK214" s="64"/>
      <c r="DL214" s="64"/>
      <c r="DN214" s="64"/>
      <c r="DQ214" s="64">
        <f t="shared" si="516"/>
        <v>1161.5</v>
      </c>
      <c r="DR214" s="64"/>
      <c r="DS214" s="64">
        <f>661.5+500</f>
        <v>1161.5</v>
      </c>
      <c r="DT214" s="64"/>
      <c r="DU214" s="64"/>
      <c r="DV214" s="64">
        <f t="shared" si="517"/>
        <v>1116.10484</v>
      </c>
      <c r="DW214" s="64"/>
      <c r="DX214" s="64">
        <v>1116.10484</v>
      </c>
      <c r="DY214" s="64"/>
      <c r="DZ214" s="64"/>
      <c r="EA214" s="375"/>
      <c r="EB214" s="375"/>
      <c r="EC214" s="375"/>
      <c r="ED214" s="375"/>
      <c r="EE214" s="375"/>
      <c r="EF214" s="375"/>
      <c r="EG214" s="375"/>
      <c r="EH214" s="375"/>
      <c r="EI214" s="375"/>
      <c r="EJ214" s="375"/>
      <c r="EK214" s="375"/>
      <c r="EL214" s="375"/>
      <c r="EM214" s="375"/>
      <c r="EN214" s="375"/>
      <c r="EO214" s="375"/>
      <c r="EP214" s="375"/>
      <c r="EQ214" s="375"/>
      <c r="ER214" s="375"/>
      <c r="ES214" s="375"/>
      <c r="ET214" s="375"/>
      <c r="EU214" s="375"/>
      <c r="EV214" s="375"/>
      <c r="EW214" s="375"/>
      <c r="EX214" s="375"/>
      <c r="EY214" s="375"/>
      <c r="EZ214" s="375"/>
      <c r="FA214" s="375"/>
      <c r="FB214" s="375"/>
      <c r="FC214" s="375"/>
      <c r="FD214" s="375"/>
      <c r="FE214" s="375"/>
      <c r="FF214" s="375"/>
      <c r="FG214" s="375"/>
      <c r="FH214" s="375"/>
      <c r="FI214" s="375"/>
      <c r="FJ214" s="375"/>
      <c r="FK214" s="375"/>
      <c r="FL214" s="375"/>
      <c r="FM214" s="375"/>
      <c r="FN214" s="375"/>
      <c r="FO214" s="375"/>
      <c r="FP214" s="375"/>
      <c r="FQ214" s="375"/>
      <c r="FR214" s="375"/>
      <c r="FS214" s="375"/>
      <c r="FT214" s="375"/>
      <c r="FU214" s="375"/>
      <c r="FV214" s="375"/>
      <c r="FW214" s="375"/>
      <c r="FX214" s="375"/>
      <c r="FY214" s="375"/>
      <c r="FZ214" s="375"/>
      <c r="GA214" s="375"/>
      <c r="GB214" s="375"/>
      <c r="GC214" s="375"/>
      <c r="GD214" s="375"/>
      <c r="GE214" s="375"/>
      <c r="GF214" s="375"/>
      <c r="GG214" s="375"/>
      <c r="GH214" s="375"/>
      <c r="GI214" s="375"/>
      <c r="GJ214" s="375"/>
      <c r="GK214" s="375"/>
      <c r="GL214" s="375"/>
      <c r="GM214" s="375"/>
      <c r="GN214" s="375"/>
      <c r="GO214" s="375"/>
      <c r="GP214" s="375"/>
      <c r="GQ214" s="375"/>
      <c r="GR214" s="375"/>
    </row>
    <row r="215" spans="1:200" s="61" customFormat="1" ht="15.75" customHeight="1" x14ac:dyDescent="0.3">
      <c r="A215" s="280"/>
      <c r="B215" s="281"/>
      <c r="C215" s="282">
        <v>1</v>
      </c>
      <c r="D215" s="282"/>
      <c r="E215" s="4">
        <v>181</v>
      </c>
      <c r="F215" s="281"/>
      <c r="G215" s="282">
        <v>1</v>
      </c>
      <c r="H215" s="282">
        <v>1</v>
      </c>
      <c r="I215" s="4"/>
      <c r="J215" s="283"/>
      <c r="K215" s="283"/>
      <c r="L215" s="286"/>
      <c r="M215" s="4">
        <v>178</v>
      </c>
      <c r="N215" s="62" t="s">
        <v>62</v>
      </c>
      <c r="O215" s="62" t="s">
        <v>450</v>
      </c>
      <c r="P215" s="62" t="s">
        <v>448</v>
      </c>
      <c r="Q215" s="60">
        <f t="shared" si="482"/>
        <v>0</v>
      </c>
      <c r="R215" s="60">
        <f t="shared" si="483"/>
        <v>2.6229999999995925</v>
      </c>
      <c r="S215" s="60">
        <f t="shared" si="484"/>
        <v>0</v>
      </c>
      <c r="T215" s="60">
        <v>1</v>
      </c>
      <c r="U215" s="60">
        <v>3</v>
      </c>
      <c r="V215" s="64">
        <f t="shared" si="494"/>
        <v>4439.8999999999996</v>
      </c>
      <c r="W215" s="64"/>
      <c r="X215" s="64">
        <v>4439.8999999999996</v>
      </c>
      <c r="Y215" s="64"/>
      <c r="Z215" s="65"/>
      <c r="AA215" s="64">
        <f t="shared" si="495"/>
        <v>4087.1</v>
      </c>
      <c r="AB215" s="64"/>
      <c r="AC215" s="64">
        <v>4087.1</v>
      </c>
      <c r="AD215" s="64"/>
      <c r="AE215" s="65"/>
      <c r="AF215" s="64">
        <f t="shared" si="496"/>
        <v>4087.1</v>
      </c>
      <c r="AG215" s="64"/>
      <c r="AH215" s="64">
        <v>4087.1</v>
      </c>
      <c r="AI215" s="64"/>
      <c r="AJ215" s="65"/>
      <c r="AK215" s="64">
        <f t="shared" si="497"/>
        <v>748</v>
      </c>
      <c r="AL215" s="64"/>
      <c r="AM215" s="64">
        <v>748</v>
      </c>
      <c r="AN215" s="64"/>
      <c r="AO215" s="65"/>
      <c r="AP215" s="64" t="s">
        <v>510</v>
      </c>
      <c r="AQ215" s="64">
        <f t="shared" si="498"/>
        <v>4439.8999999999996</v>
      </c>
      <c r="AR215" s="64"/>
      <c r="AS215" s="64">
        <f>748+3339.1+352.8</f>
        <v>4439.8999999999996</v>
      </c>
      <c r="AT215" s="64"/>
      <c r="AU215" s="65"/>
      <c r="AV215" s="64">
        <f t="shared" si="470"/>
        <v>0</v>
      </c>
      <c r="AW215" s="64">
        <f t="shared" si="471"/>
        <v>0</v>
      </c>
      <c r="AX215" s="64">
        <f t="shared" si="472"/>
        <v>0</v>
      </c>
      <c r="AY215" s="64">
        <f t="shared" si="473"/>
        <v>0</v>
      </c>
      <c r="AZ215" s="64" t="e">
        <f>#REF!-AU215</f>
        <v>#REF!</v>
      </c>
      <c r="BA215" s="64">
        <f t="shared" si="499"/>
        <v>4439.8999999999996</v>
      </c>
      <c r="BB215" s="64"/>
      <c r="BC215" s="64">
        <f>748+3339.1+352.8</f>
        <v>4439.8999999999996</v>
      </c>
      <c r="BD215" s="64"/>
      <c r="BE215" s="65"/>
      <c r="BF215" s="64">
        <f t="shared" si="500"/>
        <v>0</v>
      </c>
      <c r="BG215" s="64"/>
      <c r="BH215" s="73"/>
      <c r="BI215" s="64"/>
      <c r="BJ215" s="65"/>
      <c r="BK215" s="64">
        <f t="shared" si="501"/>
        <v>4439.8999999999996</v>
      </c>
      <c r="BL215" s="64"/>
      <c r="BM215" s="64">
        <f>748+3339.1+352.8</f>
        <v>4439.8999999999996</v>
      </c>
      <c r="BN215" s="64"/>
      <c r="BO215" s="74"/>
      <c r="BP215" s="64">
        <f t="shared" si="502"/>
        <v>4437.277</v>
      </c>
      <c r="BQ215" s="64"/>
      <c r="BR215" s="74">
        <f>748+3689.277</f>
        <v>4437.277</v>
      </c>
      <c r="BS215" s="64"/>
      <c r="BT215" s="74"/>
      <c r="BU215" s="64">
        <f t="shared" si="503"/>
        <v>1528.5225</v>
      </c>
      <c r="BV215" s="64"/>
      <c r="BW215" s="64">
        <f>298.76328+1229.75922</f>
        <v>1528.5225</v>
      </c>
      <c r="BX215" s="64"/>
      <c r="BY215" s="64"/>
      <c r="BZ215" s="60">
        <f t="shared" si="504"/>
        <v>5965.7995000000001</v>
      </c>
      <c r="CA215" s="64">
        <f t="shared" si="474"/>
        <v>5965.7995000000001</v>
      </c>
      <c r="CB215" s="64">
        <f t="shared" si="475"/>
        <v>0</v>
      </c>
      <c r="CC215" s="64">
        <f t="shared" si="476"/>
        <v>5965.7995000000001</v>
      </c>
      <c r="CD215" s="64">
        <f t="shared" si="477"/>
        <v>0</v>
      </c>
      <c r="CE215" s="64">
        <f t="shared" si="505"/>
        <v>0</v>
      </c>
      <c r="CF215" s="64">
        <f t="shared" si="478"/>
        <v>2.6229999999995925</v>
      </c>
      <c r="CG215" s="64">
        <f t="shared" si="479"/>
        <v>0</v>
      </c>
      <c r="CH215" s="64">
        <f t="shared" si="480"/>
        <v>2.6229999999995925</v>
      </c>
      <c r="CI215" s="64">
        <f t="shared" si="481"/>
        <v>0</v>
      </c>
      <c r="CJ215" s="64">
        <f t="shared" si="506"/>
        <v>0</v>
      </c>
      <c r="CK215" s="66"/>
      <c r="CL215" s="67"/>
      <c r="CM215" s="67"/>
      <c r="CN215" s="64">
        <f t="shared" si="507"/>
        <v>0</v>
      </c>
      <c r="CO215" s="64"/>
      <c r="CP215" s="73"/>
      <c r="CQ215" s="64"/>
      <c r="CR215" s="65"/>
      <c r="CS215" s="64">
        <f t="shared" si="508"/>
        <v>0</v>
      </c>
      <c r="CT215" s="64"/>
      <c r="CU215" s="73"/>
      <c r="CV215" s="64"/>
      <c r="CW215" s="65"/>
      <c r="CX215" s="64">
        <f t="shared" si="509"/>
        <v>0</v>
      </c>
      <c r="CY215" s="64">
        <f t="shared" si="510"/>
        <v>0</v>
      </c>
      <c r="CZ215" s="64">
        <f t="shared" si="510"/>
        <v>0</v>
      </c>
      <c r="DA215" s="64">
        <f t="shared" si="510"/>
        <v>0</v>
      </c>
      <c r="DB215" s="64">
        <f t="shared" si="510"/>
        <v>0</v>
      </c>
      <c r="DC215" s="64"/>
      <c r="DD215" s="64"/>
      <c r="DE215" s="64"/>
      <c r="DF215" s="64">
        <f t="shared" si="511"/>
        <v>2.6229999999995925</v>
      </c>
      <c r="DH215" s="64">
        <f t="shared" si="512"/>
        <v>4439.8999999999996</v>
      </c>
      <c r="DI215" s="64">
        <f t="shared" si="513"/>
        <v>4437.277</v>
      </c>
      <c r="DK215" s="64"/>
      <c r="DL215" s="64"/>
      <c r="DN215" s="64"/>
      <c r="DQ215" s="64">
        <f t="shared" si="516"/>
        <v>4437.277</v>
      </c>
      <c r="DR215" s="64"/>
      <c r="DS215" s="74">
        <f>748+3689.277</f>
        <v>4437.277</v>
      </c>
      <c r="DT215" s="64"/>
      <c r="DU215" s="74"/>
      <c r="DV215" s="64">
        <f t="shared" si="517"/>
        <v>1528.5225</v>
      </c>
      <c r="DW215" s="64"/>
      <c r="DX215" s="64">
        <v>1528.5225</v>
      </c>
      <c r="DY215" s="64"/>
      <c r="DZ215" s="64"/>
      <c r="EA215" s="375"/>
      <c r="EB215" s="375"/>
      <c r="EC215" s="375"/>
      <c r="ED215" s="375"/>
      <c r="EE215" s="375"/>
      <c r="EF215" s="375"/>
      <c r="EG215" s="375"/>
      <c r="EH215" s="375"/>
      <c r="EI215" s="375"/>
      <c r="EJ215" s="375"/>
      <c r="EK215" s="375"/>
      <c r="EL215" s="375"/>
      <c r="EM215" s="375"/>
      <c r="EN215" s="375"/>
      <c r="EO215" s="375"/>
      <c r="EP215" s="375"/>
      <c r="EQ215" s="375"/>
      <c r="ER215" s="375"/>
      <c r="ES215" s="375"/>
      <c r="ET215" s="375"/>
      <c r="EU215" s="375"/>
      <c r="EV215" s="375"/>
      <c r="EW215" s="375"/>
      <c r="EX215" s="375"/>
      <c r="EY215" s="375"/>
      <c r="EZ215" s="375"/>
      <c r="FA215" s="375"/>
      <c r="FB215" s="375"/>
      <c r="FC215" s="375"/>
      <c r="FD215" s="375"/>
      <c r="FE215" s="375"/>
      <c r="FF215" s="375"/>
      <c r="FG215" s="375"/>
      <c r="FH215" s="375"/>
      <c r="FI215" s="375"/>
      <c r="FJ215" s="375"/>
      <c r="FK215" s="375"/>
      <c r="FL215" s="375"/>
      <c r="FM215" s="375"/>
      <c r="FN215" s="375"/>
      <c r="FO215" s="375"/>
      <c r="FP215" s="375"/>
      <c r="FQ215" s="375"/>
      <c r="FR215" s="375"/>
      <c r="FS215" s="375"/>
      <c r="FT215" s="375"/>
      <c r="FU215" s="375"/>
      <c r="FV215" s="375"/>
      <c r="FW215" s="375"/>
      <c r="FX215" s="375"/>
      <c r="FY215" s="375"/>
      <c r="FZ215" s="375"/>
      <c r="GA215" s="375"/>
      <c r="GB215" s="375"/>
      <c r="GC215" s="375"/>
      <c r="GD215" s="375"/>
      <c r="GE215" s="375"/>
      <c r="GF215" s="375"/>
      <c r="GG215" s="375"/>
      <c r="GH215" s="375"/>
      <c r="GI215" s="375"/>
      <c r="GJ215" s="375"/>
      <c r="GK215" s="375"/>
      <c r="GL215" s="375"/>
      <c r="GM215" s="375"/>
      <c r="GN215" s="375"/>
      <c r="GO215" s="375"/>
      <c r="GP215" s="375"/>
      <c r="GQ215" s="375"/>
      <c r="GR215" s="375"/>
    </row>
    <row r="216" spans="1:200" s="61" customFormat="1" ht="15.75" customHeight="1" x14ac:dyDescent="0.3">
      <c r="A216" s="280"/>
      <c r="B216" s="281"/>
      <c r="C216" s="282"/>
      <c r="D216" s="282">
        <v>1</v>
      </c>
      <c r="E216" s="4">
        <v>182</v>
      </c>
      <c r="F216" s="281"/>
      <c r="G216" s="282"/>
      <c r="H216" s="282">
        <v>1</v>
      </c>
      <c r="I216" s="4"/>
      <c r="J216" s="283"/>
      <c r="K216" s="283"/>
      <c r="L216" s="286"/>
      <c r="M216" s="4">
        <v>179</v>
      </c>
      <c r="N216" s="62" t="s">
        <v>170</v>
      </c>
      <c r="O216" s="62" t="s">
        <v>448</v>
      </c>
      <c r="P216" s="62" t="s">
        <v>450</v>
      </c>
      <c r="Q216" s="60">
        <f t="shared" si="482"/>
        <v>0</v>
      </c>
      <c r="R216" s="60">
        <f t="shared" si="483"/>
        <v>58.695999999999998</v>
      </c>
      <c r="S216" s="60">
        <f t="shared" si="484"/>
        <v>0</v>
      </c>
      <c r="T216" s="60">
        <v>1</v>
      </c>
      <c r="U216" s="60">
        <v>2</v>
      </c>
      <c r="V216" s="64">
        <f t="shared" si="494"/>
        <v>202.4</v>
      </c>
      <c r="W216" s="64"/>
      <c r="X216" s="65">
        <v>202.4</v>
      </c>
      <c r="Y216" s="64"/>
      <c r="Z216" s="65"/>
      <c r="AA216" s="64">
        <f t="shared" si="495"/>
        <v>202.4</v>
      </c>
      <c r="AB216" s="64"/>
      <c r="AC216" s="65">
        <v>202.4</v>
      </c>
      <c r="AD216" s="64"/>
      <c r="AE216" s="65"/>
      <c r="AF216" s="64">
        <f t="shared" si="496"/>
        <v>202.4</v>
      </c>
      <c r="AG216" s="64"/>
      <c r="AH216" s="65">
        <v>202.4</v>
      </c>
      <c r="AI216" s="64"/>
      <c r="AJ216" s="65"/>
      <c r="AK216" s="64">
        <f t="shared" si="497"/>
        <v>88</v>
      </c>
      <c r="AL216" s="64"/>
      <c r="AM216" s="65">
        <v>88</v>
      </c>
      <c r="AN216" s="64"/>
      <c r="AO216" s="65"/>
      <c r="AP216" s="64" t="s">
        <v>443</v>
      </c>
      <c r="AQ216" s="64">
        <f t="shared" si="498"/>
        <v>202.4</v>
      </c>
      <c r="AR216" s="64"/>
      <c r="AS216" s="65">
        <f>88+114.4</f>
        <v>202.4</v>
      </c>
      <c r="AT216" s="64"/>
      <c r="AU216" s="64"/>
      <c r="AV216" s="64">
        <f t="shared" si="470"/>
        <v>0</v>
      </c>
      <c r="AW216" s="64">
        <f t="shared" si="471"/>
        <v>0</v>
      </c>
      <c r="AX216" s="64">
        <f t="shared" si="472"/>
        <v>0</v>
      </c>
      <c r="AY216" s="64">
        <f t="shared" si="473"/>
        <v>0</v>
      </c>
      <c r="AZ216" s="64" t="e">
        <f>#REF!-AU216</f>
        <v>#REF!</v>
      </c>
      <c r="BA216" s="64">
        <f t="shared" si="499"/>
        <v>202.4</v>
      </c>
      <c r="BB216" s="64"/>
      <c r="BC216" s="65">
        <f>88+114.4</f>
        <v>202.4</v>
      </c>
      <c r="BD216" s="64"/>
      <c r="BE216" s="64"/>
      <c r="BF216" s="64">
        <f t="shared" si="500"/>
        <v>0</v>
      </c>
      <c r="BG216" s="64"/>
      <c r="BH216" s="65"/>
      <c r="BI216" s="64"/>
      <c r="BJ216" s="64"/>
      <c r="BK216" s="64">
        <f t="shared" si="501"/>
        <v>202.4</v>
      </c>
      <c r="BL216" s="64"/>
      <c r="BM216" s="65">
        <f>88+114.4</f>
        <v>202.4</v>
      </c>
      <c r="BN216" s="64"/>
      <c r="BO216" s="64"/>
      <c r="BP216" s="64">
        <f t="shared" si="502"/>
        <v>143.70400000000001</v>
      </c>
      <c r="BQ216" s="64"/>
      <c r="BR216" s="74">
        <v>143.70400000000001</v>
      </c>
      <c r="BS216" s="64"/>
      <c r="BT216" s="64"/>
      <c r="BU216" s="64">
        <f t="shared" si="503"/>
        <v>520.63529999999992</v>
      </c>
      <c r="BV216" s="64"/>
      <c r="BW216" s="64">
        <f>285.6353+235</f>
        <v>520.63529999999992</v>
      </c>
      <c r="BX216" s="64"/>
      <c r="BY216" s="64"/>
      <c r="BZ216" s="60">
        <f t="shared" si="504"/>
        <v>664.33929999999987</v>
      </c>
      <c r="CA216" s="64">
        <f t="shared" si="474"/>
        <v>664.33929999999987</v>
      </c>
      <c r="CB216" s="64">
        <f t="shared" si="475"/>
        <v>0</v>
      </c>
      <c r="CC216" s="64">
        <f t="shared" si="476"/>
        <v>664.33929999999987</v>
      </c>
      <c r="CD216" s="64">
        <f t="shared" si="477"/>
        <v>0</v>
      </c>
      <c r="CE216" s="64">
        <f t="shared" si="505"/>
        <v>0</v>
      </c>
      <c r="CF216" s="64">
        <f t="shared" si="478"/>
        <v>58.695999999999998</v>
      </c>
      <c r="CG216" s="64">
        <f t="shared" si="479"/>
        <v>0</v>
      </c>
      <c r="CH216" s="64">
        <f t="shared" si="480"/>
        <v>58.695999999999998</v>
      </c>
      <c r="CI216" s="64">
        <f t="shared" si="481"/>
        <v>0</v>
      </c>
      <c r="CJ216" s="64">
        <f t="shared" si="506"/>
        <v>0</v>
      </c>
      <c r="CK216" s="66"/>
      <c r="CL216" s="67"/>
      <c r="CM216" s="67"/>
      <c r="CN216" s="64">
        <f t="shared" si="507"/>
        <v>0</v>
      </c>
      <c r="CO216" s="64"/>
      <c r="CP216" s="65"/>
      <c r="CQ216" s="64"/>
      <c r="CR216" s="64"/>
      <c r="CS216" s="64">
        <f t="shared" si="508"/>
        <v>0</v>
      </c>
      <c r="CT216" s="64"/>
      <c r="CU216" s="65"/>
      <c r="CV216" s="64"/>
      <c r="CW216" s="64"/>
      <c r="CX216" s="64">
        <f t="shared" si="509"/>
        <v>0</v>
      </c>
      <c r="CY216" s="64">
        <f t="shared" si="510"/>
        <v>0</v>
      </c>
      <c r="CZ216" s="64">
        <f t="shared" si="510"/>
        <v>0</v>
      </c>
      <c r="DA216" s="64">
        <f t="shared" si="510"/>
        <v>0</v>
      </c>
      <c r="DB216" s="64">
        <f t="shared" si="510"/>
        <v>0</v>
      </c>
      <c r="DC216" s="64"/>
      <c r="DD216" s="64"/>
      <c r="DE216" s="64"/>
      <c r="DF216" s="64">
        <f t="shared" si="511"/>
        <v>58.695999999999998</v>
      </c>
      <c r="DH216" s="64">
        <f t="shared" si="512"/>
        <v>202.4</v>
      </c>
      <c r="DI216" s="64">
        <f t="shared" si="513"/>
        <v>143.70400000000001</v>
      </c>
      <c r="DK216" s="64"/>
      <c r="DL216" s="64"/>
      <c r="DN216" s="64"/>
      <c r="DQ216" s="64">
        <f t="shared" si="516"/>
        <v>143.70400000000001</v>
      </c>
      <c r="DR216" s="64"/>
      <c r="DS216" s="74">
        <v>143.70400000000001</v>
      </c>
      <c r="DT216" s="64"/>
      <c r="DU216" s="64"/>
      <c r="DV216" s="64">
        <f t="shared" si="517"/>
        <v>520.63530000000003</v>
      </c>
      <c r="DW216" s="64"/>
      <c r="DX216" s="64">
        <v>520.63530000000003</v>
      </c>
      <c r="DY216" s="64"/>
      <c r="DZ216" s="64"/>
      <c r="EA216" s="375"/>
      <c r="EB216" s="375"/>
      <c r="EC216" s="375"/>
      <c r="ED216" s="375"/>
      <c r="EE216" s="375"/>
      <c r="EF216" s="375"/>
      <c r="EG216" s="375"/>
      <c r="EH216" s="375"/>
      <c r="EI216" s="375"/>
      <c r="EJ216" s="375"/>
      <c r="EK216" s="375"/>
      <c r="EL216" s="375"/>
      <c r="EM216" s="375"/>
      <c r="EN216" s="375"/>
      <c r="EO216" s="375"/>
      <c r="EP216" s="375"/>
      <c r="EQ216" s="375"/>
      <c r="ER216" s="375"/>
      <c r="ES216" s="375"/>
      <c r="ET216" s="375"/>
      <c r="EU216" s="375"/>
      <c r="EV216" s="375"/>
      <c r="EW216" s="375"/>
      <c r="EX216" s="375"/>
      <c r="EY216" s="375"/>
      <c r="EZ216" s="375"/>
      <c r="FA216" s="375"/>
      <c r="FB216" s="375"/>
      <c r="FC216" s="375"/>
      <c r="FD216" s="375"/>
      <c r="FE216" s="375"/>
      <c r="FF216" s="375"/>
      <c r="FG216" s="375"/>
      <c r="FH216" s="375"/>
      <c r="FI216" s="375"/>
      <c r="FJ216" s="375"/>
      <c r="FK216" s="375"/>
      <c r="FL216" s="375"/>
      <c r="FM216" s="375"/>
      <c r="FN216" s="375"/>
      <c r="FO216" s="375"/>
      <c r="FP216" s="375"/>
      <c r="FQ216" s="375"/>
      <c r="FR216" s="375"/>
      <c r="FS216" s="375"/>
      <c r="FT216" s="375"/>
      <c r="FU216" s="375"/>
      <c r="FV216" s="375"/>
      <c r="FW216" s="375"/>
      <c r="FX216" s="375"/>
      <c r="FY216" s="375"/>
      <c r="FZ216" s="375"/>
      <c r="GA216" s="375"/>
      <c r="GB216" s="375"/>
      <c r="GC216" s="375"/>
      <c r="GD216" s="375"/>
      <c r="GE216" s="375"/>
      <c r="GF216" s="375"/>
      <c r="GG216" s="375"/>
      <c r="GH216" s="375"/>
      <c r="GI216" s="375"/>
      <c r="GJ216" s="375"/>
      <c r="GK216" s="375"/>
      <c r="GL216" s="375"/>
      <c r="GM216" s="375"/>
      <c r="GN216" s="375"/>
      <c r="GO216" s="375"/>
      <c r="GP216" s="375"/>
      <c r="GQ216" s="375"/>
      <c r="GR216" s="375"/>
    </row>
    <row r="217" spans="1:200" s="61" customFormat="1" ht="15.75" customHeight="1" x14ac:dyDescent="0.3">
      <c r="A217" s="280"/>
      <c r="B217" s="281"/>
      <c r="C217" s="282"/>
      <c r="D217" s="282">
        <v>1</v>
      </c>
      <c r="E217" s="4">
        <v>183</v>
      </c>
      <c r="F217" s="281"/>
      <c r="G217" s="282"/>
      <c r="H217" s="282">
        <v>1</v>
      </c>
      <c r="I217" s="298"/>
      <c r="J217" s="298"/>
      <c r="K217" s="298"/>
      <c r="L217" s="299"/>
      <c r="M217" s="4">
        <v>180</v>
      </c>
      <c r="N217" s="62" t="s">
        <v>171</v>
      </c>
      <c r="O217" s="62" t="s">
        <v>450</v>
      </c>
      <c r="P217" s="62" t="s">
        <v>450</v>
      </c>
      <c r="Q217" s="60">
        <f t="shared" si="482"/>
        <v>0</v>
      </c>
      <c r="R217" s="60">
        <f t="shared" si="483"/>
        <v>0</v>
      </c>
      <c r="S217" s="60">
        <f t="shared" si="484"/>
        <v>0</v>
      </c>
      <c r="T217" s="60">
        <v>1</v>
      </c>
      <c r="U217" s="60">
        <v>1</v>
      </c>
      <c r="V217" s="64">
        <f t="shared" si="494"/>
        <v>441.6</v>
      </c>
      <c r="W217" s="64"/>
      <c r="X217" s="65">
        <v>441.6</v>
      </c>
      <c r="Y217" s="64"/>
      <c r="Z217" s="65"/>
      <c r="AA217" s="64">
        <f t="shared" si="495"/>
        <v>441.6</v>
      </c>
      <c r="AB217" s="64"/>
      <c r="AC217" s="65">
        <v>441.6</v>
      </c>
      <c r="AD217" s="64"/>
      <c r="AE217" s="65"/>
      <c r="AF217" s="64">
        <f t="shared" si="496"/>
        <v>441.6</v>
      </c>
      <c r="AG217" s="64"/>
      <c r="AH217" s="65">
        <v>441.6</v>
      </c>
      <c r="AI217" s="64"/>
      <c r="AJ217" s="65"/>
      <c r="AK217" s="64">
        <f t="shared" si="497"/>
        <v>192</v>
      </c>
      <c r="AL217" s="64"/>
      <c r="AM217" s="65">
        <v>192</v>
      </c>
      <c r="AN217" s="64"/>
      <c r="AO217" s="65"/>
      <c r="AP217" s="64" t="s">
        <v>345</v>
      </c>
      <c r="AQ217" s="64">
        <f t="shared" si="498"/>
        <v>441.6</v>
      </c>
      <c r="AR217" s="64"/>
      <c r="AS217" s="65">
        <f>192+249.6</f>
        <v>441.6</v>
      </c>
      <c r="AT217" s="64"/>
      <c r="AU217" s="64"/>
      <c r="AV217" s="64">
        <f t="shared" si="470"/>
        <v>0</v>
      </c>
      <c r="AW217" s="64">
        <f t="shared" si="471"/>
        <v>0</v>
      </c>
      <c r="AX217" s="64">
        <f t="shared" si="472"/>
        <v>0</v>
      </c>
      <c r="AY217" s="64">
        <f t="shared" si="473"/>
        <v>0</v>
      </c>
      <c r="AZ217" s="64" t="e">
        <f>#REF!-AU217</f>
        <v>#REF!</v>
      </c>
      <c r="BA217" s="64">
        <f t="shared" si="499"/>
        <v>441.6</v>
      </c>
      <c r="BB217" s="64"/>
      <c r="BC217" s="65">
        <f>192+249.6</f>
        <v>441.6</v>
      </c>
      <c r="BD217" s="64"/>
      <c r="BE217" s="64"/>
      <c r="BF217" s="64">
        <f t="shared" si="500"/>
        <v>0</v>
      </c>
      <c r="BG217" s="64"/>
      <c r="BH217" s="65"/>
      <c r="BI217" s="64"/>
      <c r="BJ217" s="64"/>
      <c r="BK217" s="64">
        <f t="shared" si="501"/>
        <v>441.6</v>
      </c>
      <c r="BL217" s="64"/>
      <c r="BM217" s="65">
        <f>192+249.6</f>
        <v>441.6</v>
      </c>
      <c r="BN217" s="64"/>
      <c r="BO217" s="64"/>
      <c r="BP217" s="64">
        <f t="shared" si="502"/>
        <v>441.6</v>
      </c>
      <c r="BQ217" s="64"/>
      <c r="BR217" s="74">
        <v>441.6</v>
      </c>
      <c r="BS217" s="64"/>
      <c r="BT217" s="64"/>
      <c r="BU217" s="64">
        <f t="shared" si="503"/>
        <v>300.89848000000001</v>
      </c>
      <c r="BV217" s="64"/>
      <c r="BW217" s="64">
        <v>300.89848000000001</v>
      </c>
      <c r="BX217" s="64"/>
      <c r="BY217" s="64"/>
      <c r="BZ217" s="60">
        <f t="shared" si="504"/>
        <v>742.49847999999997</v>
      </c>
      <c r="CA217" s="64">
        <f t="shared" si="474"/>
        <v>742.49847999999997</v>
      </c>
      <c r="CB217" s="64">
        <f t="shared" si="475"/>
        <v>0</v>
      </c>
      <c r="CC217" s="64">
        <f t="shared" si="476"/>
        <v>742.49847999999997</v>
      </c>
      <c r="CD217" s="64">
        <f t="shared" si="477"/>
        <v>0</v>
      </c>
      <c r="CE217" s="64">
        <f t="shared" si="505"/>
        <v>0</v>
      </c>
      <c r="CF217" s="64">
        <f t="shared" si="478"/>
        <v>0</v>
      </c>
      <c r="CG217" s="64">
        <f t="shared" si="479"/>
        <v>0</v>
      </c>
      <c r="CH217" s="64">
        <f t="shared" si="480"/>
        <v>0</v>
      </c>
      <c r="CI217" s="64">
        <f t="shared" si="481"/>
        <v>0</v>
      </c>
      <c r="CJ217" s="64">
        <f t="shared" si="506"/>
        <v>0</v>
      </c>
      <c r="CK217" s="66"/>
      <c r="CL217" s="67"/>
      <c r="CM217" s="67"/>
      <c r="CN217" s="64">
        <f t="shared" si="507"/>
        <v>0</v>
      </c>
      <c r="CO217" s="64"/>
      <c r="CP217" s="65"/>
      <c r="CQ217" s="64"/>
      <c r="CR217" s="64"/>
      <c r="CS217" s="64">
        <f t="shared" si="508"/>
        <v>0</v>
      </c>
      <c r="CT217" s="64"/>
      <c r="CU217" s="65"/>
      <c r="CV217" s="64"/>
      <c r="CW217" s="64"/>
      <c r="CX217" s="64">
        <f t="shared" si="509"/>
        <v>0</v>
      </c>
      <c r="CY217" s="64">
        <f t="shared" si="510"/>
        <v>0</v>
      </c>
      <c r="CZ217" s="64">
        <f t="shared" si="510"/>
        <v>0</v>
      </c>
      <c r="DA217" s="64">
        <f t="shared" si="510"/>
        <v>0</v>
      </c>
      <c r="DB217" s="64">
        <f t="shared" si="510"/>
        <v>0</v>
      </c>
      <c r="DC217" s="64"/>
      <c r="DD217" s="64"/>
      <c r="DE217" s="64"/>
      <c r="DF217" s="64">
        <f t="shared" si="511"/>
        <v>0</v>
      </c>
      <c r="DH217" s="64">
        <f t="shared" si="512"/>
        <v>441.6</v>
      </c>
      <c r="DI217" s="64">
        <f t="shared" si="513"/>
        <v>441.6</v>
      </c>
      <c r="DK217" s="64"/>
      <c r="DL217" s="64"/>
      <c r="DN217" s="64"/>
      <c r="DQ217" s="64">
        <f t="shared" si="516"/>
        <v>441.6</v>
      </c>
      <c r="DR217" s="64"/>
      <c r="DS217" s="74">
        <v>441.6</v>
      </c>
      <c r="DT217" s="64"/>
      <c r="DU217" s="64"/>
      <c r="DV217" s="64">
        <f t="shared" si="517"/>
        <v>0</v>
      </c>
      <c r="DW217" s="64"/>
      <c r="DX217" s="64"/>
      <c r="DY217" s="64"/>
      <c r="DZ217" s="64"/>
      <c r="EA217" s="375"/>
      <c r="EB217" s="375"/>
      <c r="EC217" s="375"/>
      <c r="ED217" s="375"/>
      <c r="EE217" s="375"/>
      <c r="EF217" s="375"/>
      <c r="EG217" s="375"/>
      <c r="EH217" s="375"/>
      <c r="EI217" s="375"/>
      <c r="EJ217" s="375"/>
      <c r="EK217" s="375"/>
      <c r="EL217" s="375"/>
      <c r="EM217" s="375"/>
      <c r="EN217" s="375"/>
      <c r="EO217" s="375"/>
      <c r="EP217" s="375"/>
      <c r="EQ217" s="375"/>
      <c r="ER217" s="375"/>
      <c r="ES217" s="375"/>
      <c r="ET217" s="375"/>
      <c r="EU217" s="375"/>
      <c r="EV217" s="375"/>
      <c r="EW217" s="375"/>
      <c r="EX217" s="375"/>
      <c r="EY217" s="375"/>
      <c r="EZ217" s="375"/>
      <c r="FA217" s="375"/>
      <c r="FB217" s="375"/>
      <c r="FC217" s="375"/>
      <c r="FD217" s="375"/>
      <c r="FE217" s="375"/>
      <c r="FF217" s="375"/>
      <c r="FG217" s="375"/>
      <c r="FH217" s="375"/>
      <c r="FI217" s="375"/>
      <c r="FJ217" s="375"/>
      <c r="FK217" s="375"/>
      <c r="FL217" s="375"/>
      <c r="FM217" s="375"/>
      <c r="FN217" s="375"/>
      <c r="FO217" s="375"/>
      <c r="FP217" s="375"/>
      <c r="FQ217" s="375"/>
      <c r="FR217" s="375"/>
      <c r="FS217" s="375"/>
      <c r="FT217" s="375"/>
      <c r="FU217" s="375"/>
      <c r="FV217" s="375"/>
      <c r="FW217" s="375"/>
      <c r="FX217" s="375"/>
      <c r="FY217" s="375"/>
      <c r="FZ217" s="375"/>
      <c r="GA217" s="375"/>
      <c r="GB217" s="375"/>
      <c r="GC217" s="375"/>
      <c r="GD217" s="375"/>
      <c r="GE217" s="375"/>
      <c r="GF217" s="375"/>
      <c r="GG217" s="375"/>
      <c r="GH217" s="375"/>
      <c r="GI217" s="375"/>
      <c r="GJ217" s="375"/>
      <c r="GK217" s="375"/>
      <c r="GL217" s="375"/>
      <c r="GM217" s="375"/>
      <c r="GN217" s="375"/>
      <c r="GO217" s="375"/>
      <c r="GP217" s="375"/>
      <c r="GQ217" s="375"/>
      <c r="GR217" s="375"/>
    </row>
    <row r="218" spans="1:200" s="61" customFormat="1" ht="15.6" customHeight="1" x14ac:dyDescent="0.3">
      <c r="A218" s="280"/>
      <c r="B218" s="281"/>
      <c r="C218" s="282"/>
      <c r="D218" s="282">
        <v>1</v>
      </c>
      <c r="E218" s="4">
        <v>184</v>
      </c>
      <c r="F218" s="281"/>
      <c r="G218" s="282"/>
      <c r="H218" s="282"/>
      <c r="I218" s="4"/>
      <c r="J218" s="283"/>
      <c r="K218" s="283"/>
      <c r="L218" s="286"/>
      <c r="M218" s="4">
        <v>181</v>
      </c>
      <c r="N218" s="62" t="s">
        <v>144</v>
      </c>
      <c r="O218" s="62" t="s">
        <v>448</v>
      </c>
      <c r="P218" s="62" t="s">
        <v>448</v>
      </c>
      <c r="Q218" s="60">
        <f t="shared" si="482"/>
        <v>0</v>
      </c>
      <c r="R218" s="60">
        <f t="shared" si="483"/>
        <v>0</v>
      </c>
      <c r="S218" s="60">
        <f t="shared" si="484"/>
        <v>0</v>
      </c>
      <c r="T218" s="60">
        <v>1</v>
      </c>
      <c r="U218" s="60">
        <v>1</v>
      </c>
      <c r="V218" s="64">
        <f t="shared" si="494"/>
        <v>671.6</v>
      </c>
      <c r="W218" s="64"/>
      <c r="X218" s="65">
        <v>671.6</v>
      </c>
      <c r="Y218" s="64"/>
      <c r="Z218" s="65"/>
      <c r="AA218" s="64">
        <f t="shared" si="495"/>
        <v>671.6</v>
      </c>
      <c r="AB218" s="64"/>
      <c r="AC218" s="65">
        <v>671.6</v>
      </c>
      <c r="AD218" s="64"/>
      <c r="AE218" s="65"/>
      <c r="AF218" s="64">
        <f t="shared" si="496"/>
        <v>671.6</v>
      </c>
      <c r="AG218" s="64"/>
      <c r="AH218" s="65">
        <v>671.6</v>
      </c>
      <c r="AI218" s="64"/>
      <c r="AJ218" s="65"/>
      <c r="AK218" s="64">
        <f t="shared" si="497"/>
        <v>292</v>
      </c>
      <c r="AL218" s="64"/>
      <c r="AM218" s="65">
        <v>292</v>
      </c>
      <c r="AN218" s="64"/>
      <c r="AO218" s="65"/>
      <c r="AP218" s="64" t="s">
        <v>377</v>
      </c>
      <c r="AQ218" s="64">
        <f t="shared" si="498"/>
        <v>671.6</v>
      </c>
      <c r="AR218" s="64"/>
      <c r="AS218" s="65">
        <f>292+379.6</f>
        <v>671.6</v>
      </c>
      <c r="AT218" s="64"/>
      <c r="AU218" s="64"/>
      <c r="AV218" s="64">
        <f t="shared" si="470"/>
        <v>0</v>
      </c>
      <c r="AW218" s="64">
        <f t="shared" si="471"/>
        <v>0</v>
      </c>
      <c r="AX218" s="64">
        <f t="shared" si="472"/>
        <v>0</v>
      </c>
      <c r="AY218" s="64">
        <f t="shared" si="473"/>
        <v>0</v>
      </c>
      <c r="AZ218" s="64" t="e">
        <f>#REF!-AU218</f>
        <v>#REF!</v>
      </c>
      <c r="BA218" s="64">
        <f t="shared" si="499"/>
        <v>671.6</v>
      </c>
      <c r="BB218" s="64"/>
      <c r="BC218" s="65">
        <f>292+379.6</f>
        <v>671.6</v>
      </c>
      <c r="BD218" s="64"/>
      <c r="BE218" s="64"/>
      <c r="BF218" s="64">
        <f t="shared" si="500"/>
        <v>0</v>
      </c>
      <c r="BG218" s="64"/>
      <c r="BH218" s="64"/>
      <c r="BI218" s="64"/>
      <c r="BJ218" s="64"/>
      <c r="BK218" s="64">
        <f t="shared" si="501"/>
        <v>671.6</v>
      </c>
      <c r="BL218" s="64"/>
      <c r="BM218" s="65">
        <f>292+379.6</f>
        <v>671.6</v>
      </c>
      <c r="BN218" s="64"/>
      <c r="BO218" s="64"/>
      <c r="BP218" s="64">
        <f t="shared" si="502"/>
        <v>671.6</v>
      </c>
      <c r="BQ218" s="64"/>
      <c r="BR218" s="64">
        <v>671.6</v>
      </c>
      <c r="BS218" s="64"/>
      <c r="BT218" s="64"/>
      <c r="BU218" s="64">
        <f t="shared" si="503"/>
        <v>492.74022000000002</v>
      </c>
      <c r="BV218" s="64"/>
      <c r="BW218" s="64">
        <v>492.74022000000002</v>
      </c>
      <c r="BX218" s="64"/>
      <c r="BY218" s="64"/>
      <c r="BZ218" s="60">
        <f t="shared" si="504"/>
        <v>1164.34022</v>
      </c>
      <c r="CA218" s="64">
        <f t="shared" si="474"/>
        <v>1164.34022</v>
      </c>
      <c r="CB218" s="64">
        <f t="shared" si="475"/>
        <v>0</v>
      </c>
      <c r="CC218" s="64">
        <f t="shared" si="476"/>
        <v>1164.34022</v>
      </c>
      <c r="CD218" s="64">
        <f t="shared" si="477"/>
        <v>0</v>
      </c>
      <c r="CE218" s="64">
        <f t="shared" si="505"/>
        <v>0</v>
      </c>
      <c r="CF218" s="64">
        <f t="shared" si="478"/>
        <v>0</v>
      </c>
      <c r="CG218" s="64">
        <f t="shared" si="479"/>
        <v>0</v>
      </c>
      <c r="CH218" s="64">
        <f t="shared" si="480"/>
        <v>0</v>
      </c>
      <c r="CI218" s="64">
        <f t="shared" si="481"/>
        <v>0</v>
      </c>
      <c r="CJ218" s="64">
        <f t="shared" si="506"/>
        <v>0</v>
      </c>
      <c r="CK218" s="66"/>
      <c r="CL218" s="67"/>
      <c r="CM218" s="67"/>
      <c r="CN218" s="64">
        <f t="shared" si="507"/>
        <v>0</v>
      </c>
      <c r="CO218" s="64"/>
      <c r="CP218" s="64"/>
      <c r="CQ218" s="64"/>
      <c r="CR218" s="64"/>
      <c r="CS218" s="64">
        <f t="shared" si="508"/>
        <v>0</v>
      </c>
      <c r="CT218" s="64"/>
      <c r="CU218" s="64"/>
      <c r="CV218" s="64"/>
      <c r="CW218" s="64"/>
      <c r="CX218" s="64">
        <f t="shared" si="509"/>
        <v>0</v>
      </c>
      <c r="CY218" s="64">
        <f t="shared" si="510"/>
        <v>0</v>
      </c>
      <c r="CZ218" s="64">
        <f t="shared" si="510"/>
        <v>0</v>
      </c>
      <c r="DA218" s="64">
        <f t="shared" si="510"/>
        <v>0</v>
      </c>
      <c r="DB218" s="64">
        <f t="shared" si="510"/>
        <v>0</v>
      </c>
      <c r="DC218" s="64"/>
      <c r="DD218" s="64"/>
      <c r="DE218" s="64"/>
      <c r="DF218" s="64">
        <f t="shared" si="511"/>
        <v>0</v>
      </c>
      <c r="DH218" s="64">
        <f t="shared" si="512"/>
        <v>671.6</v>
      </c>
      <c r="DI218" s="64">
        <f t="shared" si="513"/>
        <v>671.6</v>
      </c>
      <c r="DK218" s="64"/>
      <c r="DL218" s="64"/>
      <c r="DN218" s="64"/>
      <c r="DQ218" s="64">
        <f t="shared" si="516"/>
        <v>671.6</v>
      </c>
      <c r="DR218" s="64"/>
      <c r="DS218" s="64">
        <v>671.6</v>
      </c>
      <c r="DT218" s="64"/>
      <c r="DU218" s="64"/>
      <c r="DV218" s="64">
        <f t="shared" si="517"/>
        <v>0</v>
      </c>
      <c r="DW218" s="64"/>
      <c r="DX218" s="64"/>
      <c r="DY218" s="64"/>
      <c r="DZ218" s="64"/>
      <c r="EA218" s="375"/>
      <c r="EB218" s="375"/>
      <c r="EC218" s="375"/>
      <c r="ED218" s="375"/>
      <c r="EE218" s="375"/>
      <c r="EF218" s="375"/>
      <c r="EG218" s="375"/>
      <c r="EH218" s="375"/>
      <c r="EI218" s="375"/>
      <c r="EJ218" s="375"/>
      <c r="EK218" s="375"/>
      <c r="EL218" s="375"/>
      <c r="EM218" s="375"/>
      <c r="EN218" s="375"/>
      <c r="EO218" s="375"/>
      <c r="EP218" s="375"/>
      <c r="EQ218" s="375"/>
      <c r="ER218" s="375"/>
      <c r="ES218" s="375"/>
      <c r="ET218" s="375"/>
      <c r="EU218" s="375"/>
      <c r="EV218" s="375"/>
      <c r="EW218" s="375"/>
      <c r="EX218" s="375"/>
      <c r="EY218" s="375"/>
      <c r="EZ218" s="375"/>
      <c r="FA218" s="375"/>
      <c r="FB218" s="375"/>
      <c r="FC218" s="375"/>
      <c r="FD218" s="375"/>
      <c r="FE218" s="375"/>
      <c r="FF218" s="375"/>
      <c r="FG218" s="375"/>
      <c r="FH218" s="375"/>
      <c r="FI218" s="375"/>
      <c r="FJ218" s="375"/>
      <c r="FK218" s="375"/>
      <c r="FL218" s="375"/>
      <c r="FM218" s="375"/>
      <c r="FN218" s="375"/>
      <c r="FO218" s="375"/>
      <c r="FP218" s="375"/>
      <c r="FQ218" s="375"/>
      <c r="FR218" s="375"/>
      <c r="FS218" s="375"/>
      <c r="FT218" s="375"/>
      <c r="FU218" s="375"/>
      <c r="FV218" s="375"/>
      <c r="FW218" s="375"/>
      <c r="FX218" s="375"/>
      <c r="FY218" s="375"/>
      <c r="FZ218" s="375"/>
      <c r="GA218" s="375"/>
      <c r="GB218" s="375"/>
      <c r="GC218" s="375"/>
      <c r="GD218" s="375"/>
      <c r="GE218" s="375"/>
      <c r="GF218" s="375"/>
      <c r="GG218" s="375"/>
      <c r="GH218" s="375"/>
      <c r="GI218" s="375"/>
      <c r="GJ218" s="375"/>
      <c r="GK218" s="375"/>
      <c r="GL218" s="375"/>
      <c r="GM218" s="375"/>
      <c r="GN218" s="375"/>
      <c r="GO218" s="375"/>
      <c r="GP218" s="375"/>
      <c r="GQ218" s="375"/>
      <c r="GR218" s="375"/>
    </row>
    <row r="219" spans="1:200" s="61" customFormat="1" ht="15.75" customHeight="1" x14ac:dyDescent="0.3">
      <c r="A219" s="280"/>
      <c r="B219" s="281"/>
      <c r="C219" s="282"/>
      <c r="D219" s="282">
        <v>1</v>
      </c>
      <c r="E219" s="4">
        <v>185</v>
      </c>
      <c r="F219" s="281"/>
      <c r="G219" s="282"/>
      <c r="H219" s="282">
        <v>1</v>
      </c>
      <c r="I219" s="4"/>
      <c r="J219" s="283"/>
      <c r="K219" s="283"/>
      <c r="L219" s="286"/>
      <c r="M219" s="4">
        <v>182</v>
      </c>
      <c r="N219" s="62" t="s">
        <v>145</v>
      </c>
      <c r="O219" s="62" t="s">
        <v>450</v>
      </c>
      <c r="P219" s="62" t="s">
        <v>450</v>
      </c>
      <c r="Q219" s="60">
        <f t="shared" si="482"/>
        <v>0</v>
      </c>
      <c r="R219" s="60">
        <f t="shared" si="483"/>
        <v>0</v>
      </c>
      <c r="S219" s="60">
        <f t="shared" si="484"/>
        <v>0</v>
      </c>
      <c r="T219" s="60">
        <v>1</v>
      </c>
      <c r="U219" s="60">
        <v>2</v>
      </c>
      <c r="V219" s="64">
        <f t="shared" si="494"/>
        <v>1835.4</v>
      </c>
      <c r="W219" s="64"/>
      <c r="X219" s="65">
        <v>1835.4</v>
      </c>
      <c r="Y219" s="64"/>
      <c r="Z219" s="65"/>
      <c r="AA219" s="64">
        <f t="shared" si="495"/>
        <v>1835.4</v>
      </c>
      <c r="AB219" s="64"/>
      <c r="AC219" s="65">
        <v>1835.4</v>
      </c>
      <c r="AD219" s="64"/>
      <c r="AE219" s="65"/>
      <c r="AF219" s="64">
        <f t="shared" si="496"/>
        <v>1835.4</v>
      </c>
      <c r="AG219" s="64"/>
      <c r="AH219" s="65">
        <v>1835.4</v>
      </c>
      <c r="AI219" s="64"/>
      <c r="AJ219" s="65"/>
      <c r="AK219" s="64">
        <f t="shared" si="497"/>
        <v>798</v>
      </c>
      <c r="AL219" s="64"/>
      <c r="AM219" s="65">
        <v>798</v>
      </c>
      <c r="AN219" s="64"/>
      <c r="AO219" s="65"/>
      <c r="AP219" s="64" t="s">
        <v>424</v>
      </c>
      <c r="AQ219" s="64">
        <f t="shared" si="498"/>
        <v>1835.4</v>
      </c>
      <c r="AR219" s="64"/>
      <c r="AS219" s="65">
        <f>798+1037.4</f>
        <v>1835.4</v>
      </c>
      <c r="AT219" s="64"/>
      <c r="AU219" s="65"/>
      <c r="AV219" s="64">
        <f t="shared" si="470"/>
        <v>0</v>
      </c>
      <c r="AW219" s="64">
        <f t="shared" si="471"/>
        <v>0</v>
      </c>
      <c r="AX219" s="64">
        <f t="shared" si="472"/>
        <v>0</v>
      </c>
      <c r="AY219" s="64">
        <f t="shared" si="473"/>
        <v>0</v>
      </c>
      <c r="AZ219" s="64" t="e">
        <f>#REF!-AU219</f>
        <v>#REF!</v>
      </c>
      <c r="BA219" s="64">
        <f t="shared" si="499"/>
        <v>1835.4</v>
      </c>
      <c r="BB219" s="64"/>
      <c r="BC219" s="65">
        <f>798+1037.4</f>
        <v>1835.4</v>
      </c>
      <c r="BD219" s="64"/>
      <c r="BE219" s="65"/>
      <c r="BF219" s="64">
        <f t="shared" si="500"/>
        <v>0</v>
      </c>
      <c r="BG219" s="64"/>
      <c r="BH219" s="65"/>
      <c r="BI219" s="64"/>
      <c r="BJ219" s="65"/>
      <c r="BK219" s="64">
        <f t="shared" si="501"/>
        <v>1835.4</v>
      </c>
      <c r="BL219" s="64"/>
      <c r="BM219" s="65">
        <f>798+1037.4</f>
        <v>1835.4</v>
      </c>
      <c r="BN219" s="64"/>
      <c r="BO219" s="74"/>
      <c r="BP219" s="64">
        <f t="shared" si="502"/>
        <v>1835.4</v>
      </c>
      <c r="BQ219" s="64"/>
      <c r="BR219" s="74">
        <f>1036.84373+793.551+4.449+0.55627</f>
        <v>1835.4</v>
      </c>
      <c r="BS219" s="64"/>
      <c r="BT219" s="74"/>
      <c r="BU219" s="64">
        <f t="shared" si="503"/>
        <v>842.35095999999999</v>
      </c>
      <c r="BV219" s="64"/>
      <c r="BW219" s="64">
        <f>284.60676+557.7442</f>
        <v>842.35095999999999</v>
      </c>
      <c r="BX219" s="64"/>
      <c r="BY219" s="64"/>
      <c r="BZ219" s="60">
        <f t="shared" si="504"/>
        <v>2677.7509600000003</v>
      </c>
      <c r="CA219" s="64">
        <f t="shared" si="474"/>
        <v>2677.7509600000003</v>
      </c>
      <c r="CB219" s="64">
        <f t="shared" si="475"/>
        <v>0</v>
      </c>
      <c r="CC219" s="64">
        <f t="shared" si="476"/>
        <v>2677.7509600000003</v>
      </c>
      <c r="CD219" s="64">
        <f t="shared" si="477"/>
        <v>0</v>
      </c>
      <c r="CE219" s="64">
        <f t="shared" si="505"/>
        <v>0</v>
      </c>
      <c r="CF219" s="64">
        <f t="shared" si="478"/>
        <v>0</v>
      </c>
      <c r="CG219" s="64">
        <f t="shared" si="479"/>
        <v>0</v>
      </c>
      <c r="CH219" s="64">
        <f t="shared" si="480"/>
        <v>0</v>
      </c>
      <c r="CI219" s="64">
        <f t="shared" si="481"/>
        <v>0</v>
      </c>
      <c r="CJ219" s="64">
        <f t="shared" si="506"/>
        <v>0</v>
      </c>
      <c r="CK219" s="66"/>
      <c r="CL219" s="67"/>
      <c r="CM219" s="67"/>
      <c r="CN219" s="64">
        <f t="shared" si="507"/>
        <v>0</v>
      </c>
      <c r="CO219" s="64"/>
      <c r="CP219" s="65"/>
      <c r="CQ219" s="64"/>
      <c r="CR219" s="65"/>
      <c r="CS219" s="64">
        <f t="shared" si="508"/>
        <v>0</v>
      </c>
      <c r="CT219" s="64"/>
      <c r="CU219" s="65"/>
      <c r="CV219" s="64"/>
      <c r="CW219" s="65"/>
      <c r="CX219" s="64">
        <f t="shared" si="509"/>
        <v>0</v>
      </c>
      <c r="CY219" s="64">
        <f t="shared" si="510"/>
        <v>0</v>
      </c>
      <c r="CZ219" s="64">
        <f t="shared" si="510"/>
        <v>0</v>
      </c>
      <c r="DA219" s="64">
        <f t="shared" si="510"/>
        <v>0</v>
      </c>
      <c r="DB219" s="64">
        <f t="shared" si="510"/>
        <v>0</v>
      </c>
      <c r="DC219" s="64"/>
      <c r="DD219" s="64"/>
      <c r="DE219" s="64"/>
      <c r="DF219" s="64">
        <f t="shared" si="511"/>
        <v>0</v>
      </c>
      <c r="DH219" s="64">
        <f t="shared" si="512"/>
        <v>1835.4</v>
      </c>
      <c r="DI219" s="64">
        <f t="shared" si="513"/>
        <v>1835.4</v>
      </c>
      <c r="DK219" s="64"/>
      <c r="DL219" s="64"/>
      <c r="DN219" s="64"/>
      <c r="DQ219" s="64">
        <f t="shared" si="516"/>
        <v>1835.4</v>
      </c>
      <c r="DR219" s="64"/>
      <c r="DS219" s="74">
        <f>1036.84373+793.551+4.449+0.55627</f>
        <v>1835.4</v>
      </c>
      <c r="DT219" s="64"/>
      <c r="DU219" s="74"/>
      <c r="DV219" s="64">
        <f t="shared" si="517"/>
        <v>842.35095999999999</v>
      </c>
      <c r="DW219" s="64"/>
      <c r="DX219" s="64">
        <v>842.35095999999999</v>
      </c>
      <c r="DY219" s="64"/>
      <c r="DZ219" s="64"/>
      <c r="EA219" s="375"/>
      <c r="EB219" s="375"/>
      <c r="EC219" s="375"/>
      <c r="ED219" s="375"/>
      <c r="EE219" s="375"/>
      <c r="EF219" s="375"/>
      <c r="EG219" s="375"/>
      <c r="EH219" s="375"/>
      <c r="EI219" s="375"/>
      <c r="EJ219" s="375"/>
      <c r="EK219" s="375"/>
      <c r="EL219" s="375"/>
      <c r="EM219" s="375"/>
      <c r="EN219" s="375"/>
      <c r="EO219" s="375"/>
      <c r="EP219" s="375"/>
      <c r="EQ219" s="375"/>
      <c r="ER219" s="375"/>
      <c r="ES219" s="375"/>
      <c r="ET219" s="375"/>
      <c r="EU219" s="375"/>
      <c r="EV219" s="375"/>
      <c r="EW219" s="375"/>
      <c r="EX219" s="375"/>
      <c r="EY219" s="375"/>
      <c r="EZ219" s="375"/>
      <c r="FA219" s="375"/>
      <c r="FB219" s="375"/>
      <c r="FC219" s="375"/>
      <c r="FD219" s="375"/>
      <c r="FE219" s="375"/>
      <c r="FF219" s="375"/>
      <c r="FG219" s="375"/>
      <c r="FH219" s="375"/>
      <c r="FI219" s="375"/>
      <c r="FJ219" s="375"/>
      <c r="FK219" s="375"/>
      <c r="FL219" s="375"/>
      <c r="FM219" s="375"/>
      <c r="FN219" s="375"/>
      <c r="FO219" s="375"/>
      <c r="FP219" s="375"/>
      <c r="FQ219" s="375"/>
      <c r="FR219" s="375"/>
      <c r="FS219" s="375"/>
      <c r="FT219" s="375"/>
      <c r="FU219" s="375"/>
      <c r="FV219" s="375"/>
      <c r="FW219" s="375"/>
      <c r="FX219" s="375"/>
      <c r="FY219" s="375"/>
      <c r="FZ219" s="375"/>
      <c r="GA219" s="375"/>
      <c r="GB219" s="375"/>
      <c r="GC219" s="375"/>
      <c r="GD219" s="375"/>
      <c r="GE219" s="375"/>
      <c r="GF219" s="375"/>
      <c r="GG219" s="375"/>
      <c r="GH219" s="375"/>
      <c r="GI219" s="375"/>
      <c r="GJ219" s="375"/>
      <c r="GK219" s="375"/>
      <c r="GL219" s="375"/>
      <c r="GM219" s="375"/>
      <c r="GN219" s="375"/>
      <c r="GO219" s="375"/>
      <c r="GP219" s="375"/>
      <c r="GQ219" s="375"/>
      <c r="GR219" s="375"/>
    </row>
    <row r="220" spans="1:200" s="48" customFormat="1" ht="26.25" customHeight="1" x14ac:dyDescent="0.3">
      <c r="A220" s="276"/>
      <c r="B220" s="277"/>
      <c r="C220" s="278"/>
      <c r="D220" s="278"/>
      <c r="E220" s="279"/>
      <c r="F220" s="277"/>
      <c r="G220" s="278"/>
      <c r="H220" s="278"/>
      <c r="I220" s="2"/>
      <c r="J220" s="2"/>
      <c r="K220" s="2"/>
      <c r="L220" s="300"/>
      <c r="M220" s="279"/>
      <c r="N220" s="42" t="s">
        <v>12</v>
      </c>
      <c r="O220" s="42"/>
      <c r="P220" s="42"/>
      <c r="Q220" s="43">
        <f t="shared" si="482"/>
        <v>0</v>
      </c>
      <c r="R220" s="43">
        <f t="shared" si="483"/>
        <v>1719.4423900000002</v>
      </c>
      <c r="S220" s="43">
        <f t="shared" si="484"/>
        <v>0</v>
      </c>
      <c r="T220" s="43">
        <f>T223+T224+T225+T226+T227+T228+T229</f>
        <v>6</v>
      </c>
      <c r="U220" s="43">
        <f>U223+U224+U225+U226+U227+U228+U229</f>
        <v>7</v>
      </c>
      <c r="V220" s="43">
        <f t="shared" ref="V220:Z220" si="518">SUM(V221:V229)-V222</f>
        <v>4485</v>
      </c>
      <c r="W220" s="43">
        <f t="shared" si="518"/>
        <v>0</v>
      </c>
      <c r="X220" s="43">
        <f t="shared" si="518"/>
        <v>4485</v>
      </c>
      <c r="Y220" s="43">
        <f t="shared" si="518"/>
        <v>0</v>
      </c>
      <c r="Z220" s="43">
        <f t="shared" si="518"/>
        <v>0</v>
      </c>
      <c r="AA220" s="43">
        <f t="shared" ref="AA220:AE220" si="519">SUM(AA221:AA229)-AA222</f>
        <v>4485</v>
      </c>
      <c r="AB220" s="43">
        <f t="shared" si="519"/>
        <v>0</v>
      </c>
      <c r="AC220" s="43">
        <f t="shared" si="519"/>
        <v>4485</v>
      </c>
      <c r="AD220" s="43">
        <f t="shared" si="519"/>
        <v>0</v>
      </c>
      <c r="AE220" s="43">
        <f t="shared" si="519"/>
        <v>0</v>
      </c>
      <c r="AF220" s="43">
        <f t="shared" ref="AF220:AJ220" si="520">SUM(AF221:AF229)-AF222</f>
        <v>4485</v>
      </c>
      <c r="AG220" s="43">
        <f t="shared" si="520"/>
        <v>0</v>
      </c>
      <c r="AH220" s="43">
        <f t="shared" si="520"/>
        <v>4485</v>
      </c>
      <c r="AI220" s="43">
        <f t="shared" si="520"/>
        <v>0</v>
      </c>
      <c r="AJ220" s="43">
        <f t="shared" si="520"/>
        <v>0</v>
      </c>
      <c r="AK220" s="45">
        <f t="shared" ref="AK220:AO220" si="521">SUM(AK221:AK229)-AK222</f>
        <v>1950</v>
      </c>
      <c r="AL220" s="43">
        <f t="shared" si="521"/>
        <v>0</v>
      </c>
      <c r="AM220" s="43">
        <f t="shared" si="521"/>
        <v>1950</v>
      </c>
      <c r="AN220" s="43">
        <f t="shared" si="521"/>
        <v>0</v>
      </c>
      <c r="AO220" s="43">
        <f t="shared" si="521"/>
        <v>0</v>
      </c>
      <c r="AP220" s="44"/>
      <c r="AQ220" s="43">
        <f>SUM(AQ221:AQ229)-AQ222</f>
        <v>4485</v>
      </c>
      <c r="AR220" s="43">
        <f>SUM(AR221:AR229)-AR222</f>
        <v>0</v>
      </c>
      <c r="AS220" s="43">
        <f>SUM(AS221:AS229)-AS222</f>
        <v>4485</v>
      </c>
      <c r="AT220" s="43">
        <f>SUM(AT221:AT229)-AT222</f>
        <v>0</v>
      </c>
      <c r="AU220" s="43">
        <f>SUM(AU221:AU229)-AU222</f>
        <v>0</v>
      </c>
      <c r="AV220" s="43">
        <f t="shared" si="470"/>
        <v>0</v>
      </c>
      <c r="AW220" s="43">
        <f t="shared" si="471"/>
        <v>0</v>
      </c>
      <c r="AX220" s="43">
        <f t="shared" si="472"/>
        <v>0</v>
      </c>
      <c r="AY220" s="43">
        <f t="shared" si="473"/>
        <v>0</v>
      </c>
      <c r="AZ220" s="43" t="e">
        <f t="shared" ref="AZ220:BE220" si="522">SUM(AZ221:AZ229)-AZ222</f>
        <v>#REF!</v>
      </c>
      <c r="BA220" s="43">
        <f t="shared" si="522"/>
        <v>4485</v>
      </c>
      <c r="BB220" s="43">
        <f t="shared" si="522"/>
        <v>0</v>
      </c>
      <c r="BC220" s="43">
        <f t="shared" si="522"/>
        <v>4485</v>
      </c>
      <c r="BD220" s="43">
        <f t="shared" si="522"/>
        <v>0</v>
      </c>
      <c r="BE220" s="43">
        <f t="shared" si="522"/>
        <v>0</v>
      </c>
      <c r="BF220" s="43">
        <f t="shared" ref="BF220:CJ220" si="523">SUM(BF221:BF229)-BF222</f>
        <v>0</v>
      </c>
      <c r="BG220" s="43">
        <f t="shared" si="523"/>
        <v>0</v>
      </c>
      <c r="BH220" s="43">
        <f t="shared" si="523"/>
        <v>0</v>
      </c>
      <c r="BI220" s="43">
        <f t="shared" si="523"/>
        <v>0</v>
      </c>
      <c r="BJ220" s="43">
        <f t="shared" si="523"/>
        <v>0</v>
      </c>
      <c r="BK220" s="43">
        <f t="shared" si="523"/>
        <v>4485</v>
      </c>
      <c r="BL220" s="43">
        <f t="shared" si="523"/>
        <v>0</v>
      </c>
      <c r="BM220" s="43">
        <f t="shared" si="523"/>
        <v>4485</v>
      </c>
      <c r="BN220" s="43">
        <f t="shared" si="523"/>
        <v>0</v>
      </c>
      <c r="BO220" s="43">
        <f t="shared" si="523"/>
        <v>0</v>
      </c>
      <c r="BP220" s="43">
        <f t="shared" si="523"/>
        <v>2765.5576099999998</v>
      </c>
      <c r="BQ220" s="43">
        <f t="shared" si="523"/>
        <v>0</v>
      </c>
      <c r="BR220" s="43">
        <f t="shared" si="523"/>
        <v>2765.5576099999998</v>
      </c>
      <c r="BS220" s="43">
        <f t="shared" si="523"/>
        <v>0</v>
      </c>
      <c r="BT220" s="43">
        <f t="shared" si="523"/>
        <v>0</v>
      </c>
      <c r="BU220" s="45">
        <f t="shared" si="523"/>
        <v>1546.6913099999999</v>
      </c>
      <c r="BV220" s="304">
        <f t="shared" si="523"/>
        <v>0</v>
      </c>
      <c r="BW220" s="304">
        <f t="shared" si="523"/>
        <v>1546.6913099999999</v>
      </c>
      <c r="BX220" s="304">
        <f t="shared" si="523"/>
        <v>0</v>
      </c>
      <c r="BY220" s="43">
        <f t="shared" si="523"/>
        <v>0</v>
      </c>
      <c r="BZ220" s="43">
        <f t="shared" si="523"/>
        <v>4312.24892</v>
      </c>
      <c r="CA220" s="43">
        <f t="shared" si="474"/>
        <v>4312.24892</v>
      </c>
      <c r="CB220" s="43">
        <f t="shared" si="475"/>
        <v>0</v>
      </c>
      <c r="CC220" s="43">
        <f t="shared" si="476"/>
        <v>4312.24892</v>
      </c>
      <c r="CD220" s="43">
        <f t="shared" si="477"/>
        <v>0</v>
      </c>
      <c r="CE220" s="43">
        <f t="shared" si="523"/>
        <v>0</v>
      </c>
      <c r="CF220" s="43">
        <f t="shared" si="478"/>
        <v>1719.4423900000002</v>
      </c>
      <c r="CG220" s="43">
        <f t="shared" si="479"/>
        <v>0</v>
      </c>
      <c r="CH220" s="43">
        <f t="shared" si="480"/>
        <v>1719.4423900000002</v>
      </c>
      <c r="CI220" s="43">
        <f t="shared" si="481"/>
        <v>0</v>
      </c>
      <c r="CJ220" s="43">
        <f t="shared" si="523"/>
        <v>0</v>
      </c>
      <c r="CK220" s="46">
        <f>CL220+CN220-BF220</f>
        <v>4485</v>
      </c>
      <c r="CL220" s="47">
        <f t="shared" ref="CL220:DF220" si="524">SUM(CL221:CL229)-CL222</f>
        <v>4485</v>
      </c>
      <c r="CM220" s="47">
        <f t="shared" si="524"/>
        <v>4485</v>
      </c>
      <c r="CN220" s="43">
        <f t="shared" si="524"/>
        <v>0</v>
      </c>
      <c r="CO220" s="43">
        <f t="shared" si="524"/>
        <v>0</v>
      </c>
      <c r="CP220" s="43">
        <f t="shared" si="524"/>
        <v>0</v>
      </c>
      <c r="CQ220" s="43">
        <f t="shared" si="524"/>
        <v>0</v>
      </c>
      <c r="CR220" s="43">
        <f t="shared" si="524"/>
        <v>0</v>
      </c>
      <c r="CS220" s="43">
        <f t="shared" si="524"/>
        <v>0</v>
      </c>
      <c r="CT220" s="43">
        <f t="shared" si="524"/>
        <v>0</v>
      </c>
      <c r="CU220" s="43">
        <f t="shared" si="524"/>
        <v>0</v>
      </c>
      <c r="CV220" s="43">
        <f t="shared" si="524"/>
        <v>0</v>
      </c>
      <c r="CW220" s="43">
        <f t="shared" si="524"/>
        <v>0</v>
      </c>
      <c r="CX220" s="43">
        <f t="shared" si="524"/>
        <v>0</v>
      </c>
      <c r="CY220" s="43">
        <f t="shared" si="524"/>
        <v>0</v>
      </c>
      <c r="CZ220" s="43">
        <f t="shared" si="524"/>
        <v>0</v>
      </c>
      <c r="DA220" s="43">
        <f t="shared" si="524"/>
        <v>0</v>
      </c>
      <c r="DB220" s="43">
        <f t="shared" si="524"/>
        <v>0</v>
      </c>
      <c r="DC220" s="43">
        <f t="shared" si="524"/>
        <v>0</v>
      </c>
      <c r="DD220" s="43">
        <f t="shared" si="524"/>
        <v>0</v>
      </c>
      <c r="DE220" s="43">
        <f t="shared" si="524"/>
        <v>0</v>
      </c>
      <c r="DF220" s="43">
        <f t="shared" si="524"/>
        <v>1719.4423900000002</v>
      </c>
      <c r="DH220" s="43">
        <f>SUM(DH221:DH229)-DH222</f>
        <v>4485</v>
      </c>
      <c r="DI220" s="43">
        <f>SUM(DI221:DI229)-DI222</f>
        <v>2765.5576099999998</v>
      </c>
      <c r="DK220" s="43">
        <f>SUM(DK221:DK229)-DK222</f>
        <v>2765.5576099999998</v>
      </c>
      <c r="DL220" s="43">
        <f>SUM(DL221:DL229)-DL222</f>
        <v>1719.4423900000002</v>
      </c>
      <c r="DN220" s="43">
        <f>SUM(DN221:DN229)-DN222</f>
        <v>1719.4423899999999</v>
      </c>
      <c r="DO220" s="49">
        <f>DF220-DN220</f>
        <v>0</v>
      </c>
      <c r="DP220" s="49"/>
      <c r="DQ220" s="43">
        <f>SUM(DQ221:DQ229)-DQ222</f>
        <v>2765.5576099999998</v>
      </c>
      <c r="DR220" s="43">
        <f t="shared" ref="DR220:DU220" si="525">SUM(DR221:DR229)-DR222</f>
        <v>0</v>
      </c>
      <c r="DS220" s="43">
        <f t="shared" si="525"/>
        <v>2765.5576099999998</v>
      </c>
      <c r="DT220" s="43">
        <f t="shared" si="525"/>
        <v>0</v>
      </c>
      <c r="DU220" s="43">
        <f t="shared" si="525"/>
        <v>0</v>
      </c>
      <c r="DV220" s="43">
        <f>SUM(DV221:DV229)-DV222</f>
        <v>761.94255999999996</v>
      </c>
      <c r="DW220" s="43">
        <f t="shared" ref="DW220:DZ220" si="526">SUM(DW221:DW229)-DW222</f>
        <v>0</v>
      </c>
      <c r="DX220" s="43">
        <f t="shared" si="526"/>
        <v>761.94255999999996</v>
      </c>
      <c r="DY220" s="43">
        <f t="shared" si="526"/>
        <v>0</v>
      </c>
      <c r="DZ220" s="43">
        <f t="shared" si="526"/>
        <v>0</v>
      </c>
      <c r="EA220" s="372"/>
      <c r="EB220" s="372"/>
      <c r="EC220" s="372"/>
      <c r="ED220" s="372"/>
      <c r="EE220" s="372"/>
      <c r="EF220" s="372"/>
      <c r="EG220" s="372"/>
      <c r="EH220" s="372"/>
      <c r="EI220" s="372"/>
      <c r="EJ220" s="372"/>
      <c r="EK220" s="372"/>
      <c r="EL220" s="372"/>
      <c r="EM220" s="372"/>
      <c r="EN220" s="372"/>
      <c r="EO220" s="372"/>
      <c r="EP220" s="372"/>
      <c r="EQ220" s="372"/>
      <c r="ER220" s="372"/>
      <c r="ES220" s="372"/>
      <c r="ET220" s="372"/>
      <c r="EU220" s="372"/>
      <c r="EV220" s="372"/>
      <c r="EW220" s="372"/>
      <c r="EX220" s="372"/>
      <c r="EY220" s="372"/>
      <c r="EZ220" s="372"/>
      <c r="FA220" s="372"/>
      <c r="FB220" s="372"/>
      <c r="FC220" s="372"/>
      <c r="FD220" s="372"/>
      <c r="FE220" s="372"/>
      <c r="FF220" s="372"/>
      <c r="FG220" s="372"/>
      <c r="FH220" s="372"/>
      <c r="FI220" s="372"/>
      <c r="FJ220" s="372"/>
      <c r="FK220" s="372"/>
      <c r="FL220" s="372"/>
      <c r="FM220" s="372"/>
      <c r="FN220" s="372"/>
      <c r="FO220" s="372"/>
      <c r="FP220" s="372"/>
      <c r="FQ220" s="372"/>
      <c r="FR220" s="372"/>
      <c r="FS220" s="372"/>
      <c r="FT220" s="372"/>
      <c r="FU220" s="372"/>
      <c r="FV220" s="372"/>
      <c r="FW220" s="372"/>
      <c r="FX220" s="372"/>
      <c r="FY220" s="372"/>
      <c r="FZ220" s="372"/>
      <c r="GA220" s="372"/>
      <c r="GB220" s="372"/>
      <c r="GC220" s="372"/>
      <c r="GD220" s="372"/>
      <c r="GE220" s="372"/>
      <c r="GF220" s="372"/>
      <c r="GG220" s="372"/>
      <c r="GH220" s="372"/>
      <c r="GI220" s="372"/>
      <c r="GJ220" s="372"/>
      <c r="GK220" s="372"/>
      <c r="GL220" s="372"/>
      <c r="GM220" s="372"/>
      <c r="GN220" s="372"/>
      <c r="GO220" s="372"/>
      <c r="GP220" s="372"/>
      <c r="GQ220" s="372"/>
      <c r="GR220" s="372"/>
    </row>
    <row r="221" spans="1:200" s="59" customFormat="1" ht="15.75" hidden="1" customHeight="1" x14ac:dyDescent="0.3">
      <c r="A221" s="3"/>
      <c r="B221" s="272">
        <v>1</v>
      </c>
      <c r="C221" s="273"/>
      <c r="D221" s="273"/>
      <c r="E221" s="1">
        <v>186</v>
      </c>
      <c r="F221" s="272"/>
      <c r="G221" s="273"/>
      <c r="H221" s="273"/>
      <c r="I221" s="3"/>
      <c r="J221" s="3"/>
      <c r="K221" s="3"/>
      <c r="L221" s="3"/>
      <c r="M221" s="1"/>
      <c r="N221" s="315" t="s">
        <v>242</v>
      </c>
      <c r="O221" s="110"/>
      <c r="P221" s="110"/>
      <c r="Q221" s="25">
        <f t="shared" si="482"/>
        <v>0</v>
      </c>
      <c r="R221" s="25">
        <f t="shared" si="483"/>
        <v>0</v>
      </c>
      <c r="S221" s="25">
        <f t="shared" si="484"/>
        <v>0</v>
      </c>
      <c r="T221" s="110"/>
      <c r="U221" s="110"/>
      <c r="V221" s="25">
        <f t="shared" ref="V221:V229" si="527">W221+X221+Y221+Z221</f>
        <v>0</v>
      </c>
      <c r="W221" s="25"/>
      <c r="X221" s="54"/>
      <c r="Y221" s="25"/>
      <c r="Z221" s="21"/>
      <c r="AA221" s="25">
        <f t="shared" ref="AA221:AA229" si="528">AB221+AC221+AD221+AE221</f>
        <v>0</v>
      </c>
      <c r="AB221" s="25"/>
      <c r="AC221" s="54"/>
      <c r="AD221" s="25"/>
      <c r="AE221" s="21"/>
      <c r="AF221" s="25">
        <f t="shared" ref="AF221:AF229" si="529">AG221+AH221+AI221+AJ221</f>
        <v>0</v>
      </c>
      <c r="AG221" s="25"/>
      <c r="AH221" s="54"/>
      <c r="AI221" s="25"/>
      <c r="AJ221" s="21"/>
      <c r="AK221" s="25">
        <f t="shared" ref="AK221:AK229" si="530">AL221+AM221+AN221+AO221</f>
        <v>0</v>
      </c>
      <c r="AL221" s="25"/>
      <c r="AM221" s="54"/>
      <c r="AN221" s="25"/>
      <c r="AO221" s="25"/>
      <c r="AP221" s="25"/>
      <c r="AQ221" s="25">
        <f t="shared" ref="AQ221:AQ229" si="531">AR221+AS221+AT221+AU221</f>
        <v>0</v>
      </c>
      <c r="AR221" s="25"/>
      <c r="AS221" s="25"/>
      <c r="AT221" s="25"/>
      <c r="AU221" s="25"/>
      <c r="AV221" s="25">
        <f t="shared" si="470"/>
        <v>0</v>
      </c>
      <c r="AW221" s="25">
        <f t="shared" si="471"/>
        <v>0</v>
      </c>
      <c r="AX221" s="25">
        <f t="shared" si="472"/>
        <v>0</v>
      </c>
      <c r="AY221" s="25">
        <f t="shared" si="473"/>
        <v>0</v>
      </c>
      <c r="AZ221" s="25" t="e">
        <f>#REF!-AU221</f>
        <v>#REF!</v>
      </c>
      <c r="BA221" s="25">
        <f t="shared" ref="BA221:BA229" si="532">BB221+BC221+BD221+BE221</f>
        <v>0</v>
      </c>
      <c r="BB221" s="25"/>
      <c r="BC221" s="25"/>
      <c r="BD221" s="25"/>
      <c r="BE221" s="25"/>
      <c r="BF221" s="25">
        <f t="shared" ref="BF221:BF229" si="533">BG221+BH221+BI221+BJ221</f>
        <v>0</v>
      </c>
      <c r="BG221" s="25"/>
      <c r="BH221" s="25"/>
      <c r="BI221" s="25"/>
      <c r="BJ221" s="25"/>
      <c r="BK221" s="111">
        <f t="shared" ref="BK221:BK229" si="534">BL221+BM221+BN221+BO221</f>
        <v>0</v>
      </c>
      <c r="BL221" s="111"/>
      <c r="BM221" s="111"/>
      <c r="BN221" s="111"/>
      <c r="BO221" s="111"/>
      <c r="BP221" s="25">
        <f t="shared" ref="BP221:BP229" si="535">BQ221+BR221+BS221+BT221</f>
        <v>0</v>
      </c>
      <c r="BQ221" s="25"/>
      <c r="BR221" s="25"/>
      <c r="BS221" s="25"/>
      <c r="BT221" s="25"/>
      <c r="BU221" s="25">
        <f t="shared" ref="BU221:BU229" si="536">BV221+BW221+BX221+BY221</f>
        <v>0</v>
      </c>
      <c r="BV221" s="64"/>
      <c r="BW221" s="64"/>
      <c r="BX221" s="64"/>
      <c r="BY221" s="25"/>
      <c r="BZ221" s="21">
        <f t="shared" ref="BZ221:BZ229" si="537">CA221</f>
        <v>0</v>
      </c>
      <c r="CA221" s="25">
        <f t="shared" si="474"/>
        <v>0</v>
      </c>
      <c r="CB221" s="25">
        <f t="shared" si="475"/>
        <v>0</v>
      </c>
      <c r="CC221" s="25">
        <f t="shared" si="476"/>
        <v>0</v>
      </c>
      <c r="CD221" s="25">
        <f t="shared" si="477"/>
        <v>0</v>
      </c>
      <c r="CE221" s="25">
        <f t="shared" ref="CE221:CE229" si="538">BT221+BY221</f>
        <v>0</v>
      </c>
      <c r="CF221" s="25">
        <f t="shared" si="478"/>
        <v>0</v>
      </c>
      <c r="CG221" s="25">
        <f t="shared" si="479"/>
        <v>0</v>
      </c>
      <c r="CH221" s="25">
        <f t="shared" si="480"/>
        <v>0</v>
      </c>
      <c r="CI221" s="25">
        <f t="shared" si="481"/>
        <v>0</v>
      </c>
      <c r="CJ221" s="25">
        <f t="shared" ref="CJ221:CJ229" si="539">BO221-BT221</f>
        <v>0</v>
      </c>
      <c r="CK221" s="57"/>
      <c r="CL221" s="58">
        <f>BA221</f>
        <v>0</v>
      </c>
      <c r="CM221" s="58">
        <f>CL221</f>
        <v>0</v>
      </c>
      <c r="CN221" s="25">
        <f t="shared" ref="CN221:CN229" si="540">CO221+CP221+CQ221+CR221</f>
        <v>0</v>
      </c>
      <c r="CO221" s="25"/>
      <c r="CP221" s="25"/>
      <c r="CQ221" s="25"/>
      <c r="CR221" s="25"/>
      <c r="CS221" s="25">
        <f t="shared" ref="CS221:CS229" si="541">CT221+CU221+CV221+CW221</f>
        <v>0</v>
      </c>
      <c r="CT221" s="25"/>
      <c r="CU221" s="25"/>
      <c r="CV221" s="25"/>
      <c r="CW221" s="25"/>
      <c r="CX221" s="25">
        <f t="shared" ref="CX221:CX229" si="542">CY221+CZ221+DA221+DB221</f>
        <v>0</v>
      </c>
      <c r="CY221" s="25"/>
      <c r="CZ221" s="25"/>
      <c r="DA221" s="25"/>
      <c r="DB221" s="25"/>
      <c r="DC221" s="25"/>
      <c r="DD221" s="25"/>
      <c r="DE221" s="25"/>
      <c r="DF221" s="25">
        <f t="shared" ref="DF221:DF229" si="543">CF221+CX221+DE221</f>
        <v>0</v>
      </c>
      <c r="DH221" s="25">
        <f t="shared" ref="DH221:DH229" si="544">BK221+CN221+DC221</f>
        <v>0</v>
      </c>
      <c r="DI221" s="25">
        <f t="shared" ref="DI221:DI229" si="545">BP221+CS221+DD221</f>
        <v>0</v>
      </c>
      <c r="DK221" s="25">
        <f t="shared" ref="DK221:DK222" si="546">DI221</f>
        <v>0</v>
      </c>
      <c r="DL221" s="25">
        <f t="shared" ref="DL221:DL222" si="547">DF221</f>
        <v>0</v>
      </c>
      <c r="DN221" s="25">
        <f>CM221-DK221</f>
        <v>0</v>
      </c>
      <c r="DQ221" s="25">
        <f t="shared" ref="DQ221:DQ229" si="548">DR221+DS221+DT221+DU221</f>
        <v>0</v>
      </c>
      <c r="DR221" s="25"/>
      <c r="DS221" s="25"/>
      <c r="DT221" s="25"/>
      <c r="DU221" s="25"/>
      <c r="DV221" s="25">
        <f t="shared" ref="DV221:DV229" si="549">DW221+DX221+DY221+DZ221</f>
        <v>0</v>
      </c>
      <c r="DW221" s="25"/>
      <c r="DX221" s="25"/>
      <c r="DY221" s="25"/>
      <c r="DZ221" s="25"/>
      <c r="EA221" s="372"/>
      <c r="EB221" s="372"/>
      <c r="EC221" s="372"/>
      <c r="ED221" s="372"/>
      <c r="EE221" s="372"/>
      <c r="EF221" s="372"/>
      <c r="EG221" s="372"/>
      <c r="EH221" s="372"/>
      <c r="EI221" s="372"/>
      <c r="EJ221" s="372"/>
      <c r="EK221" s="372"/>
      <c r="EL221" s="372"/>
      <c r="EM221" s="372"/>
      <c r="EN221" s="372"/>
      <c r="EO221" s="372"/>
      <c r="EP221" s="372"/>
      <c r="EQ221" s="372"/>
      <c r="ER221" s="372"/>
      <c r="ES221" s="372"/>
      <c r="ET221" s="372"/>
      <c r="EU221" s="372"/>
      <c r="EV221" s="372"/>
      <c r="EW221" s="372"/>
      <c r="EX221" s="372"/>
      <c r="EY221" s="372"/>
      <c r="EZ221" s="372"/>
      <c r="FA221" s="372"/>
      <c r="FB221" s="372"/>
      <c r="FC221" s="372"/>
      <c r="FD221" s="372"/>
      <c r="FE221" s="372"/>
      <c r="FF221" s="372"/>
      <c r="FG221" s="372"/>
      <c r="FH221" s="372"/>
      <c r="FI221" s="372"/>
      <c r="FJ221" s="372"/>
      <c r="FK221" s="372"/>
      <c r="FL221" s="372"/>
      <c r="FM221" s="372"/>
      <c r="FN221" s="372"/>
      <c r="FO221" s="372"/>
      <c r="FP221" s="372"/>
      <c r="FQ221" s="372"/>
      <c r="FR221" s="372"/>
      <c r="FS221" s="372"/>
      <c r="FT221" s="372"/>
      <c r="FU221" s="372"/>
      <c r="FV221" s="372"/>
      <c r="FW221" s="372"/>
      <c r="FX221" s="372"/>
      <c r="FY221" s="372"/>
      <c r="FZ221" s="372"/>
      <c r="GA221" s="372"/>
      <c r="GB221" s="372"/>
      <c r="GC221" s="372"/>
      <c r="GD221" s="372"/>
      <c r="GE221" s="372"/>
      <c r="GF221" s="372"/>
      <c r="GG221" s="372"/>
      <c r="GH221" s="372"/>
      <c r="GI221" s="372"/>
      <c r="GJ221" s="372"/>
      <c r="GK221" s="372"/>
      <c r="GL221" s="372"/>
      <c r="GM221" s="372"/>
      <c r="GN221" s="372"/>
      <c r="GO221" s="372"/>
      <c r="GP221" s="372"/>
      <c r="GQ221" s="372"/>
      <c r="GR221" s="372"/>
    </row>
    <row r="222" spans="1:200" s="59" customFormat="1" ht="15.75" hidden="1" customHeight="1" x14ac:dyDescent="0.3">
      <c r="A222" s="3"/>
      <c r="B222" s="272"/>
      <c r="C222" s="273"/>
      <c r="D222" s="273"/>
      <c r="E222" s="1"/>
      <c r="F222" s="272"/>
      <c r="G222" s="273"/>
      <c r="H222" s="273"/>
      <c r="I222" s="3"/>
      <c r="J222" s="3"/>
      <c r="K222" s="3"/>
      <c r="L222" s="3"/>
      <c r="M222" s="1"/>
      <c r="N222" s="112" t="s">
        <v>249</v>
      </c>
      <c r="O222" s="113"/>
      <c r="P222" s="113"/>
      <c r="Q222" s="101">
        <f t="shared" si="482"/>
        <v>0</v>
      </c>
      <c r="R222" s="101">
        <f t="shared" si="483"/>
        <v>0</v>
      </c>
      <c r="S222" s="101">
        <f t="shared" si="484"/>
        <v>0</v>
      </c>
      <c r="T222" s="113"/>
      <c r="U222" s="113"/>
      <c r="V222" s="25">
        <f t="shared" si="527"/>
        <v>0</v>
      </c>
      <c r="W222" s="25"/>
      <c r="X222" s="54"/>
      <c r="Y222" s="25"/>
      <c r="Z222" s="21"/>
      <c r="AA222" s="25">
        <f t="shared" si="528"/>
        <v>0</v>
      </c>
      <c r="AB222" s="25"/>
      <c r="AC222" s="54"/>
      <c r="AD222" s="25"/>
      <c r="AE222" s="21"/>
      <c r="AF222" s="25">
        <f t="shared" si="529"/>
        <v>0</v>
      </c>
      <c r="AG222" s="25"/>
      <c r="AH222" s="54"/>
      <c r="AI222" s="25"/>
      <c r="AJ222" s="21"/>
      <c r="AK222" s="25">
        <f t="shared" si="530"/>
        <v>0</v>
      </c>
      <c r="AL222" s="25"/>
      <c r="AM222" s="54"/>
      <c r="AN222" s="25"/>
      <c r="AO222" s="25"/>
      <c r="AP222" s="25"/>
      <c r="AQ222" s="25">
        <f t="shared" si="531"/>
        <v>0</v>
      </c>
      <c r="AR222" s="25"/>
      <c r="AS222" s="25"/>
      <c r="AT222" s="25"/>
      <c r="AU222" s="25"/>
      <c r="AV222" s="25">
        <f t="shared" si="470"/>
        <v>0</v>
      </c>
      <c r="AW222" s="25">
        <f t="shared" si="471"/>
        <v>0</v>
      </c>
      <c r="AX222" s="25">
        <f t="shared" si="472"/>
        <v>0</v>
      </c>
      <c r="AY222" s="25">
        <f t="shared" si="473"/>
        <v>0</v>
      </c>
      <c r="AZ222" s="25" t="e">
        <f>#REF!-AU222</f>
        <v>#REF!</v>
      </c>
      <c r="BA222" s="25">
        <f t="shared" si="532"/>
        <v>0</v>
      </c>
      <c r="BB222" s="25"/>
      <c r="BC222" s="25"/>
      <c r="BD222" s="25"/>
      <c r="BE222" s="25"/>
      <c r="BF222" s="25">
        <f t="shared" si="533"/>
        <v>0</v>
      </c>
      <c r="BG222" s="25"/>
      <c r="BH222" s="25"/>
      <c r="BI222" s="25"/>
      <c r="BJ222" s="25"/>
      <c r="BK222" s="111">
        <f t="shared" si="534"/>
        <v>0</v>
      </c>
      <c r="BL222" s="111"/>
      <c r="BM222" s="111"/>
      <c r="BN222" s="111"/>
      <c r="BO222" s="111"/>
      <c r="BP222" s="25">
        <f t="shared" si="535"/>
        <v>0</v>
      </c>
      <c r="BQ222" s="25"/>
      <c r="BR222" s="25"/>
      <c r="BS222" s="25"/>
      <c r="BT222" s="25"/>
      <c r="BU222" s="25">
        <f t="shared" si="536"/>
        <v>0</v>
      </c>
      <c r="BV222" s="64"/>
      <c r="BW222" s="64"/>
      <c r="BX222" s="64"/>
      <c r="BY222" s="25"/>
      <c r="BZ222" s="21">
        <f t="shared" si="537"/>
        <v>0</v>
      </c>
      <c r="CA222" s="25">
        <f t="shared" si="474"/>
        <v>0</v>
      </c>
      <c r="CB222" s="25">
        <f t="shared" si="475"/>
        <v>0</v>
      </c>
      <c r="CC222" s="25">
        <f t="shared" si="476"/>
        <v>0</v>
      </c>
      <c r="CD222" s="25">
        <f t="shared" si="477"/>
        <v>0</v>
      </c>
      <c r="CE222" s="25">
        <f t="shared" si="538"/>
        <v>0</v>
      </c>
      <c r="CF222" s="25">
        <f t="shared" si="478"/>
        <v>0</v>
      </c>
      <c r="CG222" s="25">
        <f t="shared" si="479"/>
        <v>0</v>
      </c>
      <c r="CH222" s="25">
        <f t="shared" si="480"/>
        <v>0</v>
      </c>
      <c r="CI222" s="25">
        <f t="shared" si="481"/>
        <v>0</v>
      </c>
      <c r="CJ222" s="25">
        <f t="shared" si="539"/>
        <v>0</v>
      </c>
      <c r="CK222" s="57"/>
      <c r="CL222" s="58"/>
      <c r="CM222" s="58"/>
      <c r="CN222" s="25">
        <f t="shared" si="540"/>
        <v>0</v>
      </c>
      <c r="CO222" s="25"/>
      <c r="CP222" s="25"/>
      <c r="CQ222" s="25"/>
      <c r="CR222" s="25"/>
      <c r="CS222" s="25">
        <f t="shared" si="541"/>
        <v>0</v>
      </c>
      <c r="CT222" s="25"/>
      <c r="CU222" s="25"/>
      <c r="CV222" s="25"/>
      <c r="CW222" s="25"/>
      <c r="CX222" s="25">
        <f t="shared" si="542"/>
        <v>0</v>
      </c>
      <c r="CY222" s="25"/>
      <c r="CZ222" s="25"/>
      <c r="DA222" s="25"/>
      <c r="DB222" s="25"/>
      <c r="DC222" s="25"/>
      <c r="DD222" s="25"/>
      <c r="DE222" s="25"/>
      <c r="DF222" s="25">
        <f t="shared" si="543"/>
        <v>0</v>
      </c>
      <c r="DH222" s="25">
        <f t="shared" si="544"/>
        <v>0</v>
      </c>
      <c r="DI222" s="25">
        <f t="shared" si="545"/>
        <v>0</v>
      </c>
      <c r="DK222" s="25">
        <f t="shared" si="546"/>
        <v>0</v>
      </c>
      <c r="DL222" s="25">
        <f t="shared" si="547"/>
        <v>0</v>
      </c>
      <c r="DN222" s="25"/>
      <c r="DQ222" s="25">
        <f t="shared" si="548"/>
        <v>0</v>
      </c>
      <c r="DR222" s="25"/>
      <c r="DS222" s="25"/>
      <c r="DT222" s="25"/>
      <c r="DU222" s="25"/>
      <c r="DV222" s="25">
        <f t="shared" si="549"/>
        <v>0</v>
      </c>
      <c r="DW222" s="25"/>
      <c r="DX222" s="25"/>
      <c r="DY222" s="25"/>
      <c r="DZ222" s="25"/>
      <c r="EA222" s="372"/>
      <c r="EB222" s="372"/>
      <c r="EC222" s="372"/>
      <c r="ED222" s="372"/>
      <c r="EE222" s="372"/>
      <c r="EF222" s="372"/>
      <c r="EG222" s="372"/>
      <c r="EH222" s="372"/>
      <c r="EI222" s="372"/>
      <c r="EJ222" s="372"/>
      <c r="EK222" s="372"/>
      <c r="EL222" s="372"/>
      <c r="EM222" s="372"/>
      <c r="EN222" s="372"/>
      <c r="EO222" s="372"/>
      <c r="EP222" s="372"/>
      <c r="EQ222" s="372"/>
      <c r="ER222" s="372"/>
      <c r="ES222" s="372"/>
      <c r="ET222" s="372"/>
      <c r="EU222" s="372"/>
      <c r="EV222" s="372"/>
      <c r="EW222" s="372"/>
      <c r="EX222" s="372"/>
      <c r="EY222" s="372"/>
      <c r="EZ222" s="372"/>
      <c r="FA222" s="372"/>
      <c r="FB222" s="372"/>
      <c r="FC222" s="372"/>
      <c r="FD222" s="372"/>
      <c r="FE222" s="372"/>
      <c r="FF222" s="372"/>
      <c r="FG222" s="372"/>
      <c r="FH222" s="372"/>
      <c r="FI222" s="372"/>
      <c r="FJ222" s="372"/>
      <c r="FK222" s="372"/>
      <c r="FL222" s="372"/>
      <c r="FM222" s="372"/>
      <c r="FN222" s="372"/>
      <c r="FO222" s="372"/>
      <c r="FP222" s="372"/>
      <c r="FQ222" s="372"/>
      <c r="FR222" s="372"/>
      <c r="FS222" s="372"/>
      <c r="FT222" s="372"/>
      <c r="FU222" s="372"/>
      <c r="FV222" s="372"/>
      <c r="FW222" s="372"/>
      <c r="FX222" s="372"/>
      <c r="FY222" s="372"/>
      <c r="FZ222" s="372"/>
      <c r="GA222" s="372"/>
      <c r="GB222" s="372"/>
      <c r="GC222" s="372"/>
      <c r="GD222" s="372"/>
      <c r="GE222" s="372"/>
      <c r="GF222" s="372"/>
      <c r="GG222" s="372"/>
      <c r="GH222" s="372"/>
      <c r="GI222" s="372"/>
      <c r="GJ222" s="372"/>
      <c r="GK222" s="372"/>
      <c r="GL222" s="372"/>
      <c r="GM222" s="372"/>
      <c r="GN222" s="372"/>
      <c r="GO222" s="372"/>
      <c r="GP222" s="372"/>
      <c r="GQ222" s="372"/>
      <c r="GR222" s="372"/>
    </row>
    <row r="223" spans="1:200" s="61" customFormat="1" ht="15.75" customHeight="1" x14ac:dyDescent="0.3">
      <c r="A223" s="280"/>
      <c r="B223" s="281"/>
      <c r="C223" s="282"/>
      <c r="D223" s="282">
        <v>1</v>
      </c>
      <c r="E223" s="4">
        <v>187</v>
      </c>
      <c r="F223" s="281"/>
      <c r="G223" s="282"/>
      <c r="H223" s="282"/>
      <c r="I223" s="4"/>
      <c r="J223" s="283"/>
      <c r="K223" s="283"/>
      <c r="L223" s="286"/>
      <c r="M223" s="4">
        <v>183</v>
      </c>
      <c r="N223" s="62" t="s">
        <v>146</v>
      </c>
      <c r="O223" s="62" t="s">
        <v>450</v>
      </c>
      <c r="P223" s="62" t="s">
        <v>448</v>
      </c>
      <c r="Q223" s="60">
        <f t="shared" si="482"/>
        <v>0</v>
      </c>
      <c r="R223" s="60">
        <f t="shared" si="483"/>
        <v>0.20000000000004547</v>
      </c>
      <c r="S223" s="60">
        <f t="shared" si="484"/>
        <v>0</v>
      </c>
      <c r="T223" s="60">
        <v>1</v>
      </c>
      <c r="U223" s="60">
        <v>2</v>
      </c>
      <c r="V223" s="64">
        <f t="shared" si="527"/>
        <v>464.6</v>
      </c>
      <c r="W223" s="64"/>
      <c r="X223" s="65">
        <v>464.6</v>
      </c>
      <c r="Y223" s="64"/>
      <c r="Z223" s="73"/>
      <c r="AA223" s="64">
        <f t="shared" si="528"/>
        <v>464.6</v>
      </c>
      <c r="AB223" s="64"/>
      <c r="AC223" s="65">
        <v>464.6</v>
      </c>
      <c r="AD223" s="64"/>
      <c r="AE223" s="73"/>
      <c r="AF223" s="64">
        <f t="shared" si="529"/>
        <v>464.6</v>
      </c>
      <c r="AG223" s="64"/>
      <c r="AH223" s="65">
        <v>464.6</v>
      </c>
      <c r="AI223" s="64"/>
      <c r="AJ223" s="73"/>
      <c r="AK223" s="64">
        <f t="shared" si="530"/>
        <v>202</v>
      </c>
      <c r="AL223" s="64"/>
      <c r="AM223" s="65">
        <v>202</v>
      </c>
      <c r="AN223" s="64"/>
      <c r="AO223" s="73"/>
      <c r="AP223" s="64" t="s">
        <v>493</v>
      </c>
      <c r="AQ223" s="64">
        <f t="shared" si="531"/>
        <v>464.6</v>
      </c>
      <c r="AR223" s="64"/>
      <c r="AS223" s="65">
        <f>202+262.6</f>
        <v>464.6</v>
      </c>
      <c r="AT223" s="64"/>
      <c r="AU223" s="64"/>
      <c r="AV223" s="64">
        <f t="shared" si="470"/>
        <v>0</v>
      </c>
      <c r="AW223" s="64">
        <f t="shared" si="471"/>
        <v>0</v>
      </c>
      <c r="AX223" s="64">
        <f t="shared" si="472"/>
        <v>0</v>
      </c>
      <c r="AY223" s="64">
        <f t="shared" si="473"/>
        <v>0</v>
      </c>
      <c r="AZ223" s="64" t="e">
        <f>#REF!-AU223</f>
        <v>#REF!</v>
      </c>
      <c r="BA223" s="64">
        <f t="shared" si="532"/>
        <v>464.6</v>
      </c>
      <c r="BB223" s="64"/>
      <c r="BC223" s="65">
        <f>202+262.6</f>
        <v>464.6</v>
      </c>
      <c r="BD223" s="64"/>
      <c r="BE223" s="64"/>
      <c r="BF223" s="64">
        <f t="shared" si="533"/>
        <v>0</v>
      </c>
      <c r="BG223" s="64"/>
      <c r="BH223" s="64"/>
      <c r="BI223" s="64"/>
      <c r="BJ223" s="64"/>
      <c r="BK223" s="64">
        <f t="shared" si="534"/>
        <v>464.6</v>
      </c>
      <c r="BL223" s="64"/>
      <c r="BM223" s="65">
        <f>202+262.6</f>
        <v>464.6</v>
      </c>
      <c r="BN223" s="64"/>
      <c r="BO223" s="64"/>
      <c r="BP223" s="64">
        <f t="shared" si="535"/>
        <v>464.4</v>
      </c>
      <c r="BQ223" s="64"/>
      <c r="BR223" s="64">
        <f>262.4+202</f>
        <v>464.4</v>
      </c>
      <c r="BS223" s="64"/>
      <c r="BT223" s="64"/>
      <c r="BU223" s="64">
        <f t="shared" si="536"/>
        <v>402.20758999999998</v>
      </c>
      <c r="BV223" s="64"/>
      <c r="BW223" s="64">
        <f>272.70145+32.12494+97.3812</f>
        <v>402.20758999999998</v>
      </c>
      <c r="BX223" s="64"/>
      <c r="BY223" s="64"/>
      <c r="BZ223" s="60">
        <f t="shared" si="537"/>
        <v>866.60758999999996</v>
      </c>
      <c r="CA223" s="64">
        <f t="shared" si="474"/>
        <v>866.60758999999996</v>
      </c>
      <c r="CB223" s="64">
        <f t="shared" si="475"/>
        <v>0</v>
      </c>
      <c r="CC223" s="64">
        <f t="shared" si="476"/>
        <v>866.60758999999996</v>
      </c>
      <c r="CD223" s="64">
        <f t="shared" si="477"/>
        <v>0</v>
      </c>
      <c r="CE223" s="64">
        <f t="shared" si="538"/>
        <v>0</v>
      </c>
      <c r="CF223" s="64">
        <f t="shared" si="478"/>
        <v>0.20000000000004547</v>
      </c>
      <c r="CG223" s="64">
        <f t="shared" si="479"/>
        <v>0</v>
      </c>
      <c r="CH223" s="64">
        <f t="shared" si="480"/>
        <v>0.20000000000004547</v>
      </c>
      <c r="CI223" s="64">
        <f t="shared" si="481"/>
        <v>0</v>
      </c>
      <c r="CJ223" s="64">
        <f t="shared" si="539"/>
        <v>0</v>
      </c>
      <c r="CK223" s="66"/>
      <c r="CL223" s="67"/>
      <c r="CM223" s="67"/>
      <c r="CN223" s="64">
        <f t="shared" si="540"/>
        <v>0</v>
      </c>
      <c r="CO223" s="64"/>
      <c r="CP223" s="64"/>
      <c r="CQ223" s="64"/>
      <c r="CR223" s="64"/>
      <c r="CS223" s="64">
        <f t="shared" si="541"/>
        <v>0</v>
      </c>
      <c r="CT223" s="64"/>
      <c r="CU223" s="64"/>
      <c r="CV223" s="64"/>
      <c r="CW223" s="64"/>
      <c r="CX223" s="64">
        <f t="shared" si="542"/>
        <v>0</v>
      </c>
      <c r="CY223" s="64">
        <f t="shared" ref="CY223:DB229" si="550">CO223-CT223</f>
        <v>0</v>
      </c>
      <c r="CZ223" s="64">
        <f t="shared" si="550"/>
        <v>0</v>
      </c>
      <c r="DA223" s="64">
        <f t="shared" si="550"/>
        <v>0</v>
      </c>
      <c r="DB223" s="64">
        <f t="shared" si="550"/>
        <v>0</v>
      </c>
      <c r="DC223" s="64"/>
      <c r="DD223" s="64"/>
      <c r="DE223" s="64"/>
      <c r="DF223" s="64">
        <f t="shared" si="543"/>
        <v>0.20000000000004547</v>
      </c>
      <c r="DH223" s="64">
        <f t="shared" si="544"/>
        <v>464.6</v>
      </c>
      <c r="DI223" s="64">
        <f t="shared" si="545"/>
        <v>464.4</v>
      </c>
      <c r="DK223" s="64"/>
      <c r="DL223" s="64"/>
      <c r="DN223" s="64"/>
      <c r="DQ223" s="64">
        <f t="shared" si="548"/>
        <v>464.4</v>
      </c>
      <c r="DR223" s="64"/>
      <c r="DS223" s="64">
        <f>262.4+202</f>
        <v>464.4</v>
      </c>
      <c r="DT223" s="64"/>
      <c r="DU223" s="64"/>
      <c r="DV223" s="64">
        <f t="shared" si="549"/>
        <v>402.20758999999998</v>
      </c>
      <c r="DW223" s="64"/>
      <c r="DX223" s="64">
        <v>402.20758999999998</v>
      </c>
      <c r="DY223" s="64"/>
      <c r="DZ223" s="64"/>
      <c r="EA223" s="375"/>
      <c r="EB223" s="375"/>
      <c r="EC223" s="375"/>
      <c r="ED223" s="375"/>
      <c r="EE223" s="375"/>
      <c r="EF223" s="375"/>
      <c r="EG223" s="375"/>
      <c r="EH223" s="375"/>
      <c r="EI223" s="375"/>
      <c r="EJ223" s="375"/>
      <c r="EK223" s="375"/>
      <c r="EL223" s="375"/>
      <c r="EM223" s="375"/>
      <c r="EN223" s="375"/>
      <c r="EO223" s="375"/>
      <c r="EP223" s="375"/>
      <c r="EQ223" s="375"/>
      <c r="ER223" s="375"/>
      <c r="ES223" s="375"/>
      <c r="ET223" s="375"/>
      <c r="EU223" s="375"/>
      <c r="EV223" s="375"/>
      <c r="EW223" s="375"/>
      <c r="EX223" s="375"/>
      <c r="EY223" s="375"/>
      <c r="EZ223" s="375"/>
      <c r="FA223" s="375"/>
      <c r="FB223" s="375"/>
      <c r="FC223" s="375"/>
      <c r="FD223" s="375"/>
      <c r="FE223" s="375"/>
      <c r="FF223" s="375"/>
      <c r="FG223" s="375"/>
      <c r="FH223" s="375"/>
      <c r="FI223" s="375"/>
      <c r="FJ223" s="375"/>
      <c r="FK223" s="375"/>
      <c r="FL223" s="375"/>
      <c r="FM223" s="375"/>
      <c r="FN223" s="375"/>
      <c r="FO223" s="375"/>
      <c r="FP223" s="375"/>
      <c r="FQ223" s="375"/>
      <c r="FR223" s="375"/>
      <c r="FS223" s="375"/>
      <c r="FT223" s="375"/>
      <c r="FU223" s="375"/>
      <c r="FV223" s="375"/>
      <c r="FW223" s="375"/>
      <c r="FX223" s="375"/>
      <c r="FY223" s="375"/>
      <c r="FZ223" s="375"/>
      <c r="GA223" s="375"/>
      <c r="GB223" s="375"/>
      <c r="GC223" s="375"/>
      <c r="GD223" s="375"/>
      <c r="GE223" s="375"/>
      <c r="GF223" s="375"/>
      <c r="GG223" s="375"/>
      <c r="GH223" s="375"/>
      <c r="GI223" s="375"/>
      <c r="GJ223" s="375"/>
      <c r="GK223" s="375"/>
      <c r="GL223" s="375"/>
      <c r="GM223" s="375"/>
      <c r="GN223" s="375"/>
      <c r="GO223" s="375"/>
      <c r="GP223" s="375"/>
      <c r="GQ223" s="375"/>
      <c r="GR223" s="375"/>
    </row>
    <row r="224" spans="1:200" s="61" customFormat="1" ht="15.75" customHeight="1" x14ac:dyDescent="0.3">
      <c r="A224" s="280"/>
      <c r="B224" s="281"/>
      <c r="C224" s="282"/>
      <c r="D224" s="282">
        <v>1</v>
      </c>
      <c r="E224" s="4">
        <v>188</v>
      </c>
      <c r="F224" s="281"/>
      <c r="G224" s="282"/>
      <c r="H224" s="282"/>
      <c r="I224" s="280"/>
      <c r="J224" s="280"/>
      <c r="K224" s="280"/>
      <c r="L224" s="280"/>
      <c r="M224" s="4">
        <v>184</v>
      </c>
      <c r="N224" s="62" t="s">
        <v>147</v>
      </c>
      <c r="O224" s="62">
        <v>0</v>
      </c>
      <c r="P224" s="62" t="s">
        <v>448</v>
      </c>
      <c r="Q224" s="60">
        <f t="shared" si="482"/>
        <v>0</v>
      </c>
      <c r="R224" s="60">
        <f t="shared" si="483"/>
        <v>0</v>
      </c>
      <c r="S224" s="60">
        <f t="shared" si="484"/>
        <v>0</v>
      </c>
      <c r="T224" s="60"/>
      <c r="U224" s="60"/>
      <c r="V224" s="64">
        <f t="shared" si="527"/>
        <v>0</v>
      </c>
      <c r="W224" s="64"/>
      <c r="X224" s="65">
        <v>0</v>
      </c>
      <c r="Y224" s="64"/>
      <c r="Z224" s="60"/>
      <c r="AA224" s="64">
        <f t="shared" si="528"/>
        <v>0</v>
      </c>
      <c r="AB224" s="64"/>
      <c r="AC224" s="65">
        <v>0</v>
      </c>
      <c r="AD224" s="64"/>
      <c r="AE224" s="60"/>
      <c r="AF224" s="64">
        <f t="shared" si="529"/>
        <v>0</v>
      </c>
      <c r="AG224" s="64"/>
      <c r="AH224" s="65">
        <v>0</v>
      </c>
      <c r="AI224" s="64"/>
      <c r="AJ224" s="60"/>
      <c r="AK224" s="64">
        <f t="shared" si="530"/>
        <v>48</v>
      </c>
      <c r="AL224" s="64"/>
      <c r="AM224" s="65">
        <v>48</v>
      </c>
      <c r="AN224" s="64"/>
      <c r="AO224" s="64"/>
      <c r="AP224" s="64"/>
      <c r="AQ224" s="64">
        <f t="shared" si="531"/>
        <v>0</v>
      </c>
      <c r="AR224" s="64"/>
      <c r="AS224" s="65"/>
      <c r="AT224" s="64"/>
      <c r="AU224" s="64"/>
      <c r="AV224" s="64">
        <f t="shared" si="470"/>
        <v>0</v>
      </c>
      <c r="AW224" s="64">
        <f t="shared" si="471"/>
        <v>0</v>
      </c>
      <c r="AX224" s="64">
        <f t="shared" si="472"/>
        <v>0</v>
      </c>
      <c r="AY224" s="64">
        <f t="shared" si="473"/>
        <v>0</v>
      </c>
      <c r="AZ224" s="64" t="e">
        <f>#REF!-AU224</f>
        <v>#REF!</v>
      </c>
      <c r="BA224" s="64">
        <f t="shared" si="532"/>
        <v>0</v>
      </c>
      <c r="BB224" s="64"/>
      <c r="BC224" s="65"/>
      <c r="BD224" s="64"/>
      <c r="BE224" s="64"/>
      <c r="BF224" s="64">
        <f t="shared" si="533"/>
        <v>0</v>
      </c>
      <c r="BG224" s="64"/>
      <c r="BH224" s="64"/>
      <c r="BI224" s="64"/>
      <c r="BJ224" s="64"/>
      <c r="BK224" s="64">
        <f t="shared" si="534"/>
        <v>0</v>
      </c>
      <c r="BL224" s="64"/>
      <c r="BM224" s="74"/>
      <c r="BN224" s="64"/>
      <c r="BO224" s="64"/>
      <c r="BP224" s="64">
        <f t="shared" si="535"/>
        <v>0</v>
      </c>
      <c r="BQ224" s="64"/>
      <c r="BR224" s="64"/>
      <c r="BS224" s="64"/>
      <c r="BT224" s="64"/>
      <c r="BU224" s="64">
        <f t="shared" si="536"/>
        <v>0</v>
      </c>
      <c r="BV224" s="64"/>
      <c r="BW224" s="64"/>
      <c r="BX224" s="64"/>
      <c r="BY224" s="64"/>
      <c r="BZ224" s="60">
        <f t="shared" si="537"/>
        <v>0</v>
      </c>
      <c r="CA224" s="64">
        <f t="shared" si="474"/>
        <v>0</v>
      </c>
      <c r="CB224" s="64">
        <f t="shared" si="475"/>
        <v>0</v>
      </c>
      <c r="CC224" s="64">
        <f t="shared" si="476"/>
        <v>0</v>
      </c>
      <c r="CD224" s="64">
        <f t="shared" si="477"/>
        <v>0</v>
      </c>
      <c r="CE224" s="64">
        <f t="shared" si="538"/>
        <v>0</v>
      </c>
      <c r="CF224" s="64">
        <f t="shared" si="478"/>
        <v>0</v>
      </c>
      <c r="CG224" s="64">
        <f t="shared" si="479"/>
        <v>0</v>
      </c>
      <c r="CH224" s="64">
        <f t="shared" si="480"/>
        <v>0</v>
      </c>
      <c r="CI224" s="64">
        <f t="shared" si="481"/>
        <v>0</v>
      </c>
      <c r="CJ224" s="64">
        <f t="shared" si="539"/>
        <v>0</v>
      </c>
      <c r="CK224" s="66"/>
      <c r="CL224" s="67"/>
      <c r="CM224" s="67"/>
      <c r="CN224" s="64">
        <f t="shared" si="540"/>
        <v>0</v>
      </c>
      <c r="CO224" s="64"/>
      <c r="CP224" s="64"/>
      <c r="CQ224" s="64"/>
      <c r="CR224" s="64"/>
      <c r="CS224" s="64">
        <f t="shared" si="541"/>
        <v>0</v>
      </c>
      <c r="CT224" s="64"/>
      <c r="CU224" s="64"/>
      <c r="CV224" s="64"/>
      <c r="CW224" s="64"/>
      <c r="CX224" s="64">
        <f t="shared" si="542"/>
        <v>0</v>
      </c>
      <c r="CY224" s="64">
        <f t="shared" si="550"/>
        <v>0</v>
      </c>
      <c r="CZ224" s="64">
        <f t="shared" si="550"/>
        <v>0</v>
      </c>
      <c r="DA224" s="64">
        <f t="shared" si="550"/>
        <v>0</v>
      </c>
      <c r="DB224" s="64">
        <f t="shared" si="550"/>
        <v>0</v>
      </c>
      <c r="DC224" s="64"/>
      <c r="DD224" s="64"/>
      <c r="DE224" s="64"/>
      <c r="DF224" s="64">
        <f t="shared" si="543"/>
        <v>0</v>
      </c>
      <c r="DH224" s="64">
        <f t="shared" si="544"/>
        <v>0</v>
      </c>
      <c r="DI224" s="64">
        <f t="shared" si="545"/>
        <v>0</v>
      </c>
      <c r="DK224" s="64"/>
      <c r="DL224" s="64"/>
      <c r="DN224" s="64"/>
      <c r="DQ224" s="64">
        <f t="shared" si="548"/>
        <v>0</v>
      </c>
      <c r="DR224" s="64"/>
      <c r="DS224" s="64"/>
      <c r="DT224" s="64"/>
      <c r="DU224" s="64"/>
      <c r="DV224" s="64">
        <f t="shared" si="549"/>
        <v>0</v>
      </c>
      <c r="DW224" s="64"/>
      <c r="DX224" s="64"/>
      <c r="DY224" s="64"/>
      <c r="DZ224" s="64"/>
      <c r="EA224" s="375"/>
      <c r="EB224" s="375"/>
      <c r="EC224" s="375"/>
      <c r="ED224" s="375"/>
      <c r="EE224" s="375"/>
      <c r="EF224" s="375"/>
      <c r="EG224" s="375"/>
      <c r="EH224" s="375"/>
      <c r="EI224" s="375"/>
      <c r="EJ224" s="375"/>
      <c r="EK224" s="375"/>
      <c r="EL224" s="375"/>
      <c r="EM224" s="375"/>
      <c r="EN224" s="375"/>
      <c r="EO224" s="375"/>
      <c r="EP224" s="375"/>
      <c r="EQ224" s="375"/>
      <c r="ER224" s="375"/>
      <c r="ES224" s="375"/>
      <c r="ET224" s="375"/>
      <c r="EU224" s="375"/>
      <c r="EV224" s="375"/>
      <c r="EW224" s="375"/>
      <c r="EX224" s="375"/>
      <c r="EY224" s="375"/>
      <c r="EZ224" s="375"/>
      <c r="FA224" s="375"/>
      <c r="FB224" s="375"/>
      <c r="FC224" s="375"/>
      <c r="FD224" s="375"/>
      <c r="FE224" s="375"/>
      <c r="FF224" s="375"/>
      <c r="FG224" s="375"/>
      <c r="FH224" s="375"/>
      <c r="FI224" s="375"/>
      <c r="FJ224" s="375"/>
      <c r="FK224" s="375"/>
      <c r="FL224" s="375"/>
      <c r="FM224" s="375"/>
      <c r="FN224" s="375"/>
      <c r="FO224" s="375"/>
      <c r="FP224" s="375"/>
      <c r="FQ224" s="375"/>
      <c r="FR224" s="375"/>
      <c r="FS224" s="375"/>
      <c r="FT224" s="375"/>
      <c r="FU224" s="375"/>
      <c r="FV224" s="375"/>
      <c r="FW224" s="375"/>
      <c r="FX224" s="375"/>
      <c r="FY224" s="375"/>
      <c r="FZ224" s="375"/>
      <c r="GA224" s="375"/>
      <c r="GB224" s="375"/>
      <c r="GC224" s="375"/>
      <c r="GD224" s="375"/>
      <c r="GE224" s="375"/>
      <c r="GF224" s="375"/>
      <c r="GG224" s="375"/>
      <c r="GH224" s="375"/>
      <c r="GI224" s="375"/>
      <c r="GJ224" s="375"/>
      <c r="GK224" s="375"/>
      <c r="GL224" s="375"/>
      <c r="GM224" s="375"/>
      <c r="GN224" s="375"/>
      <c r="GO224" s="375"/>
      <c r="GP224" s="375"/>
      <c r="GQ224" s="375"/>
      <c r="GR224" s="375"/>
    </row>
    <row r="225" spans="1:200" s="61" customFormat="1" ht="15.75" customHeight="1" x14ac:dyDescent="0.3">
      <c r="A225" s="280"/>
      <c r="B225" s="281"/>
      <c r="C225" s="282"/>
      <c r="D225" s="282">
        <v>1</v>
      </c>
      <c r="E225" s="4">
        <v>189</v>
      </c>
      <c r="F225" s="281"/>
      <c r="G225" s="282"/>
      <c r="H225" s="282">
        <v>1</v>
      </c>
      <c r="I225" s="4"/>
      <c r="J225" s="283"/>
      <c r="K225" s="283"/>
      <c r="L225" s="286"/>
      <c r="M225" s="4">
        <v>185</v>
      </c>
      <c r="N225" s="62" t="s">
        <v>172</v>
      </c>
      <c r="O225" s="62" t="s">
        <v>450</v>
      </c>
      <c r="P225" s="62" t="s">
        <v>450</v>
      </c>
      <c r="Q225" s="60">
        <f t="shared" si="482"/>
        <v>0</v>
      </c>
      <c r="R225" s="60">
        <f t="shared" si="483"/>
        <v>0</v>
      </c>
      <c r="S225" s="60">
        <f t="shared" si="484"/>
        <v>0</v>
      </c>
      <c r="T225" s="60">
        <v>1</v>
      </c>
      <c r="U225" s="60">
        <v>1</v>
      </c>
      <c r="V225" s="64">
        <f t="shared" si="527"/>
        <v>584.20000000000005</v>
      </c>
      <c r="W225" s="64"/>
      <c r="X225" s="65">
        <v>584.20000000000005</v>
      </c>
      <c r="Y225" s="64"/>
      <c r="Z225" s="60"/>
      <c r="AA225" s="64">
        <f t="shared" si="528"/>
        <v>584.20000000000005</v>
      </c>
      <c r="AB225" s="64"/>
      <c r="AC225" s="65">
        <v>584.20000000000005</v>
      </c>
      <c r="AD225" s="64"/>
      <c r="AE225" s="60"/>
      <c r="AF225" s="64">
        <f t="shared" si="529"/>
        <v>584.20000000000005</v>
      </c>
      <c r="AG225" s="64"/>
      <c r="AH225" s="65">
        <v>584.20000000000005</v>
      </c>
      <c r="AI225" s="64"/>
      <c r="AJ225" s="60"/>
      <c r="AK225" s="64">
        <f t="shared" si="530"/>
        <v>254</v>
      </c>
      <c r="AL225" s="64"/>
      <c r="AM225" s="65">
        <v>254</v>
      </c>
      <c r="AN225" s="64"/>
      <c r="AO225" s="64"/>
      <c r="AP225" s="64" t="s">
        <v>532</v>
      </c>
      <c r="AQ225" s="64">
        <f t="shared" si="531"/>
        <v>584.20000000000005</v>
      </c>
      <c r="AR225" s="64"/>
      <c r="AS225" s="65">
        <v>584.20000000000005</v>
      </c>
      <c r="AT225" s="64"/>
      <c r="AU225" s="64"/>
      <c r="AV225" s="64">
        <f t="shared" si="470"/>
        <v>0</v>
      </c>
      <c r="AW225" s="64">
        <f t="shared" si="471"/>
        <v>0</v>
      </c>
      <c r="AX225" s="64">
        <f t="shared" si="472"/>
        <v>0</v>
      </c>
      <c r="AY225" s="64">
        <f t="shared" si="473"/>
        <v>0</v>
      </c>
      <c r="AZ225" s="64" t="e">
        <f>#REF!-AU225</f>
        <v>#REF!</v>
      </c>
      <c r="BA225" s="64">
        <f t="shared" si="532"/>
        <v>584.20000000000005</v>
      </c>
      <c r="BB225" s="64"/>
      <c r="BC225" s="65">
        <v>584.20000000000005</v>
      </c>
      <c r="BD225" s="64"/>
      <c r="BE225" s="64"/>
      <c r="BF225" s="64">
        <f t="shared" si="533"/>
        <v>0</v>
      </c>
      <c r="BG225" s="64"/>
      <c r="BH225" s="65"/>
      <c r="BI225" s="64"/>
      <c r="BJ225" s="64"/>
      <c r="BK225" s="64">
        <f t="shared" si="534"/>
        <v>584.20000000000005</v>
      </c>
      <c r="BL225" s="64"/>
      <c r="BM225" s="65">
        <v>584.20000000000005</v>
      </c>
      <c r="BN225" s="64"/>
      <c r="BO225" s="64"/>
      <c r="BP225" s="64">
        <f t="shared" si="535"/>
        <v>584.20000000000005</v>
      </c>
      <c r="BQ225" s="64"/>
      <c r="BR225" s="74">
        <v>584.20000000000005</v>
      </c>
      <c r="BS225" s="64"/>
      <c r="BT225" s="64"/>
      <c r="BU225" s="64">
        <f t="shared" si="536"/>
        <v>567.78875000000005</v>
      </c>
      <c r="BV225" s="64"/>
      <c r="BW225" s="64">
        <v>567.78875000000005</v>
      </c>
      <c r="BX225" s="64"/>
      <c r="BY225" s="64"/>
      <c r="BZ225" s="60">
        <f t="shared" si="537"/>
        <v>1151.98875</v>
      </c>
      <c r="CA225" s="64">
        <f t="shared" si="474"/>
        <v>1151.98875</v>
      </c>
      <c r="CB225" s="64">
        <f t="shared" si="475"/>
        <v>0</v>
      </c>
      <c r="CC225" s="64">
        <f t="shared" si="476"/>
        <v>1151.98875</v>
      </c>
      <c r="CD225" s="64">
        <f t="shared" si="477"/>
        <v>0</v>
      </c>
      <c r="CE225" s="64">
        <f t="shared" si="538"/>
        <v>0</v>
      </c>
      <c r="CF225" s="64">
        <f t="shared" si="478"/>
        <v>0</v>
      </c>
      <c r="CG225" s="64">
        <f t="shared" si="479"/>
        <v>0</v>
      </c>
      <c r="CH225" s="64">
        <f t="shared" si="480"/>
        <v>0</v>
      </c>
      <c r="CI225" s="64">
        <f t="shared" si="481"/>
        <v>0</v>
      </c>
      <c r="CJ225" s="64">
        <f t="shared" si="539"/>
        <v>0</v>
      </c>
      <c r="CK225" s="66"/>
      <c r="CL225" s="67"/>
      <c r="CM225" s="67"/>
      <c r="CN225" s="64">
        <f t="shared" si="540"/>
        <v>0</v>
      </c>
      <c r="CO225" s="64"/>
      <c r="CP225" s="65"/>
      <c r="CQ225" s="64"/>
      <c r="CR225" s="64"/>
      <c r="CS225" s="64">
        <f t="shared" si="541"/>
        <v>0</v>
      </c>
      <c r="CT225" s="64"/>
      <c r="CU225" s="65"/>
      <c r="CV225" s="64"/>
      <c r="CW225" s="64"/>
      <c r="CX225" s="64">
        <f t="shared" si="542"/>
        <v>0</v>
      </c>
      <c r="CY225" s="64">
        <f t="shared" si="550"/>
        <v>0</v>
      </c>
      <c r="CZ225" s="64">
        <f t="shared" si="550"/>
        <v>0</v>
      </c>
      <c r="DA225" s="64">
        <f t="shared" si="550"/>
        <v>0</v>
      </c>
      <c r="DB225" s="64">
        <f t="shared" si="550"/>
        <v>0</v>
      </c>
      <c r="DC225" s="64"/>
      <c r="DD225" s="64"/>
      <c r="DE225" s="64"/>
      <c r="DF225" s="64">
        <f t="shared" si="543"/>
        <v>0</v>
      </c>
      <c r="DH225" s="64">
        <f t="shared" si="544"/>
        <v>584.20000000000005</v>
      </c>
      <c r="DI225" s="64">
        <f t="shared" si="545"/>
        <v>584.20000000000005</v>
      </c>
      <c r="DK225" s="64"/>
      <c r="DL225" s="64"/>
      <c r="DN225" s="64"/>
      <c r="DQ225" s="64">
        <f t="shared" si="548"/>
        <v>584.20000000000005</v>
      </c>
      <c r="DR225" s="64"/>
      <c r="DS225" s="74">
        <v>584.20000000000005</v>
      </c>
      <c r="DT225" s="64"/>
      <c r="DU225" s="64"/>
      <c r="DV225" s="64">
        <f t="shared" si="549"/>
        <v>0</v>
      </c>
      <c r="DW225" s="64"/>
      <c r="DX225" s="64"/>
      <c r="DY225" s="64"/>
      <c r="DZ225" s="64"/>
      <c r="EA225" s="375"/>
      <c r="EB225" s="375"/>
      <c r="EC225" s="375"/>
      <c r="ED225" s="375"/>
      <c r="EE225" s="375"/>
      <c r="EF225" s="375"/>
      <c r="EG225" s="375"/>
      <c r="EH225" s="375"/>
      <c r="EI225" s="375"/>
      <c r="EJ225" s="375"/>
      <c r="EK225" s="375"/>
      <c r="EL225" s="375"/>
      <c r="EM225" s="375"/>
      <c r="EN225" s="375"/>
      <c r="EO225" s="375"/>
      <c r="EP225" s="375"/>
      <c r="EQ225" s="375"/>
      <c r="ER225" s="375"/>
      <c r="ES225" s="375"/>
      <c r="ET225" s="375"/>
      <c r="EU225" s="375"/>
      <c r="EV225" s="375"/>
      <c r="EW225" s="375"/>
      <c r="EX225" s="375"/>
      <c r="EY225" s="375"/>
      <c r="EZ225" s="375"/>
      <c r="FA225" s="375"/>
      <c r="FB225" s="375"/>
      <c r="FC225" s="375"/>
      <c r="FD225" s="375"/>
      <c r="FE225" s="375"/>
      <c r="FF225" s="375"/>
      <c r="FG225" s="375"/>
      <c r="FH225" s="375"/>
      <c r="FI225" s="375"/>
      <c r="FJ225" s="375"/>
      <c r="FK225" s="375"/>
      <c r="FL225" s="375"/>
      <c r="FM225" s="375"/>
      <c r="FN225" s="375"/>
      <c r="FO225" s="375"/>
      <c r="FP225" s="375"/>
      <c r="FQ225" s="375"/>
      <c r="FR225" s="375"/>
      <c r="FS225" s="375"/>
      <c r="FT225" s="375"/>
      <c r="FU225" s="375"/>
      <c r="FV225" s="375"/>
      <c r="FW225" s="375"/>
      <c r="FX225" s="375"/>
      <c r="FY225" s="375"/>
      <c r="FZ225" s="375"/>
      <c r="GA225" s="375"/>
      <c r="GB225" s="375"/>
      <c r="GC225" s="375"/>
      <c r="GD225" s="375"/>
      <c r="GE225" s="375"/>
      <c r="GF225" s="375"/>
      <c r="GG225" s="375"/>
      <c r="GH225" s="375"/>
      <c r="GI225" s="375"/>
      <c r="GJ225" s="375"/>
      <c r="GK225" s="375"/>
      <c r="GL225" s="375"/>
      <c r="GM225" s="375"/>
      <c r="GN225" s="375"/>
      <c r="GO225" s="375"/>
      <c r="GP225" s="375"/>
      <c r="GQ225" s="375"/>
      <c r="GR225" s="375"/>
    </row>
    <row r="226" spans="1:200" s="61" customFormat="1" ht="15.6" customHeight="1" x14ac:dyDescent="0.3">
      <c r="A226" s="280"/>
      <c r="B226" s="281"/>
      <c r="C226" s="282"/>
      <c r="D226" s="282">
        <v>1</v>
      </c>
      <c r="E226" s="4">
        <v>190</v>
      </c>
      <c r="F226" s="281"/>
      <c r="G226" s="282"/>
      <c r="H226" s="282">
        <v>1</v>
      </c>
      <c r="I226" s="4"/>
      <c r="J226" s="283"/>
      <c r="K226" s="283"/>
      <c r="L226" s="286"/>
      <c r="M226" s="4">
        <v>186</v>
      </c>
      <c r="N226" s="62" t="s">
        <v>148</v>
      </c>
      <c r="O226" s="62" t="s">
        <v>448</v>
      </c>
      <c r="P226" s="62" t="s">
        <v>448</v>
      </c>
      <c r="Q226" s="60">
        <f t="shared" si="482"/>
        <v>0</v>
      </c>
      <c r="R226" s="60">
        <f t="shared" si="483"/>
        <v>0</v>
      </c>
      <c r="S226" s="60">
        <f t="shared" si="484"/>
        <v>0</v>
      </c>
      <c r="T226" s="60">
        <v>1</v>
      </c>
      <c r="U226" s="60"/>
      <c r="V226" s="64">
        <f t="shared" si="527"/>
        <v>501.4</v>
      </c>
      <c r="W226" s="64"/>
      <c r="X226" s="65">
        <v>501.4</v>
      </c>
      <c r="Y226" s="64"/>
      <c r="Z226" s="60"/>
      <c r="AA226" s="64">
        <f t="shared" si="528"/>
        <v>501.4</v>
      </c>
      <c r="AB226" s="64"/>
      <c r="AC226" s="65">
        <v>501.4</v>
      </c>
      <c r="AD226" s="64"/>
      <c r="AE226" s="60"/>
      <c r="AF226" s="64">
        <f t="shared" si="529"/>
        <v>501.4</v>
      </c>
      <c r="AG226" s="64"/>
      <c r="AH226" s="65">
        <v>501.4</v>
      </c>
      <c r="AI226" s="64"/>
      <c r="AJ226" s="60"/>
      <c r="AK226" s="64">
        <f t="shared" si="530"/>
        <v>218</v>
      </c>
      <c r="AL226" s="64"/>
      <c r="AM226" s="65">
        <v>218</v>
      </c>
      <c r="AN226" s="64"/>
      <c r="AO226" s="64"/>
      <c r="AP226" s="64" t="s">
        <v>393</v>
      </c>
      <c r="AQ226" s="64">
        <f t="shared" si="531"/>
        <v>501.4</v>
      </c>
      <c r="AR226" s="64"/>
      <c r="AS226" s="65">
        <v>501.4</v>
      </c>
      <c r="AT226" s="64"/>
      <c r="AU226" s="64"/>
      <c r="AV226" s="64">
        <f t="shared" si="470"/>
        <v>0</v>
      </c>
      <c r="AW226" s="64">
        <f t="shared" si="471"/>
        <v>0</v>
      </c>
      <c r="AX226" s="64">
        <f t="shared" si="472"/>
        <v>0</v>
      </c>
      <c r="AY226" s="64">
        <f t="shared" si="473"/>
        <v>0</v>
      </c>
      <c r="AZ226" s="64" t="e">
        <f>#REF!-AU226</f>
        <v>#REF!</v>
      </c>
      <c r="BA226" s="64">
        <f t="shared" si="532"/>
        <v>501.4</v>
      </c>
      <c r="BB226" s="64"/>
      <c r="BC226" s="65">
        <v>501.4</v>
      </c>
      <c r="BD226" s="64"/>
      <c r="BE226" s="64"/>
      <c r="BF226" s="64">
        <f t="shared" si="533"/>
        <v>0</v>
      </c>
      <c r="BG226" s="64"/>
      <c r="BH226" s="65"/>
      <c r="BI226" s="64"/>
      <c r="BJ226" s="64"/>
      <c r="BK226" s="64">
        <f t="shared" si="534"/>
        <v>501.4</v>
      </c>
      <c r="BL226" s="64"/>
      <c r="BM226" s="65">
        <v>501.4</v>
      </c>
      <c r="BN226" s="64"/>
      <c r="BO226" s="64"/>
      <c r="BP226" s="64">
        <f t="shared" si="535"/>
        <v>501.4</v>
      </c>
      <c r="BQ226" s="64"/>
      <c r="BR226" s="74">
        <v>501.4</v>
      </c>
      <c r="BS226" s="64"/>
      <c r="BT226" s="64"/>
      <c r="BU226" s="64">
        <f t="shared" si="536"/>
        <v>167.2</v>
      </c>
      <c r="BV226" s="64"/>
      <c r="BW226" s="64">
        <v>167.2</v>
      </c>
      <c r="BX226" s="64"/>
      <c r="BY226" s="64"/>
      <c r="BZ226" s="60">
        <f t="shared" si="537"/>
        <v>668.59999999999991</v>
      </c>
      <c r="CA226" s="64">
        <f t="shared" si="474"/>
        <v>668.59999999999991</v>
      </c>
      <c r="CB226" s="64">
        <f t="shared" si="475"/>
        <v>0</v>
      </c>
      <c r="CC226" s="64">
        <f t="shared" si="476"/>
        <v>668.59999999999991</v>
      </c>
      <c r="CD226" s="64">
        <f t="shared" si="477"/>
        <v>0</v>
      </c>
      <c r="CE226" s="64">
        <f t="shared" si="538"/>
        <v>0</v>
      </c>
      <c r="CF226" s="64">
        <f t="shared" si="478"/>
        <v>0</v>
      </c>
      <c r="CG226" s="64">
        <f t="shared" si="479"/>
        <v>0</v>
      </c>
      <c r="CH226" s="64">
        <f t="shared" si="480"/>
        <v>0</v>
      </c>
      <c r="CI226" s="64">
        <f t="shared" si="481"/>
        <v>0</v>
      </c>
      <c r="CJ226" s="64">
        <f t="shared" si="539"/>
        <v>0</v>
      </c>
      <c r="CK226" s="66"/>
      <c r="CL226" s="67"/>
      <c r="CM226" s="67"/>
      <c r="CN226" s="64">
        <f t="shared" si="540"/>
        <v>0</v>
      </c>
      <c r="CO226" s="64"/>
      <c r="CP226" s="65"/>
      <c r="CQ226" s="64"/>
      <c r="CR226" s="64"/>
      <c r="CS226" s="64">
        <f t="shared" si="541"/>
        <v>0</v>
      </c>
      <c r="CT226" s="64"/>
      <c r="CU226" s="65"/>
      <c r="CV226" s="64"/>
      <c r="CW226" s="64"/>
      <c r="CX226" s="64">
        <f t="shared" si="542"/>
        <v>0</v>
      </c>
      <c r="CY226" s="64">
        <f t="shared" si="550"/>
        <v>0</v>
      </c>
      <c r="CZ226" s="64">
        <f t="shared" si="550"/>
        <v>0</v>
      </c>
      <c r="DA226" s="64">
        <f t="shared" si="550"/>
        <v>0</v>
      </c>
      <c r="DB226" s="64">
        <f t="shared" si="550"/>
        <v>0</v>
      </c>
      <c r="DC226" s="64"/>
      <c r="DD226" s="64"/>
      <c r="DE226" s="64"/>
      <c r="DF226" s="64">
        <f t="shared" si="543"/>
        <v>0</v>
      </c>
      <c r="DH226" s="64">
        <f t="shared" si="544"/>
        <v>501.4</v>
      </c>
      <c r="DI226" s="64">
        <f t="shared" si="545"/>
        <v>501.4</v>
      </c>
      <c r="DK226" s="64"/>
      <c r="DL226" s="64"/>
      <c r="DN226" s="64"/>
      <c r="DQ226" s="64">
        <f t="shared" si="548"/>
        <v>501.4</v>
      </c>
      <c r="DR226" s="64"/>
      <c r="DS226" s="74">
        <v>501.4</v>
      </c>
      <c r="DT226" s="64"/>
      <c r="DU226" s="64"/>
      <c r="DV226" s="64">
        <f t="shared" si="549"/>
        <v>0</v>
      </c>
      <c r="DW226" s="64"/>
      <c r="DX226" s="64"/>
      <c r="DY226" s="64"/>
      <c r="DZ226" s="64"/>
      <c r="EA226" s="375"/>
      <c r="EB226" s="375"/>
      <c r="EC226" s="375"/>
      <c r="ED226" s="375"/>
      <c r="EE226" s="375"/>
      <c r="EF226" s="375"/>
      <c r="EG226" s="375"/>
      <c r="EH226" s="375"/>
      <c r="EI226" s="375"/>
      <c r="EJ226" s="375"/>
      <c r="EK226" s="375"/>
      <c r="EL226" s="375"/>
      <c r="EM226" s="375"/>
      <c r="EN226" s="375"/>
      <c r="EO226" s="375"/>
      <c r="EP226" s="375"/>
      <c r="EQ226" s="375"/>
      <c r="ER226" s="375"/>
      <c r="ES226" s="375"/>
      <c r="ET226" s="375"/>
      <c r="EU226" s="375"/>
      <c r="EV226" s="375"/>
      <c r="EW226" s="375"/>
      <c r="EX226" s="375"/>
      <c r="EY226" s="375"/>
      <c r="EZ226" s="375"/>
      <c r="FA226" s="375"/>
      <c r="FB226" s="375"/>
      <c r="FC226" s="375"/>
      <c r="FD226" s="375"/>
      <c r="FE226" s="375"/>
      <c r="FF226" s="375"/>
      <c r="FG226" s="375"/>
      <c r="FH226" s="375"/>
      <c r="FI226" s="375"/>
      <c r="FJ226" s="375"/>
      <c r="FK226" s="375"/>
      <c r="FL226" s="375"/>
      <c r="FM226" s="375"/>
      <c r="FN226" s="375"/>
      <c r="FO226" s="375"/>
      <c r="FP226" s="375"/>
      <c r="FQ226" s="375"/>
      <c r="FR226" s="375"/>
      <c r="FS226" s="375"/>
      <c r="FT226" s="375"/>
      <c r="FU226" s="375"/>
      <c r="FV226" s="375"/>
      <c r="FW226" s="375"/>
      <c r="FX226" s="375"/>
      <c r="FY226" s="375"/>
      <c r="FZ226" s="375"/>
      <c r="GA226" s="375"/>
      <c r="GB226" s="375"/>
      <c r="GC226" s="375"/>
      <c r="GD226" s="375"/>
      <c r="GE226" s="375"/>
      <c r="GF226" s="375"/>
      <c r="GG226" s="375"/>
      <c r="GH226" s="375"/>
      <c r="GI226" s="375"/>
      <c r="GJ226" s="375"/>
      <c r="GK226" s="375"/>
      <c r="GL226" s="375"/>
      <c r="GM226" s="375"/>
      <c r="GN226" s="375"/>
      <c r="GO226" s="375"/>
      <c r="GP226" s="375"/>
      <c r="GQ226" s="375"/>
      <c r="GR226" s="375"/>
    </row>
    <row r="227" spans="1:200" s="61" customFormat="1" ht="15.75" customHeight="1" x14ac:dyDescent="0.3">
      <c r="A227" s="280"/>
      <c r="B227" s="281"/>
      <c r="C227" s="282">
        <v>1</v>
      </c>
      <c r="D227" s="282"/>
      <c r="E227" s="4">
        <v>191</v>
      </c>
      <c r="F227" s="281"/>
      <c r="G227" s="282">
        <v>1</v>
      </c>
      <c r="H227" s="282">
        <v>1</v>
      </c>
      <c r="I227" s="4"/>
      <c r="J227" s="283"/>
      <c r="K227" s="283"/>
      <c r="L227" s="286"/>
      <c r="M227" s="4">
        <v>187</v>
      </c>
      <c r="N227" s="62" t="s">
        <v>63</v>
      </c>
      <c r="O227" s="62" t="s">
        <v>448</v>
      </c>
      <c r="P227" s="62" t="s">
        <v>448</v>
      </c>
      <c r="Q227" s="60">
        <f t="shared" si="482"/>
        <v>0</v>
      </c>
      <c r="R227" s="60">
        <f t="shared" si="483"/>
        <v>1715.8</v>
      </c>
      <c r="S227" s="60">
        <f t="shared" si="484"/>
        <v>0</v>
      </c>
      <c r="T227" s="60">
        <v>1</v>
      </c>
      <c r="U227" s="60">
        <v>1</v>
      </c>
      <c r="V227" s="64">
        <f t="shared" si="527"/>
        <v>1715.8</v>
      </c>
      <c r="W227" s="64"/>
      <c r="X227" s="65">
        <v>1715.8</v>
      </c>
      <c r="Y227" s="65"/>
      <c r="Z227" s="65"/>
      <c r="AA227" s="64">
        <f t="shared" si="528"/>
        <v>1715.8</v>
      </c>
      <c r="AB227" s="64"/>
      <c r="AC227" s="65">
        <v>1715.8</v>
      </c>
      <c r="AD227" s="65"/>
      <c r="AE227" s="65"/>
      <c r="AF227" s="64">
        <f t="shared" si="529"/>
        <v>1715.8</v>
      </c>
      <c r="AG227" s="64"/>
      <c r="AH227" s="65">
        <v>1715.8</v>
      </c>
      <c r="AI227" s="65"/>
      <c r="AJ227" s="65"/>
      <c r="AK227" s="64">
        <f t="shared" si="530"/>
        <v>746</v>
      </c>
      <c r="AL227" s="64"/>
      <c r="AM227" s="65">
        <v>746</v>
      </c>
      <c r="AN227" s="65"/>
      <c r="AO227" s="65"/>
      <c r="AP227" s="64" t="s">
        <v>421</v>
      </c>
      <c r="AQ227" s="65">
        <f t="shared" si="531"/>
        <v>1715.8</v>
      </c>
      <c r="AR227" s="65"/>
      <c r="AS227" s="65">
        <f>746+969.8</f>
        <v>1715.8</v>
      </c>
      <c r="AT227" s="65"/>
      <c r="AU227" s="65"/>
      <c r="AV227" s="65">
        <f t="shared" si="470"/>
        <v>0</v>
      </c>
      <c r="AW227" s="64">
        <f t="shared" si="471"/>
        <v>0</v>
      </c>
      <c r="AX227" s="64">
        <f t="shared" si="472"/>
        <v>0</v>
      </c>
      <c r="AY227" s="64">
        <f t="shared" si="473"/>
        <v>0</v>
      </c>
      <c r="AZ227" s="64" t="e">
        <f>#REF!-AU227</f>
        <v>#REF!</v>
      </c>
      <c r="BA227" s="65">
        <f t="shared" si="532"/>
        <v>1715.8</v>
      </c>
      <c r="BB227" s="65"/>
      <c r="BC227" s="65">
        <f>746+969.8</f>
        <v>1715.8</v>
      </c>
      <c r="BD227" s="65"/>
      <c r="BE227" s="65"/>
      <c r="BF227" s="65">
        <f t="shared" si="533"/>
        <v>0</v>
      </c>
      <c r="BG227" s="65"/>
      <c r="BH227" s="65"/>
      <c r="BI227" s="65"/>
      <c r="BJ227" s="65"/>
      <c r="BK227" s="65">
        <f t="shared" si="534"/>
        <v>1715.8</v>
      </c>
      <c r="BL227" s="65"/>
      <c r="BM227" s="65">
        <f>746+969.8</f>
        <v>1715.8</v>
      </c>
      <c r="BN227" s="74"/>
      <c r="BO227" s="74"/>
      <c r="BP227" s="74">
        <f t="shared" si="535"/>
        <v>0</v>
      </c>
      <c r="BQ227" s="74"/>
      <c r="BR227" s="74"/>
      <c r="BS227" s="74"/>
      <c r="BT227" s="74"/>
      <c r="BU227" s="64">
        <f t="shared" si="536"/>
        <v>0</v>
      </c>
      <c r="BV227" s="64"/>
      <c r="BW227" s="64"/>
      <c r="BX227" s="64"/>
      <c r="BY227" s="64"/>
      <c r="BZ227" s="60">
        <f t="shared" si="537"/>
        <v>0</v>
      </c>
      <c r="CA227" s="64">
        <f t="shared" si="474"/>
        <v>0</v>
      </c>
      <c r="CB227" s="64">
        <f t="shared" si="475"/>
        <v>0</v>
      </c>
      <c r="CC227" s="64">
        <f t="shared" si="476"/>
        <v>0</v>
      </c>
      <c r="CD227" s="64">
        <f t="shared" si="477"/>
        <v>0</v>
      </c>
      <c r="CE227" s="64">
        <f t="shared" si="538"/>
        <v>0</v>
      </c>
      <c r="CF227" s="64">
        <f t="shared" si="478"/>
        <v>1715.8</v>
      </c>
      <c r="CG227" s="64">
        <f t="shared" si="479"/>
        <v>0</v>
      </c>
      <c r="CH227" s="64">
        <f t="shared" si="480"/>
        <v>1715.8</v>
      </c>
      <c r="CI227" s="64">
        <f t="shared" si="481"/>
        <v>0</v>
      </c>
      <c r="CJ227" s="64">
        <f t="shared" si="539"/>
        <v>0</v>
      </c>
      <c r="CK227" s="66"/>
      <c r="CL227" s="76">
        <f xml:space="preserve"> BA227</f>
        <v>1715.8</v>
      </c>
      <c r="CM227" s="76">
        <f>CL227</f>
        <v>1715.8</v>
      </c>
      <c r="CN227" s="65">
        <f t="shared" si="540"/>
        <v>0</v>
      </c>
      <c r="CO227" s="65"/>
      <c r="CP227" s="65"/>
      <c r="CQ227" s="65"/>
      <c r="CR227" s="65"/>
      <c r="CS227" s="65">
        <f t="shared" si="541"/>
        <v>0</v>
      </c>
      <c r="CT227" s="65"/>
      <c r="CU227" s="65"/>
      <c r="CV227" s="65"/>
      <c r="CW227" s="65"/>
      <c r="CX227" s="64">
        <f t="shared" si="542"/>
        <v>0</v>
      </c>
      <c r="CY227" s="64">
        <f t="shared" si="550"/>
        <v>0</v>
      </c>
      <c r="CZ227" s="64">
        <f t="shared" si="550"/>
        <v>0</v>
      </c>
      <c r="DA227" s="64">
        <f t="shared" si="550"/>
        <v>0</v>
      </c>
      <c r="DB227" s="64">
        <f t="shared" si="550"/>
        <v>0</v>
      </c>
      <c r="DC227" s="64"/>
      <c r="DD227" s="64"/>
      <c r="DE227" s="64"/>
      <c r="DF227" s="64">
        <f t="shared" si="543"/>
        <v>1715.8</v>
      </c>
      <c r="DH227" s="64">
        <f t="shared" si="544"/>
        <v>1715.8</v>
      </c>
      <c r="DI227" s="64">
        <f t="shared" si="545"/>
        <v>0</v>
      </c>
      <c r="DK227" s="77">
        <f>DI227</f>
        <v>0</v>
      </c>
      <c r="DL227" s="77">
        <f>DF227</f>
        <v>1715.8</v>
      </c>
      <c r="DN227" s="64">
        <f>CM227-DK227</f>
        <v>1715.8</v>
      </c>
      <c r="DQ227" s="64">
        <f t="shared" si="548"/>
        <v>0</v>
      </c>
      <c r="DR227" s="74"/>
      <c r="DS227" s="74"/>
      <c r="DT227" s="74"/>
      <c r="DU227" s="74"/>
      <c r="DV227" s="64">
        <f t="shared" si="549"/>
        <v>0</v>
      </c>
      <c r="DW227" s="64"/>
      <c r="DX227" s="64"/>
      <c r="DY227" s="64"/>
      <c r="DZ227" s="64"/>
      <c r="EA227" s="375"/>
      <c r="EB227" s="375"/>
      <c r="EC227" s="375"/>
      <c r="ED227" s="375"/>
      <c r="EE227" s="375"/>
      <c r="EF227" s="375"/>
      <c r="EG227" s="375"/>
      <c r="EH227" s="375"/>
      <c r="EI227" s="375"/>
      <c r="EJ227" s="375"/>
      <c r="EK227" s="375"/>
      <c r="EL227" s="375"/>
      <c r="EM227" s="375"/>
      <c r="EN227" s="375"/>
      <c r="EO227" s="375"/>
      <c r="EP227" s="375"/>
      <c r="EQ227" s="375"/>
      <c r="ER227" s="375"/>
      <c r="ES227" s="375"/>
      <c r="ET227" s="375"/>
      <c r="EU227" s="375"/>
      <c r="EV227" s="375"/>
      <c r="EW227" s="375"/>
      <c r="EX227" s="375"/>
      <c r="EY227" s="375"/>
      <c r="EZ227" s="375"/>
      <c r="FA227" s="375"/>
      <c r="FB227" s="375"/>
      <c r="FC227" s="375"/>
      <c r="FD227" s="375"/>
      <c r="FE227" s="375"/>
      <c r="FF227" s="375"/>
      <c r="FG227" s="375"/>
      <c r="FH227" s="375"/>
      <c r="FI227" s="375"/>
      <c r="FJ227" s="375"/>
      <c r="FK227" s="375"/>
      <c r="FL227" s="375"/>
      <c r="FM227" s="375"/>
      <c r="FN227" s="375"/>
      <c r="FO227" s="375"/>
      <c r="FP227" s="375"/>
      <c r="FQ227" s="375"/>
      <c r="FR227" s="375"/>
      <c r="FS227" s="375"/>
      <c r="FT227" s="375"/>
      <c r="FU227" s="375"/>
      <c r="FV227" s="375"/>
      <c r="FW227" s="375"/>
      <c r="FX227" s="375"/>
      <c r="FY227" s="375"/>
      <c r="FZ227" s="375"/>
      <c r="GA227" s="375"/>
      <c r="GB227" s="375"/>
      <c r="GC227" s="375"/>
      <c r="GD227" s="375"/>
      <c r="GE227" s="375"/>
      <c r="GF227" s="375"/>
      <c r="GG227" s="375"/>
      <c r="GH227" s="375"/>
      <c r="GI227" s="375"/>
      <c r="GJ227" s="375"/>
      <c r="GK227" s="375"/>
      <c r="GL227" s="375"/>
      <c r="GM227" s="375"/>
      <c r="GN227" s="375"/>
      <c r="GO227" s="375"/>
      <c r="GP227" s="375"/>
      <c r="GQ227" s="375"/>
      <c r="GR227" s="375"/>
    </row>
    <row r="228" spans="1:200" s="61" customFormat="1" ht="15.75" customHeight="1" x14ac:dyDescent="0.3">
      <c r="A228" s="280"/>
      <c r="B228" s="281"/>
      <c r="C228" s="282"/>
      <c r="D228" s="282">
        <v>1</v>
      </c>
      <c r="E228" s="4">
        <v>192</v>
      </c>
      <c r="F228" s="281"/>
      <c r="G228" s="282"/>
      <c r="H228" s="282">
        <v>1</v>
      </c>
      <c r="I228" s="4"/>
      <c r="J228" s="283"/>
      <c r="K228" s="283"/>
      <c r="L228" s="286"/>
      <c r="M228" s="4">
        <v>188</v>
      </c>
      <c r="N228" s="62" t="s">
        <v>149</v>
      </c>
      <c r="O228" s="62" t="s">
        <v>448</v>
      </c>
      <c r="P228" s="62" t="s">
        <v>448</v>
      </c>
      <c r="Q228" s="60">
        <f t="shared" si="482"/>
        <v>0</v>
      </c>
      <c r="R228" s="60">
        <f t="shared" si="483"/>
        <v>0</v>
      </c>
      <c r="S228" s="60">
        <f t="shared" si="484"/>
        <v>0</v>
      </c>
      <c r="T228" s="60">
        <v>1</v>
      </c>
      <c r="U228" s="60"/>
      <c r="V228" s="64">
        <f t="shared" si="527"/>
        <v>834.9</v>
      </c>
      <c r="W228" s="64"/>
      <c r="X228" s="65">
        <v>834.9</v>
      </c>
      <c r="Y228" s="64"/>
      <c r="Z228" s="73"/>
      <c r="AA228" s="64">
        <f t="shared" si="528"/>
        <v>834.9</v>
      </c>
      <c r="AB228" s="64"/>
      <c r="AC228" s="65">
        <v>834.9</v>
      </c>
      <c r="AD228" s="64"/>
      <c r="AE228" s="73"/>
      <c r="AF228" s="64">
        <f t="shared" si="529"/>
        <v>834.9</v>
      </c>
      <c r="AG228" s="64"/>
      <c r="AH228" s="65">
        <v>834.9</v>
      </c>
      <c r="AI228" s="64"/>
      <c r="AJ228" s="73"/>
      <c r="AK228" s="64">
        <f t="shared" si="530"/>
        <v>363</v>
      </c>
      <c r="AL228" s="64"/>
      <c r="AM228" s="65">
        <v>363</v>
      </c>
      <c r="AN228" s="64"/>
      <c r="AO228" s="73"/>
      <c r="AP228" s="64" t="s">
        <v>379</v>
      </c>
      <c r="AQ228" s="64">
        <f t="shared" si="531"/>
        <v>834.9</v>
      </c>
      <c r="AR228" s="64"/>
      <c r="AS228" s="65">
        <v>834.9</v>
      </c>
      <c r="AT228" s="64"/>
      <c r="AU228" s="73"/>
      <c r="AV228" s="64">
        <f t="shared" si="470"/>
        <v>0</v>
      </c>
      <c r="AW228" s="64">
        <f t="shared" si="471"/>
        <v>0</v>
      </c>
      <c r="AX228" s="64">
        <f t="shared" si="472"/>
        <v>0</v>
      </c>
      <c r="AY228" s="64">
        <f t="shared" si="473"/>
        <v>0</v>
      </c>
      <c r="AZ228" s="64" t="e">
        <f>#REF!-AU228</f>
        <v>#REF!</v>
      </c>
      <c r="BA228" s="64">
        <f t="shared" si="532"/>
        <v>834.9</v>
      </c>
      <c r="BB228" s="64"/>
      <c r="BC228" s="65">
        <v>834.9</v>
      </c>
      <c r="BD228" s="64"/>
      <c r="BE228" s="73"/>
      <c r="BF228" s="64">
        <f t="shared" si="533"/>
        <v>0</v>
      </c>
      <c r="BG228" s="64"/>
      <c r="BH228" s="73"/>
      <c r="BI228" s="64"/>
      <c r="BJ228" s="73"/>
      <c r="BK228" s="64">
        <f t="shared" si="534"/>
        <v>834.9</v>
      </c>
      <c r="BL228" s="64"/>
      <c r="BM228" s="65">
        <v>834.9</v>
      </c>
      <c r="BN228" s="64"/>
      <c r="BO228" s="74"/>
      <c r="BP228" s="64">
        <f t="shared" si="535"/>
        <v>834.90000000000009</v>
      </c>
      <c r="BQ228" s="64"/>
      <c r="BR228" s="74">
        <f>338.12937+240.14357+256.62706</f>
        <v>834.90000000000009</v>
      </c>
      <c r="BS228" s="64"/>
      <c r="BT228" s="74"/>
      <c r="BU228" s="64">
        <f t="shared" si="536"/>
        <v>282.60799999999995</v>
      </c>
      <c r="BV228" s="64"/>
      <c r="BW228" s="64">
        <f>114.45563+81.28643+86.86594</f>
        <v>282.60799999999995</v>
      </c>
      <c r="BX228" s="64"/>
      <c r="BY228" s="64"/>
      <c r="BZ228" s="60">
        <f t="shared" si="537"/>
        <v>1117.508</v>
      </c>
      <c r="CA228" s="64">
        <f t="shared" si="474"/>
        <v>1117.508</v>
      </c>
      <c r="CB228" s="64">
        <f t="shared" si="475"/>
        <v>0</v>
      </c>
      <c r="CC228" s="64">
        <f t="shared" si="476"/>
        <v>1117.508</v>
      </c>
      <c r="CD228" s="64">
        <f t="shared" si="477"/>
        <v>0</v>
      </c>
      <c r="CE228" s="64">
        <f t="shared" si="538"/>
        <v>0</v>
      </c>
      <c r="CF228" s="64">
        <f t="shared" si="478"/>
        <v>0</v>
      </c>
      <c r="CG228" s="64">
        <f t="shared" si="479"/>
        <v>0</v>
      </c>
      <c r="CH228" s="64">
        <f t="shared" si="480"/>
        <v>0</v>
      </c>
      <c r="CI228" s="64">
        <f t="shared" si="481"/>
        <v>0</v>
      </c>
      <c r="CJ228" s="64">
        <f t="shared" si="539"/>
        <v>0</v>
      </c>
      <c r="CK228" s="66"/>
      <c r="CL228" s="67">
        <f xml:space="preserve"> BA220-CL221-CL227</f>
        <v>2769.2</v>
      </c>
      <c r="CM228" s="67">
        <f>CL228-BF229</f>
        <v>2769.2</v>
      </c>
      <c r="CN228" s="64">
        <f t="shared" si="540"/>
        <v>0</v>
      </c>
      <c r="CO228" s="64"/>
      <c r="CP228" s="73"/>
      <c r="CQ228" s="64"/>
      <c r="CR228" s="73"/>
      <c r="CS228" s="64">
        <f t="shared" si="541"/>
        <v>0</v>
      </c>
      <c r="CT228" s="64"/>
      <c r="CU228" s="73"/>
      <c r="CV228" s="64"/>
      <c r="CW228" s="73"/>
      <c r="CX228" s="64">
        <f t="shared" si="542"/>
        <v>0</v>
      </c>
      <c r="CY228" s="64">
        <f t="shared" si="550"/>
        <v>0</v>
      </c>
      <c r="CZ228" s="64">
        <f t="shared" si="550"/>
        <v>0</v>
      </c>
      <c r="DA228" s="64">
        <f t="shared" si="550"/>
        <v>0</v>
      </c>
      <c r="DB228" s="64">
        <f t="shared" si="550"/>
        <v>0</v>
      </c>
      <c r="DC228" s="64"/>
      <c r="DD228" s="64"/>
      <c r="DE228" s="64"/>
      <c r="DF228" s="64">
        <f t="shared" si="543"/>
        <v>0</v>
      </c>
      <c r="DH228" s="64">
        <f t="shared" si="544"/>
        <v>834.9</v>
      </c>
      <c r="DI228" s="64">
        <f t="shared" si="545"/>
        <v>834.90000000000009</v>
      </c>
      <c r="DK228" s="64">
        <f>DI223+DI224+DI225+DI226+DI228+DI229</f>
        <v>2765.5576099999998</v>
      </c>
      <c r="DL228" s="64">
        <f>DF223+DF224+DF225+DF226+DF228+DF229</f>
        <v>3.6423900000000913</v>
      </c>
      <c r="DN228" s="64">
        <f>CM228-DK228</f>
        <v>3.6423899999999776</v>
      </c>
      <c r="DQ228" s="64">
        <f t="shared" si="548"/>
        <v>834.90000000000009</v>
      </c>
      <c r="DR228" s="64"/>
      <c r="DS228" s="74">
        <f>338.12937+240.14357+256.62706</f>
        <v>834.90000000000009</v>
      </c>
      <c r="DT228" s="64"/>
      <c r="DU228" s="74"/>
      <c r="DV228" s="64">
        <f t="shared" si="549"/>
        <v>282.608</v>
      </c>
      <c r="DW228" s="64"/>
      <c r="DX228" s="64">
        <v>282.608</v>
      </c>
      <c r="DY228" s="64"/>
      <c r="DZ228" s="64"/>
      <c r="EA228" s="375"/>
      <c r="EB228" s="375"/>
      <c r="EC228" s="375"/>
      <c r="ED228" s="375"/>
      <c r="EE228" s="375"/>
      <c r="EF228" s="375"/>
      <c r="EG228" s="375"/>
      <c r="EH228" s="375"/>
      <c r="EI228" s="375"/>
      <c r="EJ228" s="375"/>
      <c r="EK228" s="375"/>
      <c r="EL228" s="375"/>
      <c r="EM228" s="375"/>
      <c r="EN228" s="375"/>
      <c r="EO228" s="375"/>
      <c r="EP228" s="375"/>
      <c r="EQ228" s="375"/>
      <c r="ER228" s="375"/>
      <c r="ES228" s="375"/>
      <c r="ET228" s="375"/>
      <c r="EU228" s="375"/>
      <c r="EV228" s="375"/>
      <c r="EW228" s="375"/>
      <c r="EX228" s="375"/>
      <c r="EY228" s="375"/>
      <c r="EZ228" s="375"/>
      <c r="FA228" s="375"/>
      <c r="FB228" s="375"/>
      <c r="FC228" s="375"/>
      <c r="FD228" s="375"/>
      <c r="FE228" s="375"/>
      <c r="FF228" s="375"/>
      <c r="FG228" s="375"/>
      <c r="FH228" s="375"/>
      <c r="FI228" s="375"/>
      <c r="FJ228" s="375"/>
      <c r="FK228" s="375"/>
      <c r="FL228" s="375"/>
      <c r="FM228" s="375"/>
      <c r="FN228" s="375"/>
      <c r="FO228" s="375"/>
      <c r="FP228" s="375"/>
      <c r="FQ228" s="375"/>
      <c r="FR228" s="375"/>
      <c r="FS228" s="375"/>
      <c r="FT228" s="375"/>
      <c r="FU228" s="375"/>
      <c r="FV228" s="375"/>
      <c r="FW228" s="375"/>
      <c r="FX228" s="375"/>
      <c r="FY228" s="375"/>
      <c r="FZ228" s="375"/>
      <c r="GA228" s="375"/>
      <c r="GB228" s="375"/>
      <c r="GC228" s="375"/>
      <c r="GD228" s="375"/>
      <c r="GE228" s="375"/>
      <c r="GF228" s="375"/>
      <c r="GG228" s="375"/>
      <c r="GH228" s="375"/>
      <c r="GI228" s="375"/>
      <c r="GJ228" s="375"/>
      <c r="GK228" s="375"/>
      <c r="GL228" s="375"/>
      <c r="GM228" s="375"/>
      <c r="GN228" s="375"/>
      <c r="GO228" s="375"/>
      <c r="GP228" s="375"/>
      <c r="GQ228" s="375"/>
      <c r="GR228" s="375"/>
    </row>
    <row r="229" spans="1:200" s="61" customFormat="1" ht="15.75" customHeight="1" x14ac:dyDescent="0.3">
      <c r="A229" s="280"/>
      <c r="B229" s="281"/>
      <c r="C229" s="282"/>
      <c r="D229" s="282">
        <v>1</v>
      </c>
      <c r="E229" s="4">
        <v>193</v>
      </c>
      <c r="F229" s="281"/>
      <c r="G229" s="282"/>
      <c r="H229" s="282">
        <v>1</v>
      </c>
      <c r="I229" s="4"/>
      <c r="J229" s="283"/>
      <c r="K229" s="283"/>
      <c r="L229" s="286"/>
      <c r="M229" s="4">
        <v>189</v>
      </c>
      <c r="N229" s="62" t="s">
        <v>173</v>
      </c>
      <c r="O229" s="62" t="s">
        <v>448</v>
      </c>
      <c r="P229" s="62" t="s">
        <v>448</v>
      </c>
      <c r="Q229" s="60">
        <f t="shared" si="482"/>
        <v>0</v>
      </c>
      <c r="R229" s="60">
        <f t="shared" si="483"/>
        <v>3.4423900000000458</v>
      </c>
      <c r="S229" s="60">
        <f t="shared" si="484"/>
        <v>0</v>
      </c>
      <c r="T229" s="60">
        <v>1</v>
      </c>
      <c r="U229" s="60">
        <v>3</v>
      </c>
      <c r="V229" s="64">
        <f t="shared" si="527"/>
        <v>384.1</v>
      </c>
      <c r="W229" s="64"/>
      <c r="X229" s="64">
        <v>384.1</v>
      </c>
      <c r="Y229" s="64"/>
      <c r="Z229" s="60"/>
      <c r="AA229" s="64">
        <f t="shared" si="528"/>
        <v>384.1</v>
      </c>
      <c r="AB229" s="64"/>
      <c r="AC229" s="64">
        <v>384.1</v>
      </c>
      <c r="AD229" s="64"/>
      <c r="AE229" s="60"/>
      <c r="AF229" s="64">
        <f t="shared" si="529"/>
        <v>384.1</v>
      </c>
      <c r="AG229" s="64"/>
      <c r="AH229" s="64">
        <v>384.1</v>
      </c>
      <c r="AI229" s="64"/>
      <c r="AJ229" s="60"/>
      <c r="AK229" s="64">
        <f t="shared" si="530"/>
        <v>119</v>
      </c>
      <c r="AL229" s="64"/>
      <c r="AM229" s="64">
        <v>119</v>
      </c>
      <c r="AN229" s="64"/>
      <c r="AO229" s="64"/>
      <c r="AP229" s="64" t="s">
        <v>538</v>
      </c>
      <c r="AQ229" s="64">
        <f t="shared" si="531"/>
        <v>384.1</v>
      </c>
      <c r="AR229" s="64"/>
      <c r="AS229" s="64">
        <f>119+265.1</f>
        <v>384.1</v>
      </c>
      <c r="AT229" s="64"/>
      <c r="AU229" s="64"/>
      <c r="AV229" s="64">
        <f t="shared" si="470"/>
        <v>0</v>
      </c>
      <c r="AW229" s="64">
        <f t="shared" si="471"/>
        <v>0</v>
      </c>
      <c r="AX229" s="64">
        <f t="shared" si="472"/>
        <v>0</v>
      </c>
      <c r="AY229" s="64">
        <f t="shared" si="473"/>
        <v>0</v>
      </c>
      <c r="AZ229" s="64" t="e">
        <f>#REF!-AU229</f>
        <v>#REF!</v>
      </c>
      <c r="BA229" s="64">
        <f t="shared" si="532"/>
        <v>384.1</v>
      </c>
      <c r="BB229" s="64"/>
      <c r="BC229" s="64">
        <f>119+265.1</f>
        <v>384.1</v>
      </c>
      <c r="BD229" s="64"/>
      <c r="BE229" s="64"/>
      <c r="BF229" s="64">
        <f t="shared" si="533"/>
        <v>0</v>
      </c>
      <c r="BG229" s="64"/>
      <c r="BH229" s="65"/>
      <c r="BI229" s="64"/>
      <c r="BJ229" s="64"/>
      <c r="BK229" s="64">
        <f t="shared" si="534"/>
        <v>384.1</v>
      </c>
      <c r="BL229" s="64"/>
      <c r="BM229" s="64">
        <f>119+265.1</f>
        <v>384.1</v>
      </c>
      <c r="BN229" s="64"/>
      <c r="BO229" s="64"/>
      <c r="BP229" s="64">
        <f t="shared" si="535"/>
        <v>380.65760999999998</v>
      </c>
      <c r="BQ229" s="64"/>
      <c r="BR229" s="74">
        <f>184.63688+83.67073+112.35</f>
        <v>380.65760999999998</v>
      </c>
      <c r="BS229" s="64"/>
      <c r="BT229" s="64"/>
      <c r="BU229" s="64">
        <f t="shared" si="536"/>
        <v>126.88697000000001</v>
      </c>
      <c r="BV229" s="64"/>
      <c r="BW229" s="64">
        <f>61.54672+27.89025+37.45</f>
        <v>126.88697000000001</v>
      </c>
      <c r="BX229" s="64"/>
      <c r="BY229" s="64"/>
      <c r="BZ229" s="60">
        <f t="shared" si="537"/>
        <v>507.54458</v>
      </c>
      <c r="CA229" s="64">
        <f t="shared" si="474"/>
        <v>507.54458</v>
      </c>
      <c r="CB229" s="64">
        <f t="shared" si="475"/>
        <v>0</v>
      </c>
      <c r="CC229" s="64">
        <f t="shared" si="476"/>
        <v>507.54458</v>
      </c>
      <c r="CD229" s="64">
        <f t="shared" si="477"/>
        <v>0</v>
      </c>
      <c r="CE229" s="64">
        <f t="shared" si="538"/>
        <v>0</v>
      </c>
      <c r="CF229" s="64">
        <f t="shared" si="478"/>
        <v>3.4423900000000458</v>
      </c>
      <c r="CG229" s="64">
        <f t="shared" si="479"/>
        <v>0</v>
      </c>
      <c r="CH229" s="64">
        <f t="shared" si="480"/>
        <v>3.4423900000000458</v>
      </c>
      <c r="CI229" s="64">
        <f t="shared" si="481"/>
        <v>0</v>
      </c>
      <c r="CJ229" s="64">
        <f t="shared" si="539"/>
        <v>0</v>
      </c>
      <c r="CK229" s="66"/>
      <c r="CL229" s="67"/>
      <c r="CM229" s="67"/>
      <c r="CN229" s="64">
        <f t="shared" si="540"/>
        <v>0</v>
      </c>
      <c r="CO229" s="64"/>
      <c r="CP229" s="65"/>
      <c r="CQ229" s="64"/>
      <c r="CR229" s="64"/>
      <c r="CS229" s="64">
        <f t="shared" si="541"/>
        <v>0</v>
      </c>
      <c r="CT229" s="64"/>
      <c r="CU229" s="65"/>
      <c r="CV229" s="64"/>
      <c r="CW229" s="64"/>
      <c r="CX229" s="64">
        <f t="shared" si="542"/>
        <v>0</v>
      </c>
      <c r="CY229" s="64">
        <f t="shared" si="550"/>
        <v>0</v>
      </c>
      <c r="CZ229" s="64">
        <f t="shared" si="550"/>
        <v>0</v>
      </c>
      <c r="DA229" s="64">
        <f t="shared" si="550"/>
        <v>0</v>
      </c>
      <c r="DB229" s="64">
        <f t="shared" si="550"/>
        <v>0</v>
      </c>
      <c r="DC229" s="64"/>
      <c r="DD229" s="64"/>
      <c r="DE229" s="64"/>
      <c r="DF229" s="64">
        <f t="shared" si="543"/>
        <v>3.4423900000000458</v>
      </c>
      <c r="DH229" s="64">
        <f t="shared" si="544"/>
        <v>384.1</v>
      </c>
      <c r="DI229" s="64">
        <f t="shared" si="545"/>
        <v>380.65760999999998</v>
      </c>
      <c r="DK229" s="64"/>
      <c r="DL229" s="64"/>
      <c r="DN229" s="64"/>
      <c r="DQ229" s="64">
        <f t="shared" si="548"/>
        <v>380.65760999999998</v>
      </c>
      <c r="DR229" s="64"/>
      <c r="DS229" s="74">
        <f>184.63688+83.67073+112.35</f>
        <v>380.65760999999998</v>
      </c>
      <c r="DT229" s="64"/>
      <c r="DU229" s="64"/>
      <c r="DV229" s="64">
        <f t="shared" si="549"/>
        <v>77.12697</v>
      </c>
      <c r="DW229" s="64"/>
      <c r="DX229" s="64">
        <v>77.12697</v>
      </c>
      <c r="DY229" s="64"/>
      <c r="DZ229" s="64"/>
      <c r="EA229" s="375"/>
      <c r="EB229" s="375"/>
      <c r="EC229" s="375"/>
      <c r="ED229" s="375"/>
      <c r="EE229" s="375"/>
      <c r="EF229" s="375"/>
      <c r="EG229" s="375"/>
      <c r="EH229" s="375"/>
      <c r="EI229" s="375"/>
      <c r="EJ229" s="375"/>
      <c r="EK229" s="375"/>
      <c r="EL229" s="375"/>
      <c r="EM229" s="375"/>
      <c r="EN229" s="375"/>
      <c r="EO229" s="375"/>
      <c r="EP229" s="375"/>
      <c r="EQ229" s="375"/>
      <c r="ER229" s="375"/>
      <c r="ES229" s="375"/>
      <c r="ET229" s="375"/>
      <c r="EU229" s="375"/>
      <c r="EV229" s="375"/>
      <c r="EW229" s="375"/>
      <c r="EX229" s="375"/>
      <c r="EY229" s="375"/>
      <c r="EZ229" s="375"/>
      <c r="FA229" s="375"/>
      <c r="FB229" s="375"/>
      <c r="FC229" s="375"/>
      <c r="FD229" s="375"/>
      <c r="FE229" s="375"/>
      <c r="FF229" s="375"/>
      <c r="FG229" s="375"/>
      <c r="FH229" s="375"/>
      <c r="FI229" s="375"/>
      <c r="FJ229" s="375"/>
      <c r="FK229" s="375"/>
      <c r="FL229" s="375"/>
      <c r="FM229" s="375"/>
      <c r="FN229" s="375"/>
      <c r="FO229" s="375"/>
      <c r="FP229" s="375"/>
      <c r="FQ229" s="375"/>
      <c r="FR229" s="375"/>
      <c r="FS229" s="375"/>
      <c r="FT229" s="375"/>
      <c r="FU229" s="375"/>
      <c r="FV229" s="375"/>
      <c r="FW229" s="375"/>
      <c r="FX229" s="375"/>
      <c r="FY229" s="375"/>
      <c r="FZ229" s="375"/>
      <c r="GA229" s="375"/>
      <c r="GB229" s="375"/>
      <c r="GC229" s="375"/>
      <c r="GD229" s="375"/>
      <c r="GE229" s="375"/>
      <c r="GF229" s="375"/>
      <c r="GG229" s="375"/>
      <c r="GH229" s="375"/>
      <c r="GI229" s="375"/>
      <c r="GJ229" s="375"/>
      <c r="GK229" s="375"/>
      <c r="GL229" s="375"/>
      <c r="GM229" s="375"/>
      <c r="GN229" s="375"/>
      <c r="GO229" s="375"/>
      <c r="GP229" s="375"/>
      <c r="GQ229" s="375"/>
      <c r="GR229" s="375"/>
    </row>
    <row r="230" spans="1:200" s="48" customFormat="1" ht="27" customHeight="1" x14ac:dyDescent="0.3">
      <c r="A230" s="276"/>
      <c r="B230" s="277"/>
      <c r="C230" s="278"/>
      <c r="D230" s="278"/>
      <c r="E230" s="279"/>
      <c r="F230" s="277"/>
      <c r="G230" s="278"/>
      <c r="H230" s="278"/>
      <c r="I230" s="2"/>
      <c r="J230" s="2"/>
      <c r="K230" s="2"/>
      <c r="L230" s="300"/>
      <c r="M230" s="279"/>
      <c r="N230" s="42" t="s">
        <v>11</v>
      </c>
      <c r="O230" s="42"/>
      <c r="P230" s="42"/>
      <c r="Q230" s="43">
        <f t="shared" si="482"/>
        <v>0</v>
      </c>
      <c r="R230" s="43">
        <f t="shared" si="483"/>
        <v>394.20184999999947</v>
      </c>
      <c r="S230" s="43">
        <f t="shared" si="484"/>
        <v>0</v>
      </c>
      <c r="T230" s="43">
        <f>T231+T232+T233+T234+T235+T236+T237+T238+T239+T240+T241</f>
        <v>5</v>
      </c>
      <c r="U230" s="43">
        <f>U231+U232+U233+U234+U235+U236+U237+U238+U239+U240+U241</f>
        <v>10</v>
      </c>
      <c r="V230" s="43">
        <f t="shared" ref="V230:Z230" si="551">SUM(V231:V241)-V232</f>
        <v>87399.431000000011</v>
      </c>
      <c r="W230" s="43">
        <f t="shared" si="551"/>
        <v>75867.94</v>
      </c>
      <c r="X230" s="43">
        <f t="shared" si="551"/>
        <v>11531.491</v>
      </c>
      <c r="Y230" s="43">
        <f t="shared" si="551"/>
        <v>0</v>
      </c>
      <c r="Z230" s="43">
        <f t="shared" si="551"/>
        <v>0</v>
      </c>
      <c r="AA230" s="43">
        <f t="shared" ref="AA230:AE230" si="552">SUM(AA231:AA241)-AA232</f>
        <v>88039.540000000008</v>
      </c>
      <c r="AB230" s="43">
        <f t="shared" si="552"/>
        <v>75867.94</v>
      </c>
      <c r="AC230" s="43">
        <f t="shared" si="552"/>
        <v>12171.6</v>
      </c>
      <c r="AD230" s="43">
        <f t="shared" si="552"/>
        <v>0</v>
      </c>
      <c r="AE230" s="43">
        <f t="shared" si="552"/>
        <v>0</v>
      </c>
      <c r="AF230" s="43">
        <f t="shared" ref="AF230:AJ230" si="553">SUM(AF231:AF241)-AF232</f>
        <v>88039.540000000008</v>
      </c>
      <c r="AG230" s="43">
        <f t="shared" si="553"/>
        <v>75867.94</v>
      </c>
      <c r="AH230" s="43">
        <f t="shared" si="553"/>
        <v>12171.6</v>
      </c>
      <c r="AI230" s="43">
        <f t="shared" si="553"/>
        <v>0</v>
      </c>
      <c r="AJ230" s="43">
        <f t="shared" si="553"/>
        <v>0</v>
      </c>
      <c r="AK230" s="45">
        <f t="shared" ref="AK230:AO230" si="554">SUM(AK231:AK241)-AK232</f>
        <v>81159.94</v>
      </c>
      <c r="AL230" s="43">
        <f t="shared" si="554"/>
        <v>75867.94</v>
      </c>
      <c r="AM230" s="43">
        <f t="shared" si="554"/>
        <v>5292</v>
      </c>
      <c r="AN230" s="43">
        <f t="shared" si="554"/>
        <v>0</v>
      </c>
      <c r="AO230" s="43">
        <f t="shared" si="554"/>
        <v>0</v>
      </c>
      <c r="AP230" s="44"/>
      <c r="AQ230" s="43">
        <f>SUM(AQ231:AQ241)-AQ232</f>
        <v>87399.431000000011</v>
      </c>
      <c r="AR230" s="43">
        <f>SUM(AR231:AR241)-AR232</f>
        <v>75867.94</v>
      </c>
      <c r="AS230" s="43">
        <f>SUM(AS231:AS241)-AS232</f>
        <v>11531.491</v>
      </c>
      <c r="AT230" s="43">
        <f>SUM(AT231:AT241)-AT232</f>
        <v>0</v>
      </c>
      <c r="AU230" s="43">
        <f>SUM(AU231:AU241)-AU232</f>
        <v>0</v>
      </c>
      <c r="AV230" s="43">
        <f t="shared" si="470"/>
        <v>0</v>
      </c>
      <c r="AW230" s="43">
        <f t="shared" si="471"/>
        <v>0</v>
      </c>
      <c r="AX230" s="43">
        <f t="shared" si="472"/>
        <v>0</v>
      </c>
      <c r="AY230" s="43">
        <f t="shared" si="473"/>
        <v>0</v>
      </c>
      <c r="AZ230" s="43" t="e">
        <f t="shared" ref="AZ230:BE230" si="555">SUM(AZ231:AZ241)-AZ232</f>
        <v>#REF!</v>
      </c>
      <c r="BA230" s="43">
        <f t="shared" si="555"/>
        <v>63248.998610000002</v>
      </c>
      <c r="BB230" s="43">
        <f t="shared" si="555"/>
        <v>51717.507610000001</v>
      </c>
      <c r="BC230" s="43">
        <f t="shared" si="555"/>
        <v>11531.491</v>
      </c>
      <c r="BD230" s="43">
        <f t="shared" si="555"/>
        <v>0</v>
      </c>
      <c r="BE230" s="43">
        <f t="shared" si="555"/>
        <v>0</v>
      </c>
      <c r="BF230" s="43">
        <f t="shared" ref="BF230:CJ230" si="556">SUM(BF231:BF241)-BF232</f>
        <v>0</v>
      </c>
      <c r="BG230" s="43">
        <f t="shared" si="556"/>
        <v>0</v>
      </c>
      <c r="BH230" s="43">
        <f t="shared" si="556"/>
        <v>0</v>
      </c>
      <c r="BI230" s="43">
        <f t="shared" si="556"/>
        <v>0</v>
      </c>
      <c r="BJ230" s="43">
        <f t="shared" si="556"/>
        <v>0</v>
      </c>
      <c r="BK230" s="43">
        <f t="shared" si="556"/>
        <v>63248.998610000002</v>
      </c>
      <c r="BL230" s="43">
        <f t="shared" si="556"/>
        <v>51717.507610000001</v>
      </c>
      <c r="BM230" s="43">
        <f t="shared" si="556"/>
        <v>11531.491</v>
      </c>
      <c r="BN230" s="43">
        <f t="shared" si="556"/>
        <v>0</v>
      </c>
      <c r="BO230" s="43">
        <f t="shared" si="556"/>
        <v>0</v>
      </c>
      <c r="BP230" s="43">
        <f t="shared" si="556"/>
        <v>62854.796760000005</v>
      </c>
      <c r="BQ230" s="43">
        <f t="shared" si="556"/>
        <v>51717.507610000001</v>
      </c>
      <c r="BR230" s="43">
        <f t="shared" si="556"/>
        <v>11137.289150000001</v>
      </c>
      <c r="BS230" s="43">
        <f t="shared" si="556"/>
        <v>0</v>
      </c>
      <c r="BT230" s="43">
        <f t="shared" si="556"/>
        <v>0</v>
      </c>
      <c r="BU230" s="45">
        <f t="shared" si="556"/>
        <v>7093.4516599999997</v>
      </c>
      <c r="BV230" s="304">
        <f t="shared" si="556"/>
        <v>2759.6580399999998</v>
      </c>
      <c r="BW230" s="304">
        <f t="shared" si="556"/>
        <v>4333.7936199999995</v>
      </c>
      <c r="BX230" s="304">
        <f t="shared" si="556"/>
        <v>0</v>
      </c>
      <c r="BY230" s="43">
        <f t="shared" si="556"/>
        <v>0</v>
      </c>
      <c r="BZ230" s="43">
        <f t="shared" si="556"/>
        <v>69948.248420000018</v>
      </c>
      <c r="CA230" s="43">
        <f t="shared" si="474"/>
        <v>69948.248420000004</v>
      </c>
      <c r="CB230" s="43">
        <f t="shared" si="475"/>
        <v>54477.165650000003</v>
      </c>
      <c r="CC230" s="43">
        <f t="shared" si="476"/>
        <v>15471.082770000001</v>
      </c>
      <c r="CD230" s="43">
        <f t="shared" si="477"/>
        <v>0</v>
      </c>
      <c r="CE230" s="43">
        <f t="shared" si="556"/>
        <v>0</v>
      </c>
      <c r="CF230" s="43">
        <f t="shared" si="478"/>
        <v>394.20184999999947</v>
      </c>
      <c r="CG230" s="43">
        <f t="shared" si="479"/>
        <v>0</v>
      </c>
      <c r="CH230" s="43">
        <f t="shared" si="480"/>
        <v>394.20184999999947</v>
      </c>
      <c r="CI230" s="43">
        <f t="shared" si="481"/>
        <v>0</v>
      </c>
      <c r="CJ230" s="43">
        <f t="shared" si="556"/>
        <v>0</v>
      </c>
      <c r="CK230" s="46">
        <f>CL230+CN230-BF230</f>
        <v>68969.104670000001</v>
      </c>
      <c r="CL230" s="47">
        <f t="shared" ref="CL230:DF230" si="557">SUM(CL231:CL241)-CL232</f>
        <v>68969.104670000001</v>
      </c>
      <c r="CM230" s="47">
        <f t="shared" si="557"/>
        <v>68969.104670000001</v>
      </c>
      <c r="CN230" s="43">
        <f t="shared" si="557"/>
        <v>0</v>
      </c>
      <c r="CO230" s="43">
        <f t="shared" si="557"/>
        <v>0</v>
      </c>
      <c r="CP230" s="43">
        <f t="shared" si="557"/>
        <v>0</v>
      </c>
      <c r="CQ230" s="43">
        <f t="shared" si="557"/>
        <v>0</v>
      </c>
      <c r="CR230" s="43">
        <f t="shared" si="557"/>
        <v>0</v>
      </c>
      <c r="CS230" s="43">
        <f t="shared" si="557"/>
        <v>0</v>
      </c>
      <c r="CT230" s="43">
        <f t="shared" si="557"/>
        <v>0</v>
      </c>
      <c r="CU230" s="43">
        <f t="shared" si="557"/>
        <v>0</v>
      </c>
      <c r="CV230" s="43">
        <f t="shared" si="557"/>
        <v>0</v>
      </c>
      <c r="CW230" s="43">
        <f t="shared" si="557"/>
        <v>0</v>
      </c>
      <c r="CX230" s="43">
        <f t="shared" si="557"/>
        <v>0</v>
      </c>
      <c r="CY230" s="43">
        <f t="shared" si="557"/>
        <v>0</v>
      </c>
      <c r="CZ230" s="43">
        <f t="shared" si="557"/>
        <v>0</v>
      </c>
      <c r="DA230" s="43">
        <f t="shared" si="557"/>
        <v>0</v>
      </c>
      <c r="DB230" s="43">
        <f t="shared" si="557"/>
        <v>0</v>
      </c>
      <c r="DC230" s="43">
        <f t="shared" si="557"/>
        <v>0</v>
      </c>
      <c r="DD230" s="43">
        <f t="shared" si="557"/>
        <v>0</v>
      </c>
      <c r="DE230" s="43">
        <f t="shared" si="557"/>
        <v>0</v>
      </c>
      <c r="DF230" s="43">
        <f t="shared" si="557"/>
        <v>394.20184999999992</v>
      </c>
      <c r="DH230" s="43">
        <f>SUM(DH231:DH241)-DH232</f>
        <v>63248.998610000002</v>
      </c>
      <c r="DI230" s="43">
        <f>SUM(DI231:DI241)-DI232</f>
        <v>62854.796760000005</v>
      </c>
      <c r="DK230" s="43">
        <f>SUM(DK231:DK241)-DK232</f>
        <v>62854.796760000005</v>
      </c>
      <c r="DL230" s="43">
        <f>SUM(DL231:DL241)-DL232</f>
        <v>394.20184999999992</v>
      </c>
      <c r="DN230" s="43">
        <f>SUM(DN231:DN241)-DN232</f>
        <v>6114.3079099999986</v>
      </c>
      <c r="DO230" s="49">
        <f>DF230-DN230</f>
        <v>-5720.1060599999983</v>
      </c>
      <c r="DP230" s="49"/>
      <c r="DQ230" s="43">
        <f>SUM(DQ231:DQ241)-DQ232</f>
        <v>49880.375800000002</v>
      </c>
      <c r="DR230" s="43">
        <f t="shared" ref="DR230:DU230" si="558">SUM(DR231:DR241)-DR232</f>
        <v>38743.086649999997</v>
      </c>
      <c r="DS230" s="43">
        <f t="shared" si="558"/>
        <v>11137.289150000001</v>
      </c>
      <c r="DT230" s="43">
        <f t="shared" si="558"/>
        <v>0</v>
      </c>
      <c r="DU230" s="43">
        <f t="shared" si="558"/>
        <v>0</v>
      </c>
      <c r="DV230" s="43">
        <f>SUM(DV231:DV241)-DV232</f>
        <v>4438.6488399999998</v>
      </c>
      <c r="DW230" s="43">
        <f t="shared" ref="DW230:DZ230" si="559">SUM(DW231:DW241)-DW232</f>
        <v>2076.7936199999999</v>
      </c>
      <c r="DX230" s="43">
        <f t="shared" si="559"/>
        <v>2361.8552199999999</v>
      </c>
      <c r="DY230" s="43">
        <f t="shared" si="559"/>
        <v>0</v>
      </c>
      <c r="DZ230" s="43">
        <f t="shared" si="559"/>
        <v>0</v>
      </c>
      <c r="EA230" s="372"/>
      <c r="EB230" s="372"/>
      <c r="EC230" s="372"/>
      <c r="ED230" s="372"/>
      <c r="EE230" s="372"/>
      <c r="EF230" s="372"/>
      <c r="EG230" s="372"/>
      <c r="EH230" s="372"/>
      <c r="EI230" s="372"/>
      <c r="EJ230" s="372"/>
      <c r="EK230" s="372"/>
      <c r="EL230" s="372"/>
      <c r="EM230" s="372"/>
      <c r="EN230" s="372"/>
      <c r="EO230" s="372"/>
      <c r="EP230" s="372"/>
      <c r="EQ230" s="372"/>
      <c r="ER230" s="372"/>
      <c r="ES230" s="372"/>
      <c r="ET230" s="372"/>
      <c r="EU230" s="372"/>
      <c r="EV230" s="372"/>
      <c r="EW230" s="372"/>
      <c r="EX230" s="372"/>
      <c r="EY230" s="372"/>
      <c r="EZ230" s="372"/>
      <c r="FA230" s="372"/>
      <c r="FB230" s="372"/>
      <c r="FC230" s="372"/>
      <c r="FD230" s="372"/>
      <c r="FE230" s="372"/>
      <c r="FF230" s="372"/>
      <c r="FG230" s="372"/>
      <c r="FH230" s="372"/>
      <c r="FI230" s="372"/>
      <c r="FJ230" s="372"/>
      <c r="FK230" s="372"/>
      <c r="FL230" s="372"/>
      <c r="FM230" s="372"/>
      <c r="FN230" s="372"/>
      <c r="FO230" s="372"/>
      <c r="FP230" s="372"/>
      <c r="FQ230" s="372"/>
      <c r="FR230" s="372"/>
      <c r="FS230" s="372"/>
      <c r="FT230" s="372"/>
      <c r="FU230" s="372"/>
      <c r="FV230" s="372"/>
      <c r="FW230" s="372"/>
      <c r="FX230" s="372"/>
      <c r="FY230" s="372"/>
      <c r="FZ230" s="372"/>
      <c r="GA230" s="372"/>
      <c r="GB230" s="372"/>
      <c r="GC230" s="372"/>
      <c r="GD230" s="372"/>
      <c r="GE230" s="372"/>
      <c r="GF230" s="372"/>
      <c r="GG230" s="372"/>
      <c r="GH230" s="372"/>
      <c r="GI230" s="372"/>
      <c r="GJ230" s="372"/>
      <c r="GK230" s="372"/>
      <c r="GL230" s="372"/>
      <c r="GM230" s="372"/>
      <c r="GN230" s="372"/>
      <c r="GO230" s="372"/>
      <c r="GP230" s="372"/>
      <c r="GQ230" s="372"/>
      <c r="GR230" s="372"/>
    </row>
    <row r="231" spans="1:200" s="61" customFormat="1" ht="14.25" customHeight="1" x14ac:dyDescent="0.3">
      <c r="A231" s="280"/>
      <c r="B231" s="281">
        <v>1</v>
      </c>
      <c r="C231" s="282"/>
      <c r="D231" s="282"/>
      <c r="E231" s="4">
        <v>194</v>
      </c>
      <c r="F231" s="281">
        <v>1</v>
      </c>
      <c r="G231" s="282"/>
      <c r="H231" s="282"/>
      <c r="I231" s="4"/>
      <c r="J231" s="283"/>
      <c r="K231" s="283"/>
      <c r="L231" s="286"/>
      <c r="M231" s="4">
        <v>190</v>
      </c>
      <c r="N231" s="62" t="s">
        <v>243</v>
      </c>
      <c r="O231" s="62" t="s">
        <v>448</v>
      </c>
      <c r="P231" s="62" t="s">
        <v>450</v>
      </c>
      <c r="Q231" s="60">
        <f t="shared" si="482"/>
        <v>0</v>
      </c>
      <c r="R231" s="60">
        <f t="shared" si="483"/>
        <v>196.41600000000017</v>
      </c>
      <c r="S231" s="60">
        <f t="shared" si="484"/>
        <v>0</v>
      </c>
      <c r="T231" s="60">
        <v>1</v>
      </c>
      <c r="U231" s="60">
        <v>3</v>
      </c>
      <c r="V231" s="64">
        <f t="shared" ref="V231:V241" si="560">W231+X231+Y231+Z231</f>
        <v>5315.3220000000001</v>
      </c>
      <c r="W231" s="64"/>
      <c r="X231" s="65">
        <v>5315.3220000000001</v>
      </c>
      <c r="Y231" s="64"/>
      <c r="Z231" s="60"/>
      <c r="AA231" s="64">
        <f t="shared" ref="AA231:AA241" si="561">AB231+AC231+AD231+AE231</f>
        <v>5721</v>
      </c>
      <c r="AB231" s="64"/>
      <c r="AC231" s="65">
        <v>5721</v>
      </c>
      <c r="AD231" s="64"/>
      <c r="AE231" s="60"/>
      <c r="AF231" s="64">
        <f t="shared" ref="AF231:AF241" si="562">AG231+AH231+AI231+AJ231</f>
        <v>5721</v>
      </c>
      <c r="AG231" s="64"/>
      <c r="AH231" s="65">
        <v>5721</v>
      </c>
      <c r="AI231" s="64"/>
      <c r="AJ231" s="60"/>
      <c r="AK231" s="64">
        <f t="shared" ref="AK231:AK241" si="563">AL231+AM231+AN231+AO231</f>
        <v>1572</v>
      </c>
      <c r="AL231" s="64"/>
      <c r="AM231" s="65">
        <v>1572</v>
      </c>
      <c r="AN231" s="64"/>
      <c r="AO231" s="64"/>
      <c r="AP231" s="64" t="s">
        <v>525</v>
      </c>
      <c r="AQ231" s="64">
        <f t="shared" ref="AQ231:AQ241" si="564">AR231+AS231+AT231+AU231</f>
        <v>5315.3220000000001</v>
      </c>
      <c r="AR231" s="64"/>
      <c r="AS231" s="65">
        <f>1572+2376.869+1366.453</f>
        <v>5315.3220000000001</v>
      </c>
      <c r="AT231" s="64"/>
      <c r="AU231" s="64"/>
      <c r="AV231" s="64">
        <f t="shared" si="470"/>
        <v>0</v>
      </c>
      <c r="AW231" s="64">
        <f t="shared" si="471"/>
        <v>0</v>
      </c>
      <c r="AX231" s="64">
        <f t="shared" si="472"/>
        <v>0</v>
      </c>
      <c r="AY231" s="64">
        <f t="shared" si="473"/>
        <v>0</v>
      </c>
      <c r="AZ231" s="64" t="e">
        <f>#REF!-AU231</f>
        <v>#REF!</v>
      </c>
      <c r="BA231" s="64">
        <f t="shared" ref="BA231:BA241" si="565">BB231+BC231+BD231+BE231</f>
        <v>5315.3220000000001</v>
      </c>
      <c r="BB231" s="64"/>
      <c r="BC231" s="65">
        <f>1572+2376.869+1366.453</f>
        <v>5315.3220000000001</v>
      </c>
      <c r="BD231" s="64"/>
      <c r="BE231" s="64"/>
      <c r="BF231" s="64">
        <f t="shared" ref="BF231:BF241" si="566">BG231+BH231+BI231+BJ231</f>
        <v>0</v>
      </c>
      <c r="BG231" s="64"/>
      <c r="BH231" s="64"/>
      <c r="BI231" s="64"/>
      <c r="BJ231" s="64"/>
      <c r="BK231" s="64">
        <f t="shared" ref="BK231:BK241" si="567">BL231+BM231+BN231+BO231</f>
        <v>5315.3220000000001</v>
      </c>
      <c r="BL231" s="64"/>
      <c r="BM231" s="65">
        <f>1572+2376.869+1366.453</f>
        <v>5315.3220000000001</v>
      </c>
      <c r="BN231" s="64"/>
      <c r="BO231" s="64"/>
      <c r="BP231" s="64">
        <f t="shared" ref="BP231:BP241" si="568">BQ231+BR231+BS231+BT231</f>
        <v>5118.9059999999999</v>
      </c>
      <c r="BQ231" s="64"/>
      <c r="BR231" s="64">
        <f>2415.133+683.503+1297.336+722.934</f>
        <v>5118.9059999999999</v>
      </c>
      <c r="BS231" s="64"/>
      <c r="BT231" s="64"/>
      <c r="BU231" s="64">
        <f t="shared" ref="BU231:BU241" si="569">BV231+BW231+BX231+BY231</f>
        <v>1781.05836</v>
      </c>
      <c r="BV231" s="64"/>
      <c r="BW231" s="64">
        <f>805.0452+267.387+252.803+455.82316</f>
        <v>1781.05836</v>
      </c>
      <c r="BX231" s="64"/>
      <c r="BY231" s="64"/>
      <c r="BZ231" s="60">
        <f t="shared" ref="BZ231:BZ241" si="570">CA231</f>
        <v>6899.9643599999999</v>
      </c>
      <c r="CA231" s="64">
        <f t="shared" si="474"/>
        <v>6899.9643599999999</v>
      </c>
      <c r="CB231" s="64">
        <f t="shared" si="475"/>
        <v>0</v>
      </c>
      <c r="CC231" s="64">
        <f t="shared" si="476"/>
        <v>6899.9643599999999</v>
      </c>
      <c r="CD231" s="64">
        <f t="shared" si="477"/>
        <v>0</v>
      </c>
      <c r="CE231" s="64">
        <f t="shared" ref="CE231:CE241" si="571">BT231+BY231</f>
        <v>0</v>
      </c>
      <c r="CF231" s="64">
        <f t="shared" si="478"/>
        <v>196.41600000000017</v>
      </c>
      <c r="CG231" s="64">
        <f t="shared" si="479"/>
        <v>0</v>
      </c>
      <c r="CH231" s="64">
        <f t="shared" si="480"/>
        <v>196.41600000000017</v>
      </c>
      <c r="CI231" s="64">
        <f t="shared" si="481"/>
        <v>0</v>
      </c>
      <c r="CJ231" s="64">
        <f t="shared" ref="CJ231:CJ241" si="572">BO231-BT231</f>
        <v>0</v>
      </c>
      <c r="CK231" s="66"/>
      <c r="CL231" s="67">
        <f>BC231</f>
        <v>5315.3220000000001</v>
      </c>
      <c r="CM231" s="67">
        <f>CL231</f>
        <v>5315.3220000000001</v>
      </c>
      <c r="CN231" s="64">
        <f t="shared" ref="CN231:CN241" si="573">CO231+CP231+CQ231+CR231</f>
        <v>0</v>
      </c>
      <c r="CO231" s="64"/>
      <c r="CP231" s="64"/>
      <c r="CQ231" s="64"/>
      <c r="CR231" s="64"/>
      <c r="CS231" s="64">
        <f t="shared" ref="CS231:CS241" si="574">CT231+CU231+CV231+CW231</f>
        <v>0</v>
      </c>
      <c r="CT231" s="64"/>
      <c r="CU231" s="64"/>
      <c r="CV231" s="64"/>
      <c r="CW231" s="64"/>
      <c r="CX231" s="64">
        <f t="shared" ref="CX231:CX241" si="575">CY231+CZ231+DA231+DB231</f>
        <v>0</v>
      </c>
      <c r="CY231" s="64">
        <f t="shared" ref="CY231:DB241" si="576">CO231-CT231</f>
        <v>0</v>
      </c>
      <c r="CZ231" s="64">
        <f t="shared" si="576"/>
        <v>0</v>
      </c>
      <c r="DA231" s="64">
        <f t="shared" si="576"/>
        <v>0</v>
      </c>
      <c r="DB231" s="64">
        <f t="shared" si="576"/>
        <v>0</v>
      </c>
      <c r="DC231" s="64"/>
      <c r="DD231" s="64"/>
      <c r="DE231" s="64">
        <f>DC231-DD231</f>
        <v>0</v>
      </c>
      <c r="DF231" s="64">
        <f t="shared" ref="DF231:DF241" si="577">CF231+CX231+DE231</f>
        <v>196.41600000000017</v>
      </c>
      <c r="DH231" s="64">
        <f t="shared" ref="DH231:DH241" si="578">BK231+CN231+DC231</f>
        <v>5315.3220000000001</v>
      </c>
      <c r="DI231" s="64">
        <f t="shared" ref="DI231:DI241" si="579">BP231+CS231+DD231</f>
        <v>5118.9059999999999</v>
      </c>
      <c r="DK231" s="64">
        <f t="shared" ref="DK231:DK232" si="580">DI231</f>
        <v>5118.9059999999999</v>
      </c>
      <c r="DL231" s="64">
        <f t="shared" ref="DL231:DL232" si="581">DF231</f>
        <v>196.41600000000017</v>
      </c>
      <c r="DN231" s="64">
        <f>CM231-DK231</f>
        <v>196.41600000000017</v>
      </c>
      <c r="DQ231" s="64">
        <f t="shared" ref="DQ231:DQ241" si="582">DR231+DS231+DT231+DU231</f>
        <v>5118.9059999999999</v>
      </c>
      <c r="DR231" s="64"/>
      <c r="DS231" s="64">
        <f>2415.133+683.503+1297.336+722.934</f>
        <v>5118.9059999999999</v>
      </c>
      <c r="DT231" s="64"/>
      <c r="DU231" s="64"/>
      <c r="DV231" s="64">
        <f t="shared" ref="DV231:DV241" si="583">DW231+DX231+DY231+DZ231</f>
        <v>805.04520000000002</v>
      </c>
      <c r="DW231" s="64"/>
      <c r="DX231" s="64">
        <v>805.04520000000002</v>
      </c>
      <c r="DY231" s="64"/>
      <c r="DZ231" s="64"/>
      <c r="EA231" s="375"/>
      <c r="EB231" s="375"/>
      <c r="EC231" s="375"/>
      <c r="ED231" s="375"/>
      <c r="EE231" s="375"/>
      <c r="EF231" s="375"/>
      <c r="EG231" s="375"/>
      <c r="EH231" s="375"/>
      <c r="EI231" s="375"/>
      <c r="EJ231" s="375"/>
      <c r="EK231" s="375"/>
      <c r="EL231" s="375"/>
      <c r="EM231" s="375"/>
      <c r="EN231" s="375"/>
      <c r="EO231" s="375"/>
      <c r="EP231" s="375"/>
      <c r="EQ231" s="375"/>
      <c r="ER231" s="375"/>
      <c r="ES231" s="375"/>
      <c r="ET231" s="375"/>
      <c r="EU231" s="375"/>
      <c r="EV231" s="375"/>
      <c r="EW231" s="375"/>
      <c r="EX231" s="375"/>
      <c r="EY231" s="375"/>
      <c r="EZ231" s="375"/>
      <c r="FA231" s="375"/>
      <c r="FB231" s="375"/>
      <c r="FC231" s="375"/>
      <c r="FD231" s="375"/>
      <c r="FE231" s="375"/>
      <c r="FF231" s="375"/>
      <c r="FG231" s="375"/>
      <c r="FH231" s="375"/>
      <c r="FI231" s="375"/>
      <c r="FJ231" s="375"/>
      <c r="FK231" s="375"/>
      <c r="FL231" s="375"/>
      <c r="FM231" s="375"/>
      <c r="FN231" s="375"/>
      <c r="FO231" s="375"/>
      <c r="FP231" s="375"/>
      <c r="FQ231" s="375"/>
      <c r="FR231" s="375"/>
      <c r="FS231" s="375"/>
      <c r="FT231" s="375"/>
      <c r="FU231" s="375"/>
      <c r="FV231" s="375"/>
      <c r="FW231" s="375"/>
      <c r="FX231" s="375"/>
      <c r="FY231" s="375"/>
      <c r="FZ231" s="375"/>
      <c r="GA231" s="375"/>
      <c r="GB231" s="375"/>
      <c r="GC231" s="375"/>
      <c r="GD231" s="375"/>
      <c r="GE231" s="375"/>
      <c r="GF231" s="375"/>
      <c r="GG231" s="375"/>
      <c r="GH231" s="375"/>
      <c r="GI231" s="375"/>
      <c r="GJ231" s="375"/>
      <c r="GK231" s="375"/>
      <c r="GL231" s="375"/>
      <c r="GM231" s="375"/>
      <c r="GN231" s="375"/>
      <c r="GO231" s="375"/>
      <c r="GP231" s="375"/>
      <c r="GQ231" s="375"/>
      <c r="GR231" s="375"/>
    </row>
    <row r="232" spans="1:200" s="61" customFormat="1" ht="15.75" hidden="1" customHeight="1" x14ac:dyDescent="0.3">
      <c r="A232" s="280"/>
      <c r="B232" s="281"/>
      <c r="C232" s="282"/>
      <c r="D232" s="282"/>
      <c r="E232" s="4"/>
      <c r="F232" s="281"/>
      <c r="G232" s="282"/>
      <c r="H232" s="282"/>
      <c r="I232" s="4"/>
      <c r="J232" s="283"/>
      <c r="K232" s="283"/>
      <c r="L232" s="286"/>
      <c r="M232" s="4"/>
      <c r="N232" s="371" t="s">
        <v>249</v>
      </c>
      <c r="O232" s="69"/>
      <c r="P232" s="69"/>
      <c r="Q232" s="70">
        <f t="shared" si="482"/>
        <v>0</v>
      </c>
      <c r="R232" s="70">
        <f t="shared" si="483"/>
        <v>0</v>
      </c>
      <c r="S232" s="70">
        <f t="shared" si="484"/>
        <v>0</v>
      </c>
      <c r="T232" s="69"/>
      <c r="U232" s="69"/>
      <c r="V232" s="64">
        <f t="shared" si="560"/>
        <v>0</v>
      </c>
      <c r="W232" s="64"/>
      <c r="X232" s="71"/>
      <c r="Y232" s="64"/>
      <c r="Z232" s="60"/>
      <c r="AA232" s="64">
        <f t="shared" si="561"/>
        <v>0</v>
      </c>
      <c r="AB232" s="64"/>
      <c r="AC232" s="71"/>
      <c r="AD232" s="64"/>
      <c r="AE232" s="60"/>
      <c r="AF232" s="64">
        <f t="shared" si="562"/>
        <v>0</v>
      </c>
      <c r="AG232" s="64"/>
      <c r="AH232" s="71"/>
      <c r="AI232" s="64"/>
      <c r="AJ232" s="60"/>
      <c r="AK232" s="64">
        <f t="shared" si="563"/>
        <v>0</v>
      </c>
      <c r="AL232" s="64"/>
      <c r="AM232" s="71"/>
      <c r="AN232" s="64"/>
      <c r="AO232" s="64"/>
      <c r="AP232" s="64"/>
      <c r="AQ232" s="64">
        <f t="shared" si="564"/>
        <v>0</v>
      </c>
      <c r="AR232" s="64"/>
      <c r="AS232" s="64"/>
      <c r="AT232" s="64"/>
      <c r="AU232" s="64"/>
      <c r="AV232" s="64">
        <f t="shared" si="470"/>
        <v>0</v>
      </c>
      <c r="AW232" s="64">
        <f t="shared" si="471"/>
        <v>0</v>
      </c>
      <c r="AX232" s="64">
        <f t="shared" si="472"/>
        <v>0</v>
      </c>
      <c r="AY232" s="64">
        <f t="shared" si="473"/>
        <v>0</v>
      </c>
      <c r="AZ232" s="64" t="e">
        <f>#REF!-AU232</f>
        <v>#REF!</v>
      </c>
      <c r="BA232" s="64">
        <f t="shared" si="565"/>
        <v>0</v>
      </c>
      <c r="BB232" s="64"/>
      <c r="BC232" s="64"/>
      <c r="BD232" s="64"/>
      <c r="BE232" s="64"/>
      <c r="BF232" s="64">
        <f t="shared" si="566"/>
        <v>0</v>
      </c>
      <c r="BG232" s="64"/>
      <c r="BH232" s="64"/>
      <c r="BI232" s="64"/>
      <c r="BJ232" s="64"/>
      <c r="BK232" s="64">
        <f t="shared" si="567"/>
        <v>0</v>
      </c>
      <c r="BL232" s="64"/>
      <c r="BM232" s="64"/>
      <c r="BN232" s="64"/>
      <c r="BO232" s="64"/>
      <c r="BP232" s="64">
        <f t="shared" si="568"/>
        <v>0</v>
      </c>
      <c r="BQ232" s="64"/>
      <c r="BR232" s="64"/>
      <c r="BS232" s="64"/>
      <c r="BT232" s="64"/>
      <c r="BU232" s="64">
        <f t="shared" si="569"/>
        <v>0</v>
      </c>
      <c r="BV232" s="64"/>
      <c r="BW232" s="64"/>
      <c r="BX232" s="64"/>
      <c r="BY232" s="64"/>
      <c r="BZ232" s="60">
        <f t="shared" si="570"/>
        <v>0</v>
      </c>
      <c r="CA232" s="64">
        <f t="shared" si="474"/>
        <v>0</v>
      </c>
      <c r="CB232" s="64">
        <f t="shared" si="475"/>
        <v>0</v>
      </c>
      <c r="CC232" s="64">
        <f t="shared" si="476"/>
        <v>0</v>
      </c>
      <c r="CD232" s="64">
        <f t="shared" si="477"/>
        <v>0</v>
      </c>
      <c r="CE232" s="64">
        <f t="shared" si="571"/>
        <v>0</v>
      </c>
      <c r="CF232" s="64">
        <f t="shared" si="478"/>
        <v>0</v>
      </c>
      <c r="CG232" s="64">
        <f t="shared" si="479"/>
        <v>0</v>
      </c>
      <c r="CH232" s="64">
        <f t="shared" si="480"/>
        <v>0</v>
      </c>
      <c r="CI232" s="64">
        <f t="shared" si="481"/>
        <v>0</v>
      </c>
      <c r="CJ232" s="64">
        <f t="shared" si="572"/>
        <v>0</v>
      </c>
      <c r="CK232" s="66"/>
      <c r="CL232" s="67"/>
      <c r="CM232" s="67"/>
      <c r="CN232" s="64">
        <f t="shared" si="573"/>
        <v>0</v>
      </c>
      <c r="CO232" s="64"/>
      <c r="CP232" s="64"/>
      <c r="CQ232" s="64"/>
      <c r="CR232" s="64"/>
      <c r="CS232" s="64">
        <f t="shared" si="574"/>
        <v>0</v>
      </c>
      <c r="CT232" s="64"/>
      <c r="CU232" s="64"/>
      <c r="CV232" s="64"/>
      <c r="CW232" s="64"/>
      <c r="CX232" s="64">
        <f t="shared" si="575"/>
        <v>0</v>
      </c>
      <c r="CY232" s="64">
        <f t="shared" si="576"/>
        <v>0</v>
      </c>
      <c r="CZ232" s="64">
        <f t="shared" si="576"/>
        <v>0</v>
      </c>
      <c r="DA232" s="64">
        <f t="shared" si="576"/>
        <v>0</v>
      </c>
      <c r="DB232" s="64">
        <f t="shared" si="576"/>
        <v>0</v>
      </c>
      <c r="DC232" s="64"/>
      <c r="DD232" s="64"/>
      <c r="DE232" s="64"/>
      <c r="DF232" s="64">
        <f t="shared" si="577"/>
        <v>0</v>
      </c>
      <c r="DH232" s="64">
        <f t="shared" si="578"/>
        <v>0</v>
      </c>
      <c r="DI232" s="64">
        <f t="shared" si="579"/>
        <v>0</v>
      </c>
      <c r="DK232" s="64">
        <f t="shared" si="580"/>
        <v>0</v>
      </c>
      <c r="DL232" s="64">
        <f t="shared" si="581"/>
        <v>0</v>
      </c>
      <c r="DN232" s="64"/>
      <c r="DQ232" s="64">
        <f t="shared" si="582"/>
        <v>0</v>
      </c>
      <c r="DR232" s="64"/>
      <c r="DS232" s="64"/>
      <c r="DT232" s="64"/>
      <c r="DU232" s="64"/>
      <c r="DV232" s="64">
        <f t="shared" si="583"/>
        <v>0</v>
      </c>
      <c r="DW232" s="64"/>
      <c r="DX232" s="64"/>
      <c r="DY232" s="64"/>
      <c r="DZ232" s="64"/>
      <c r="EA232" s="375"/>
      <c r="EB232" s="375"/>
      <c r="EC232" s="375"/>
      <c r="ED232" s="375"/>
      <c r="EE232" s="375"/>
      <c r="EF232" s="375"/>
      <c r="EG232" s="375"/>
      <c r="EH232" s="375"/>
      <c r="EI232" s="375"/>
      <c r="EJ232" s="375"/>
      <c r="EK232" s="375"/>
      <c r="EL232" s="375"/>
      <c r="EM232" s="375"/>
      <c r="EN232" s="375"/>
      <c r="EO232" s="375"/>
      <c r="EP232" s="375"/>
      <c r="EQ232" s="375"/>
      <c r="ER232" s="375"/>
      <c r="ES232" s="375"/>
      <c r="ET232" s="375"/>
      <c r="EU232" s="375"/>
      <c r="EV232" s="375"/>
      <c r="EW232" s="375"/>
      <c r="EX232" s="375"/>
      <c r="EY232" s="375"/>
      <c r="EZ232" s="375"/>
      <c r="FA232" s="375"/>
      <c r="FB232" s="375"/>
      <c r="FC232" s="375"/>
      <c r="FD232" s="375"/>
      <c r="FE232" s="375"/>
      <c r="FF232" s="375"/>
      <c r="FG232" s="375"/>
      <c r="FH232" s="375"/>
      <c r="FI232" s="375"/>
      <c r="FJ232" s="375"/>
      <c r="FK232" s="375"/>
      <c r="FL232" s="375"/>
      <c r="FM232" s="375"/>
      <c r="FN232" s="375"/>
      <c r="FO232" s="375"/>
      <c r="FP232" s="375"/>
      <c r="FQ232" s="375"/>
      <c r="FR232" s="375"/>
      <c r="FS232" s="375"/>
      <c r="FT232" s="375"/>
      <c r="FU232" s="375"/>
      <c r="FV232" s="375"/>
      <c r="FW232" s="375"/>
      <c r="FX232" s="375"/>
      <c r="FY232" s="375"/>
      <c r="FZ232" s="375"/>
      <c r="GA232" s="375"/>
      <c r="GB232" s="375"/>
      <c r="GC232" s="375"/>
      <c r="GD232" s="375"/>
      <c r="GE232" s="375"/>
      <c r="GF232" s="375"/>
      <c r="GG232" s="375"/>
      <c r="GH232" s="375"/>
      <c r="GI232" s="375"/>
      <c r="GJ232" s="375"/>
      <c r="GK232" s="375"/>
      <c r="GL232" s="375"/>
      <c r="GM232" s="375"/>
      <c r="GN232" s="375"/>
      <c r="GO232" s="375"/>
      <c r="GP232" s="375"/>
      <c r="GQ232" s="375"/>
      <c r="GR232" s="375"/>
    </row>
    <row r="233" spans="1:200" s="61" customFormat="1" ht="15.75" customHeight="1" x14ac:dyDescent="0.3">
      <c r="A233" s="280"/>
      <c r="B233" s="281"/>
      <c r="C233" s="282"/>
      <c r="D233" s="282">
        <v>1</v>
      </c>
      <c r="E233" s="4">
        <v>195</v>
      </c>
      <c r="F233" s="281"/>
      <c r="G233" s="282"/>
      <c r="H233" s="282">
        <v>1</v>
      </c>
      <c r="I233" s="4"/>
      <c r="J233" s="283"/>
      <c r="K233" s="283"/>
      <c r="L233" s="286"/>
      <c r="M233" s="4">
        <v>191</v>
      </c>
      <c r="N233" s="62" t="s">
        <v>70</v>
      </c>
      <c r="O233" s="62">
        <v>0</v>
      </c>
      <c r="P233" s="62">
        <v>0</v>
      </c>
      <c r="Q233" s="60">
        <f t="shared" si="482"/>
        <v>0</v>
      </c>
      <c r="R233" s="60">
        <f t="shared" si="483"/>
        <v>0</v>
      </c>
      <c r="S233" s="60">
        <f t="shared" si="484"/>
        <v>0</v>
      </c>
      <c r="T233" s="60"/>
      <c r="U233" s="60"/>
      <c r="V233" s="64">
        <f t="shared" si="560"/>
        <v>0</v>
      </c>
      <c r="W233" s="64"/>
      <c r="X233" s="65">
        <v>0</v>
      </c>
      <c r="Y233" s="64"/>
      <c r="Z233" s="60"/>
      <c r="AA233" s="64">
        <f t="shared" si="561"/>
        <v>0</v>
      </c>
      <c r="AB233" s="64"/>
      <c r="AC233" s="65">
        <v>0</v>
      </c>
      <c r="AD233" s="64"/>
      <c r="AE233" s="60"/>
      <c r="AF233" s="64">
        <f t="shared" si="562"/>
        <v>0</v>
      </c>
      <c r="AG233" s="64"/>
      <c r="AH233" s="65">
        <v>0</v>
      </c>
      <c r="AI233" s="64"/>
      <c r="AJ233" s="60"/>
      <c r="AK233" s="64">
        <f t="shared" si="563"/>
        <v>184</v>
      </c>
      <c r="AL233" s="64"/>
      <c r="AM233" s="65">
        <v>184</v>
      </c>
      <c r="AN233" s="64"/>
      <c r="AO233" s="64"/>
      <c r="AP233" s="64"/>
      <c r="AQ233" s="64">
        <f t="shared" si="564"/>
        <v>0</v>
      </c>
      <c r="AR233" s="64"/>
      <c r="AS233" s="65"/>
      <c r="AT233" s="64"/>
      <c r="AU233" s="64"/>
      <c r="AV233" s="64">
        <f t="shared" si="470"/>
        <v>0</v>
      </c>
      <c r="AW233" s="64">
        <f t="shared" si="471"/>
        <v>0</v>
      </c>
      <c r="AX233" s="64">
        <f t="shared" si="472"/>
        <v>0</v>
      </c>
      <c r="AY233" s="64">
        <f t="shared" si="473"/>
        <v>0</v>
      </c>
      <c r="AZ233" s="64" t="e">
        <f>#REF!-AU233</f>
        <v>#REF!</v>
      </c>
      <c r="BA233" s="64">
        <f t="shared" si="565"/>
        <v>0</v>
      </c>
      <c r="BB233" s="64"/>
      <c r="BC233" s="65"/>
      <c r="BD233" s="64"/>
      <c r="BE233" s="64"/>
      <c r="BF233" s="64">
        <f t="shared" si="566"/>
        <v>0</v>
      </c>
      <c r="BG233" s="64"/>
      <c r="BH233" s="65"/>
      <c r="BI233" s="64"/>
      <c r="BJ233" s="64"/>
      <c r="BK233" s="64">
        <f t="shared" si="567"/>
        <v>0</v>
      </c>
      <c r="BL233" s="64"/>
      <c r="BM233" s="74"/>
      <c r="BN233" s="64"/>
      <c r="BO233" s="64"/>
      <c r="BP233" s="64">
        <f t="shared" si="568"/>
        <v>0</v>
      </c>
      <c r="BQ233" s="64"/>
      <c r="BR233" s="74"/>
      <c r="BS233" s="64"/>
      <c r="BT233" s="64"/>
      <c r="BU233" s="64">
        <f t="shared" si="569"/>
        <v>0</v>
      </c>
      <c r="BV233" s="64"/>
      <c r="BW233" s="64"/>
      <c r="BX233" s="64"/>
      <c r="BY233" s="64"/>
      <c r="BZ233" s="60">
        <f t="shared" si="570"/>
        <v>0</v>
      </c>
      <c r="CA233" s="64">
        <f t="shared" si="474"/>
        <v>0</v>
      </c>
      <c r="CB233" s="64">
        <f t="shared" si="475"/>
        <v>0</v>
      </c>
      <c r="CC233" s="64">
        <f t="shared" si="476"/>
        <v>0</v>
      </c>
      <c r="CD233" s="64">
        <f t="shared" si="477"/>
        <v>0</v>
      </c>
      <c r="CE233" s="64">
        <f t="shared" si="571"/>
        <v>0</v>
      </c>
      <c r="CF233" s="64">
        <f t="shared" si="478"/>
        <v>0</v>
      </c>
      <c r="CG233" s="64">
        <f t="shared" si="479"/>
        <v>0</v>
      </c>
      <c r="CH233" s="64">
        <f t="shared" si="480"/>
        <v>0</v>
      </c>
      <c r="CI233" s="64">
        <f t="shared" si="481"/>
        <v>0</v>
      </c>
      <c r="CJ233" s="64">
        <f t="shared" si="572"/>
        <v>0</v>
      </c>
      <c r="CK233" s="66"/>
      <c r="CL233" s="67"/>
      <c r="CM233" s="67"/>
      <c r="CN233" s="64">
        <f t="shared" si="573"/>
        <v>0</v>
      </c>
      <c r="CO233" s="64"/>
      <c r="CP233" s="65"/>
      <c r="CQ233" s="64"/>
      <c r="CR233" s="64"/>
      <c r="CS233" s="64">
        <f t="shared" si="574"/>
        <v>0</v>
      </c>
      <c r="CT233" s="64"/>
      <c r="CU233" s="65"/>
      <c r="CV233" s="64"/>
      <c r="CW233" s="64"/>
      <c r="CX233" s="64">
        <f t="shared" si="575"/>
        <v>0</v>
      </c>
      <c r="CY233" s="64">
        <f t="shared" si="576"/>
        <v>0</v>
      </c>
      <c r="CZ233" s="64">
        <f t="shared" si="576"/>
        <v>0</v>
      </c>
      <c r="DA233" s="64">
        <f t="shared" si="576"/>
        <v>0</v>
      </c>
      <c r="DB233" s="64">
        <f t="shared" si="576"/>
        <v>0</v>
      </c>
      <c r="DC233" s="64"/>
      <c r="DD233" s="64"/>
      <c r="DE233" s="64"/>
      <c r="DF233" s="64">
        <f t="shared" si="577"/>
        <v>0</v>
      </c>
      <c r="DH233" s="64">
        <f t="shared" si="578"/>
        <v>0</v>
      </c>
      <c r="DI233" s="64">
        <f t="shared" si="579"/>
        <v>0</v>
      </c>
      <c r="DK233" s="64"/>
      <c r="DL233" s="64"/>
      <c r="DN233" s="64"/>
      <c r="DQ233" s="64">
        <f t="shared" si="582"/>
        <v>0</v>
      </c>
      <c r="DR233" s="64"/>
      <c r="DS233" s="74"/>
      <c r="DT233" s="64"/>
      <c r="DU233" s="64"/>
      <c r="DV233" s="64">
        <f t="shared" si="583"/>
        <v>0</v>
      </c>
      <c r="DW233" s="64"/>
      <c r="DX233" s="64"/>
      <c r="DY233" s="64"/>
      <c r="DZ233" s="64"/>
      <c r="EA233" s="375"/>
      <c r="EB233" s="375"/>
      <c r="EC233" s="375"/>
      <c r="ED233" s="375"/>
      <c r="EE233" s="375"/>
      <c r="EF233" s="375"/>
      <c r="EG233" s="375"/>
      <c r="EH233" s="375"/>
      <c r="EI233" s="375"/>
      <c r="EJ233" s="375"/>
      <c r="EK233" s="375"/>
      <c r="EL233" s="375"/>
      <c r="EM233" s="375"/>
      <c r="EN233" s="375"/>
      <c r="EO233" s="375"/>
      <c r="EP233" s="375"/>
      <c r="EQ233" s="375"/>
      <c r="ER233" s="375"/>
      <c r="ES233" s="375"/>
      <c r="ET233" s="375"/>
      <c r="EU233" s="375"/>
      <c r="EV233" s="375"/>
      <c r="EW233" s="375"/>
      <c r="EX233" s="375"/>
      <c r="EY233" s="375"/>
      <c r="EZ233" s="375"/>
      <c r="FA233" s="375"/>
      <c r="FB233" s="375"/>
      <c r="FC233" s="375"/>
      <c r="FD233" s="375"/>
      <c r="FE233" s="375"/>
      <c r="FF233" s="375"/>
      <c r="FG233" s="375"/>
      <c r="FH233" s="375"/>
      <c r="FI233" s="375"/>
      <c r="FJ233" s="375"/>
      <c r="FK233" s="375"/>
      <c r="FL233" s="375"/>
      <c r="FM233" s="375"/>
      <c r="FN233" s="375"/>
      <c r="FO233" s="375"/>
      <c r="FP233" s="375"/>
      <c r="FQ233" s="375"/>
      <c r="FR233" s="375"/>
      <c r="FS233" s="375"/>
      <c r="FT233" s="375"/>
      <c r="FU233" s="375"/>
      <c r="FV233" s="375"/>
      <c r="FW233" s="375"/>
      <c r="FX233" s="375"/>
      <c r="FY233" s="375"/>
      <c r="FZ233" s="375"/>
      <c r="GA233" s="375"/>
      <c r="GB233" s="375"/>
      <c r="GC233" s="375"/>
      <c r="GD233" s="375"/>
      <c r="GE233" s="375"/>
      <c r="GF233" s="375"/>
      <c r="GG233" s="375"/>
      <c r="GH233" s="375"/>
      <c r="GI233" s="375"/>
      <c r="GJ233" s="375"/>
      <c r="GK233" s="375"/>
      <c r="GL233" s="375"/>
      <c r="GM233" s="375"/>
      <c r="GN233" s="375"/>
      <c r="GO233" s="375"/>
      <c r="GP233" s="375"/>
      <c r="GQ233" s="375"/>
      <c r="GR233" s="375"/>
    </row>
    <row r="234" spans="1:200" s="61" customFormat="1" ht="15.75" customHeight="1" x14ac:dyDescent="0.3">
      <c r="A234" s="280"/>
      <c r="B234" s="281"/>
      <c r="C234" s="282"/>
      <c r="D234" s="282">
        <v>1</v>
      </c>
      <c r="E234" s="4">
        <v>196</v>
      </c>
      <c r="F234" s="281"/>
      <c r="G234" s="282"/>
      <c r="H234" s="282">
        <v>1</v>
      </c>
      <c r="I234" s="4"/>
      <c r="J234" s="283"/>
      <c r="K234" s="283"/>
      <c r="L234" s="286"/>
      <c r="M234" s="4">
        <v>192</v>
      </c>
      <c r="N234" s="62" t="s">
        <v>174</v>
      </c>
      <c r="O234" s="62" t="s">
        <v>450</v>
      </c>
      <c r="P234" s="62" t="s">
        <v>450</v>
      </c>
      <c r="Q234" s="60">
        <f t="shared" si="482"/>
        <v>0</v>
      </c>
      <c r="R234" s="60">
        <f t="shared" si="483"/>
        <v>104.88484999999991</v>
      </c>
      <c r="S234" s="60">
        <f t="shared" si="484"/>
        <v>0</v>
      </c>
      <c r="T234" s="60">
        <v>1</v>
      </c>
      <c r="U234" s="60">
        <v>2</v>
      </c>
      <c r="V234" s="64">
        <f t="shared" si="560"/>
        <v>1085.5999999999999</v>
      </c>
      <c r="W234" s="64"/>
      <c r="X234" s="65">
        <v>1085.5999999999999</v>
      </c>
      <c r="Y234" s="64"/>
      <c r="Z234" s="60"/>
      <c r="AA234" s="64">
        <f t="shared" si="561"/>
        <v>1085.5999999999999</v>
      </c>
      <c r="AB234" s="64"/>
      <c r="AC234" s="65">
        <v>1085.5999999999999</v>
      </c>
      <c r="AD234" s="64"/>
      <c r="AE234" s="60"/>
      <c r="AF234" s="64">
        <f t="shared" si="562"/>
        <v>1085.5999999999999</v>
      </c>
      <c r="AG234" s="64"/>
      <c r="AH234" s="65">
        <v>1085.5999999999999</v>
      </c>
      <c r="AI234" s="64"/>
      <c r="AJ234" s="60"/>
      <c r="AK234" s="64">
        <f t="shared" si="563"/>
        <v>472</v>
      </c>
      <c r="AL234" s="64"/>
      <c r="AM234" s="65">
        <v>472</v>
      </c>
      <c r="AN234" s="64"/>
      <c r="AO234" s="64"/>
      <c r="AP234" s="64" t="s">
        <v>516</v>
      </c>
      <c r="AQ234" s="64">
        <f t="shared" si="564"/>
        <v>1085.5999999999999</v>
      </c>
      <c r="AR234" s="64"/>
      <c r="AS234" s="65">
        <f>472+613.6</f>
        <v>1085.5999999999999</v>
      </c>
      <c r="AT234" s="64"/>
      <c r="AU234" s="64"/>
      <c r="AV234" s="64">
        <f t="shared" si="470"/>
        <v>0</v>
      </c>
      <c r="AW234" s="64">
        <f t="shared" si="471"/>
        <v>0</v>
      </c>
      <c r="AX234" s="64">
        <f t="shared" si="472"/>
        <v>0</v>
      </c>
      <c r="AY234" s="64">
        <f t="shared" si="473"/>
        <v>0</v>
      </c>
      <c r="AZ234" s="64" t="e">
        <f>#REF!-AU234</f>
        <v>#REF!</v>
      </c>
      <c r="BA234" s="64">
        <f t="shared" si="565"/>
        <v>1085.5999999999999</v>
      </c>
      <c r="BB234" s="64"/>
      <c r="BC234" s="65">
        <f>472+613.6</f>
        <v>1085.5999999999999</v>
      </c>
      <c r="BD234" s="64"/>
      <c r="BE234" s="64"/>
      <c r="BF234" s="64">
        <f t="shared" si="566"/>
        <v>0</v>
      </c>
      <c r="BG234" s="64"/>
      <c r="BH234" s="65"/>
      <c r="BI234" s="64"/>
      <c r="BJ234" s="64"/>
      <c r="BK234" s="64">
        <f t="shared" si="567"/>
        <v>1085.5999999999999</v>
      </c>
      <c r="BL234" s="64"/>
      <c r="BM234" s="65">
        <f>472+613.6</f>
        <v>1085.5999999999999</v>
      </c>
      <c r="BN234" s="64"/>
      <c r="BO234" s="64"/>
      <c r="BP234" s="64">
        <f t="shared" si="568"/>
        <v>980.71514999999999</v>
      </c>
      <c r="BQ234" s="64"/>
      <c r="BR234" s="74">
        <f>472+508.71515</f>
        <v>980.71514999999999</v>
      </c>
      <c r="BS234" s="64"/>
      <c r="BT234" s="64"/>
      <c r="BU234" s="64">
        <f t="shared" si="569"/>
        <v>513.82958999999994</v>
      </c>
      <c r="BV234" s="64"/>
      <c r="BW234" s="64">
        <f>342.28+171.54959</f>
        <v>513.82958999999994</v>
      </c>
      <c r="BX234" s="64"/>
      <c r="BY234" s="64"/>
      <c r="BZ234" s="60">
        <f t="shared" si="570"/>
        <v>1494.5447399999998</v>
      </c>
      <c r="CA234" s="64">
        <f t="shared" si="474"/>
        <v>1494.5447399999998</v>
      </c>
      <c r="CB234" s="64">
        <f t="shared" si="475"/>
        <v>0</v>
      </c>
      <c r="CC234" s="64">
        <f t="shared" si="476"/>
        <v>1494.5447399999998</v>
      </c>
      <c r="CD234" s="64">
        <f t="shared" si="477"/>
        <v>0</v>
      </c>
      <c r="CE234" s="64">
        <f t="shared" si="571"/>
        <v>0</v>
      </c>
      <c r="CF234" s="64">
        <f t="shared" si="478"/>
        <v>104.88484999999991</v>
      </c>
      <c r="CG234" s="64">
        <f t="shared" si="479"/>
        <v>0</v>
      </c>
      <c r="CH234" s="64">
        <f t="shared" si="480"/>
        <v>104.88484999999991</v>
      </c>
      <c r="CI234" s="64">
        <f t="shared" si="481"/>
        <v>0</v>
      </c>
      <c r="CJ234" s="64">
        <f t="shared" si="572"/>
        <v>0</v>
      </c>
      <c r="CK234" s="66"/>
      <c r="CL234" s="67"/>
      <c r="CM234" s="67"/>
      <c r="CN234" s="64">
        <f t="shared" si="573"/>
        <v>0</v>
      </c>
      <c r="CO234" s="64"/>
      <c r="CP234" s="65"/>
      <c r="CQ234" s="64"/>
      <c r="CR234" s="64"/>
      <c r="CS234" s="64">
        <f t="shared" si="574"/>
        <v>0</v>
      </c>
      <c r="CT234" s="64"/>
      <c r="CU234" s="65"/>
      <c r="CV234" s="64"/>
      <c r="CW234" s="64"/>
      <c r="CX234" s="64">
        <f t="shared" si="575"/>
        <v>0</v>
      </c>
      <c r="CY234" s="64">
        <f t="shared" si="576"/>
        <v>0</v>
      </c>
      <c r="CZ234" s="64">
        <f t="shared" si="576"/>
        <v>0</v>
      </c>
      <c r="DA234" s="64">
        <f t="shared" si="576"/>
        <v>0</v>
      </c>
      <c r="DB234" s="64">
        <f t="shared" si="576"/>
        <v>0</v>
      </c>
      <c r="DC234" s="64"/>
      <c r="DD234" s="64"/>
      <c r="DE234" s="64"/>
      <c r="DF234" s="64">
        <f t="shared" si="577"/>
        <v>104.88484999999991</v>
      </c>
      <c r="DH234" s="64">
        <f t="shared" si="578"/>
        <v>1085.5999999999999</v>
      </c>
      <c r="DI234" s="64">
        <f t="shared" si="579"/>
        <v>980.71514999999999</v>
      </c>
      <c r="DK234" s="64"/>
      <c r="DL234" s="64"/>
      <c r="DN234" s="64"/>
      <c r="DQ234" s="64">
        <f t="shared" si="582"/>
        <v>980.71514999999999</v>
      </c>
      <c r="DR234" s="64"/>
      <c r="DS234" s="74">
        <f>472+508.71515</f>
        <v>980.71514999999999</v>
      </c>
      <c r="DT234" s="64"/>
      <c r="DU234" s="64"/>
      <c r="DV234" s="64">
        <f t="shared" si="583"/>
        <v>342.28</v>
      </c>
      <c r="DW234" s="64"/>
      <c r="DX234" s="64">
        <v>342.28</v>
      </c>
      <c r="DY234" s="64"/>
      <c r="DZ234" s="64"/>
      <c r="EA234" s="375"/>
      <c r="EB234" s="375"/>
      <c r="EC234" s="375"/>
      <c r="ED234" s="375"/>
      <c r="EE234" s="375"/>
      <c r="EF234" s="375"/>
      <c r="EG234" s="375"/>
      <c r="EH234" s="375"/>
      <c r="EI234" s="375"/>
      <c r="EJ234" s="375"/>
      <c r="EK234" s="375"/>
      <c r="EL234" s="375"/>
      <c r="EM234" s="375"/>
      <c r="EN234" s="375"/>
      <c r="EO234" s="375"/>
      <c r="EP234" s="375"/>
      <c r="EQ234" s="375"/>
      <c r="ER234" s="375"/>
      <c r="ES234" s="375"/>
      <c r="ET234" s="375"/>
      <c r="EU234" s="375"/>
      <c r="EV234" s="375"/>
      <c r="EW234" s="375"/>
      <c r="EX234" s="375"/>
      <c r="EY234" s="375"/>
      <c r="EZ234" s="375"/>
      <c r="FA234" s="375"/>
      <c r="FB234" s="375"/>
      <c r="FC234" s="375"/>
      <c r="FD234" s="375"/>
      <c r="FE234" s="375"/>
      <c r="FF234" s="375"/>
      <c r="FG234" s="375"/>
      <c r="FH234" s="375"/>
      <c r="FI234" s="375"/>
      <c r="FJ234" s="375"/>
      <c r="FK234" s="375"/>
      <c r="FL234" s="375"/>
      <c r="FM234" s="375"/>
      <c r="FN234" s="375"/>
      <c r="FO234" s="375"/>
      <c r="FP234" s="375"/>
      <c r="FQ234" s="375"/>
      <c r="FR234" s="375"/>
      <c r="FS234" s="375"/>
      <c r="FT234" s="375"/>
      <c r="FU234" s="375"/>
      <c r="FV234" s="375"/>
      <c r="FW234" s="375"/>
      <c r="FX234" s="375"/>
      <c r="FY234" s="375"/>
      <c r="FZ234" s="375"/>
      <c r="GA234" s="375"/>
      <c r="GB234" s="375"/>
      <c r="GC234" s="375"/>
      <c r="GD234" s="375"/>
      <c r="GE234" s="375"/>
      <c r="GF234" s="375"/>
      <c r="GG234" s="375"/>
      <c r="GH234" s="375"/>
      <c r="GI234" s="375"/>
      <c r="GJ234" s="375"/>
      <c r="GK234" s="375"/>
      <c r="GL234" s="375"/>
      <c r="GM234" s="375"/>
      <c r="GN234" s="375"/>
      <c r="GO234" s="375"/>
      <c r="GP234" s="375"/>
      <c r="GQ234" s="375"/>
      <c r="GR234" s="375"/>
    </row>
    <row r="235" spans="1:200" s="61" customFormat="1" ht="15.75" customHeight="1" x14ac:dyDescent="0.3">
      <c r="A235" s="280"/>
      <c r="B235" s="281"/>
      <c r="C235" s="282"/>
      <c r="D235" s="282">
        <v>1</v>
      </c>
      <c r="E235" s="4">
        <v>197</v>
      </c>
      <c r="F235" s="281"/>
      <c r="G235" s="282"/>
      <c r="H235" s="282"/>
      <c r="I235" s="4"/>
      <c r="J235" s="283"/>
      <c r="K235" s="283"/>
      <c r="L235" s="286"/>
      <c r="M235" s="4">
        <v>193</v>
      </c>
      <c r="N235" s="62" t="s">
        <v>245</v>
      </c>
      <c r="O235" s="62">
        <v>0</v>
      </c>
      <c r="P235" s="62">
        <v>0</v>
      </c>
      <c r="Q235" s="60">
        <f t="shared" si="482"/>
        <v>0</v>
      </c>
      <c r="R235" s="60">
        <f t="shared" si="483"/>
        <v>0</v>
      </c>
      <c r="S235" s="60">
        <f t="shared" si="484"/>
        <v>0</v>
      </c>
      <c r="T235" s="60"/>
      <c r="U235" s="60"/>
      <c r="V235" s="64">
        <f t="shared" si="560"/>
        <v>0</v>
      </c>
      <c r="W235" s="64"/>
      <c r="X235" s="65">
        <v>0</v>
      </c>
      <c r="Y235" s="64"/>
      <c r="Z235" s="60"/>
      <c r="AA235" s="64">
        <f t="shared" si="561"/>
        <v>0</v>
      </c>
      <c r="AB235" s="64"/>
      <c r="AC235" s="65">
        <v>0</v>
      </c>
      <c r="AD235" s="64"/>
      <c r="AE235" s="60"/>
      <c r="AF235" s="64">
        <f t="shared" si="562"/>
        <v>0</v>
      </c>
      <c r="AG235" s="64"/>
      <c r="AH235" s="65">
        <v>0</v>
      </c>
      <c r="AI235" s="64"/>
      <c r="AJ235" s="60"/>
      <c r="AK235" s="64">
        <f t="shared" si="563"/>
        <v>230</v>
      </c>
      <c r="AL235" s="64"/>
      <c r="AM235" s="65">
        <v>230</v>
      </c>
      <c r="AN235" s="64"/>
      <c r="AO235" s="64"/>
      <c r="AP235" s="64"/>
      <c r="AQ235" s="64">
        <f t="shared" si="564"/>
        <v>0</v>
      </c>
      <c r="AR235" s="64"/>
      <c r="AS235" s="65"/>
      <c r="AT235" s="64"/>
      <c r="AU235" s="64"/>
      <c r="AV235" s="64">
        <f t="shared" si="470"/>
        <v>0</v>
      </c>
      <c r="AW235" s="64">
        <f t="shared" si="471"/>
        <v>0</v>
      </c>
      <c r="AX235" s="64">
        <f t="shared" si="472"/>
        <v>0</v>
      </c>
      <c r="AY235" s="64">
        <f t="shared" si="473"/>
        <v>0</v>
      </c>
      <c r="AZ235" s="64" t="e">
        <f>#REF!-AU235</f>
        <v>#REF!</v>
      </c>
      <c r="BA235" s="64">
        <f t="shared" si="565"/>
        <v>0</v>
      </c>
      <c r="BB235" s="64"/>
      <c r="BC235" s="65"/>
      <c r="BD235" s="64"/>
      <c r="BE235" s="64"/>
      <c r="BF235" s="64">
        <f t="shared" si="566"/>
        <v>0</v>
      </c>
      <c r="BG235" s="64"/>
      <c r="BH235" s="64"/>
      <c r="BI235" s="64"/>
      <c r="BJ235" s="64"/>
      <c r="BK235" s="64">
        <f t="shared" si="567"/>
        <v>0</v>
      </c>
      <c r="BL235" s="64"/>
      <c r="BM235" s="74"/>
      <c r="BN235" s="64"/>
      <c r="BO235" s="64"/>
      <c r="BP235" s="64">
        <f t="shared" si="568"/>
        <v>0</v>
      </c>
      <c r="BQ235" s="64"/>
      <c r="BR235" s="64"/>
      <c r="BS235" s="64"/>
      <c r="BT235" s="64"/>
      <c r="BU235" s="64">
        <f t="shared" si="569"/>
        <v>0</v>
      </c>
      <c r="BV235" s="64"/>
      <c r="BW235" s="64"/>
      <c r="BX235" s="64"/>
      <c r="BY235" s="64"/>
      <c r="BZ235" s="60">
        <f t="shared" si="570"/>
        <v>0</v>
      </c>
      <c r="CA235" s="64">
        <f t="shared" si="474"/>
        <v>0</v>
      </c>
      <c r="CB235" s="64">
        <f t="shared" si="475"/>
        <v>0</v>
      </c>
      <c r="CC235" s="64">
        <f t="shared" si="476"/>
        <v>0</v>
      </c>
      <c r="CD235" s="64">
        <f t="shared" si="477"/>
        <v>0</v>
      </c>
      <c r="CE235" s="64">
        <f t="shared" si="571"/>
        <v>0</v>
      </c>
      <c r="CF235" s="64">
        <f t="shared" si="478"/>
        <v>0</v>
      </c>
      <c r="CG235" s="64">
        <f t="shared" si="479"/>
        <v>0</v>
      </c>
      <c r="CH235" s="64">
        <f t="shared" si="480"/>
        <v>0</v>
      </c>
      <c r="CI235" s="64">
        <f t="shared" si="481"/>
        <v>0</v>
      </c>
      <c r="CJ235" s="64">
        <f t="shared" si="572"/>
        <v>0</v>
      </c>
      <c r="CK235" s="66"/>
      <c r="CL235" s="67"/>
      <c r="CM235" s="67"/>
      <c r="CN235" s="64">
        <f t="shared" si="573"/>
        <v>0</v>
      </c>
      <c r="CO235" s="64"/>
      <c r="CP235" s="64"/>
      <c r="CQ235" s="64"/>
      <c r="CR235" s="64"/>
      <c r="CS235" s="64">
        <f t="shared" si="574"/>
        <v>0</v>
      </c>
      <c r="CT235" s="64"/>
      <c r="CU235" s="64"/>
      <c r="CV235" s="64"/>
      <c r="CW235" s="64"/>
      <c r="CX235" s="64">
        <f t="shared" si="575"/>
        <v>0</v>
      </c>
      <c r="CY235" s="64">
        <f t="shared" si="576"/>
        <v>0</v>
      </c>
      <c r="CZ235" s="64">
        <f t="shared" si="576"/>
        <v>0</v>
      </c>
      <c r="DA235" s="64">
        <f t="shared" si="576"/>
        <v>0</v>
      </c>
      <c r="DB235" s="64">
        <f t="shared" si="576"/>
        <v>0</v>
      </c>
      <c r="DC235" s="64"/>
      <c r="DD235" s="64"/>
      <c r="DE235" s="64"/>
      <c r="DF235" s="64">
        <f t="shared" si="577"/>
        <v>0</v>
      </c>
      <c r="DH235" s="64">
        <f t="shared" si="578"/>
        <v>0</v>
      </c>
      <c r="DI235" s="64">
        <f t="shared" si="579"/>
        <v>0</v>
      </c>
      <c r="DK235" s="64"/>
      <c r="DL235" s="64"/>
      <c r="DN235" s="64"/>
      <c r="DQ235" s="64">
        <f t="shared" si="582"/>
        <v>0</v>
      </c>
      <c r="DR235" s="64"/>
      <c r="DS235" s="64"/>
      <c r="DT235" s="64"/>
      <c r="DU235" s="64"/>
      <c r="DV235" s="64">
        <f t="shared" si="583"/>
        <v>0</v>
      </c>
      <c r="DW235" s="64"/>
      <c r="DX235" s="64"/>
      <c r="DY235" s="64"/>
      <c r="DZ235" s="64"/>
      <c r="EA235" s="375"/>
      <c r="EB235" s="375"/>
      <c r="EC235" s="375"/>
      <c r="ED235" s="375"/>
      <c r="EE235" s="375"/>
      <c r="EF235" s="375"/>
      <c r="EG235" s="375"/>
      <c r="EH235" s="375"/>
      <c r="EI235" s="375"/>
      <c r="EJ235" s="375"/>
      <c r="EK235" s="375"/>
      <c r="EL235" s="375"/>
      <c r="EM235" s="375"/>
      <c r="EN235" s="375"/>
      <c r="EO235" s="375"/>
      <c r="EP235" s="375"/>
      <c r="EQ235" s="375"/>
      <c r="ER235" s="375"/>
      <c r="ES235" s="375"/>
      <c r="ET235" s="375"/>
      <c r="EU235" s="375"/>
      <c r="EV235" s="375"/>
      <c r="EW235" s="375"/>
      <c r="EX235" s="375"/>
      <c r="EY235" s="375"/>
      <c r="EZ235" s="375"/>
      <c r="FA235" s="375"/>
      <c r="FB235" s="375"/>
      <c r="FC235" s="375"/>
      <c r="FD235" s="375"/>
      <c r="FE235" s="375"/>
      <c r="FF235" s="375"/>
      <c r="FG235" s="375"/>
      <c r="FH235" s="375"/>
      <c r="FI235" s="375"/>
      <c r="FJ235" s="375"/>
      <c r="FK235" s="375"/>
      <c r="FL235" s="375"/>
      <c r="FM235" s="375"/>
      <c r="FN235" s="375"/>
      <c r="FO235" s="375"/>
      <c r="FP235" s="375"/>
      <c r="FQ235" s="375"/>
      <c r="FR235" s="375"/>
      <c r="FS235" s="375"/>
      <c r="FT235" s="375"/>
      <c r="FU235" s="375"/>
      <c r="FV235" s="375"/>
      <c r="FW235" s="375"/>
      <c r="FX235" s="375"/>
      <c r="FY235" s="375"/>
      <c r="FZ235" s="375"/>
      <c r="GA235" s="375"/>
      <c r="GB235" s="375"/>
      <c r="GC235" s="375"/>
      <c r="GD235" s="375"/>
      <c r="GE235" s="375"/>
      <c r="GF235" s="375"/>
      <c r="GG235" s="375"/>
      <c r="GH235" s="375"/>
      <c r="GI235" s="375"/>
      <c r="GJ235" s="375"/>
      <c r="GK235" s="375"/>
      <c r="GL235" s="375"/>
      <c r="GM235" s="375"/>
      <c r="GN235" s="375"/>
      <c r="GO235" s="375"/>
      <c r="GP235" s="375"/>
      <c r="GQ235" s="375"/>
      <c r="GR235" s="375"/>
    </row>
    <row r="236" spans="1:200" s="61" customFormat="1" ht="15.75" customHeight="1" x14ac:dyDescent="0.3">
      <c r="A236" s="280"/>
      <c r="B236" s="281"/>
      <c r="C236" s="282"/>
      <c r="D236" s="282">
        <v>1</v>
      </c>
      <c r="E236" s="4">
        <v>198</v>
      </c>
      <c r="F236" s="281"/>
      <c r="G236" s="282"/>
      <c r="H236" s="282"/>
      <c r="I236" s="4"/>
      <c r="J236" s="283"/>
      <c r="K236" s="283"/>
      <c r="L236" s="286"/>
      <c r="M236" s="4">
        <v>194</v>
      </c>
      <c r="N236" s="62" t="s">
        <v>244</v>
      </c>
      <c r="O236" s="62">
        <v>0</v>
      </c>
      <c r="P236" s="62">
        <v>0</v>
      </c>
      <c r="Q236" s="60">
        <f t="shared" si="482"/>
        <v>0</v>
      </c>
      <c r="R236" s="60">
        <f t="shared" si="483"/>
        <v>0</v>
      </c>
      <c r="S236" s="60">
        <f t="shared" si="484"/>
        <v>0</v>
      </c>
      <c r="T236" s="60"/>
      <c r="U236" s="60"/>
      <c r="V236" s="64">
        <f t="shared" si="560"/>
        <v>0</v>
      </c>
      <c r="W236" s="64"/>
      <c r="X236" s="65">
        <v>0</v>
      </c>
      <c r="Y236" s="64"/>
      <c r="Z236" s="60"/>
      <c r="AA236" s="64">
        <f t="shared" si="561"/>
        <v>0</v>
      </c>
      <c r="AB236" s="64"/>
      <c r="AC236" s="65">
        <v>0</v>
      </c>
      <c r="AD236" s="64"/>
      <c r="AE236" s="60"/>
      <c r="AF236" s="64">
        <f t="shared" si="562"/>
        <v>0</v>
      </c>
      <c r="AG236" s="64"/>
      <c r="AH236" s="65">
        <v>0</v>
      </c>
      <c r="AI236" s="64"/>
      <c r="AJ236" s="60"/>
      <c r="AK236" s="64">
        <f t="shared" si="563"/>
        <v>175</v>
      </c>
      <c r="AL236" s="64"/>
      <c r="AM236" s="65">
        <v>175</v>
      </c>
      <c r="AN236" s="64"/>
      <c r="AO236" s="64"/>
      <c r="AP236" s="64"/>
      <c r="AQ236" s="64">
        <f t="shared" si="564"/>
        <v>0</v>
      </c>
      <c r="AR236" s="64"/>
      <c r="AS236" s="65"/>
      <c r="AT236" s="64"/>
      <c r="AU236" s="64"/>
      <c r="AV236" s="64">
        <f t="shared" si="470"/>
        <v>0</v>
      </c>
      <c r="AW236" s="64">
        <f t="shared" si="471"/>
        <v>0</v>
      </c>
      <c r="AX236" s="64">
        <f t="shared" si="472"/>
        <v>0</v>
      </c>
      <c r="AY236" s="64">
        <f t="shared" si="473"/>
        <v>0</v>
      </c>
      <c r="AZ236" s="64" t="e">
        <f>#REF!-AU236</f>
        <v>#REF!</v>
      </c>
      <c r="BA236" s="64">
        <f t="shared" si="565"/>
        <v>0</v>
      </c>
      <c r="BB236" s="64"/>
      <c r="BC236" s="65"/>
      <c r="BD236" s="64"/>
      <c r="BE236" s="64"/>
      <c r="BF236" s="64">
        <f t="shared" si="566"/>
        <v>0</v>
      </c>
      <c r="BG236" s="64"/>
      <c r="BH236" s="64"/>
      <c r="BI236" s="64"/>
      <c r="BJ236" s="64"/>
      <c r="BK236" s="64">
        <f t="shared" si="567"/>
        <v>0</v>
      </c>
      <c r="BL236" s="64"/>
      <c r="BM236" s="74"/>
      <c r="BN236" s="64"/>
      <c r="BO236" s="64"/>
      <c r="BP236" s="64">
        <f t="shared" si="568"/>
        <v>0</v>
      </c>
      <c r="BQ236" s="64"/>
      <c r="BR236" s="64"/>
      <c r="BS236" s="64"/>
      <c r="BT236" s="64"/>
      <c r="BU236" s="64">
        <f t="shared" si="569"/>
        <v>0</v>
      </c>
      <c r="BV236" s="64"/>
      <c r="BW236" s="64"/>
      <c r="BX236" s="64"/>
      <c r="BY236" s="64"/>
      <c r="BZ236" s="60">
        <f t="shared" si="570"/>
        <v>0</v>
      </c>
      <c r="CA236" s="64">
        <f t="shared" si="474"/>
        <v>0</v>
      </c>
      <c r="CB236" s="64">
        <f t="shared" si="475"/>
        <v>0</v>
      </c>
      <c r="CC236" s="64">
        <f t="shared" si="476"/>
        <v>0</v>
      </c>
      <c r="CD236" s="64">
        <f t="shared" si="477"/>
        <v>0</v>
      </c>
      <c r="CE236" s="64">
        <f t="shared" si="571"/>
        <v>0</v>
      </c>
      <c r="CF236" s="64">
        <f t="shared" si="478"/>
        <v>0</v>
      </c>
      <c r="CG236" s="64">
        <f t="shared" si="479"/>
        <v>0</v>
      </c>
      <c r="CH236" s="64">
        <f t="shared" si="480"/>
        <v>0</v>
      </c>
      <c r="CI236" s="64">
        <f t="shared" si="481"/>
        <v>0</v>
      </c>
      <c r="CJ236" s="64">
        <f t="shared" si="572"/>
        <v>0</v>
      </c>
      <c r="CK236" s="66"/>
      <c r="CL236" s="67"/>
      <c r="CM236" s="67"/>
      <c r="CN236" s="64">
        <f t="shared" si="573"/>
        <v>0</v>
      </c>
      <c r="CO236" s="64"/>
      <c r="CP236" s="64"/>
      <c r="CQ236" s="64"/>
      <c r="CR236" s="64"/>
      <c r="CS236" s="64">
        <f t="shared" si="574"/>
        <v>0</v>
      </c>
      <c r="CT236" s="64"/>
      <c r="CU236" s="64"/>
      <c r="CV236" s="64"/>
      <c r="CW236" s="64"/>
      <c r="CX236" s="64">
        <f t="shared" si="575"/>
        <v>0</v>
      </c>
      <c r="CY236" s="64">
        <f t="shared" si="576"/>
        <v>0</v>
      </c>
      <c r="CZ236" s="64">
        <f t="shared" si="576"/>
        <v>0</v>
      </c>
      <c r="DA236" s="64">
        <f t="shared" si="576"/>
        <v>0</v>
      </c>
      <c r="DB236" s="64">
        <f t="shared" si="576"/>
        <v>0</v>
      </c>
      <c r="DC236" s="64"/>
      <c r="DD236" s="64"/>
      <c r="DE236" s="64"/>
      <c r="DF236" s="64">
        <f t="shared" si="577"/>
        <v>0</v>
      </c>
      <c r="DH236" s="64">
        <f t="shared" si="578"/>
        <v>0</v>
      </c>
      <c r="DI236" s="64">
        <f t="shared" si="579"/>
        <v>0</v>
      </c>
      <c r="DK236" s="64"/>
      <c r="DL236" s="64"/>
      <c r="DN236" s="64"/>
      <c r="DQ236" s="64">
        <f t="shared" si="582"/>
        <v>0</v>
      </c>
      <c r="DR236" s="64"/>
      <c r="DS236" s="64"/>
      <c r="DT236" s="64"/>
      <c r="DU236" s="64"/>
      <c r="DV236" s="64">
        <f t="shared" si="583"/>
        <v>0</v>
      </c>
      <c r="DW236" s="64"/>
      <c r="DX236" s="64"/>
      <c r="DY236" s="64"/>
      <c r="DZ236" s="64"/>
      <c r="EA236" s="375"/>
      <c r="EB236" s="375"/>
      <c r="EC236" s="375"/>
      <c r="ED236" s="375"/>
      <c r="EE236" s="375"/>
      <c r="EF236" s="375"/>
      <c r="EG236" s="375"/>
      <c r="EH236" s="375"/>
      <c r="EI236" s="375"/>
      <c r="EJ236" s="375"/>
      <c r="EK236" s="375"/>
      <c r="EL236" s="375"/>
      <c r="EM236" s="375"/>
      <c r="EN236" s="375"/>
      <c r="EO236" s="375"/>
      <c r="EP236" s="375"/>
      <c r="EQ236" s="375"/>
      <c r="ER236" s="375"/>
      <c r="ES236" s="375"/>
      <c r="ET236" s="375"/>
      <c r="EU236" s="375"/>
      <c r="EV236" s="375"/>
      <c r="EW236" s="375"/>
      <c r="EX236" s="375"/>
      <c r="EY236" s="375"/>
      <c r="EZ236" s="375"/>
      <c r="FA236" s="375"/>
      <c r="FB236" s="375"/>
      <c r="FC236" s="375"/>
      <c r="FD236" s="375"/>
      <c r="FE236" s="375"/>
      <c r="FF236" s="375"/>
      <c r="FG236" s="375"/>
      <c r="FH236" s="375"/>
      <c r="FI236" s="375"/>
      <c r="FJ236" s="375"/>
      <c r="FK236" s="375"/>
      <c r="FL236" s="375"/>
      <c r="FM236" s="375"/>
      <c r="FN236" s="375"/>
      <c r="FO236" s="375"/>
      <c r="FP236" s="375"/>
      <c r="FQ236" s="375"/>
      <c r="FR236" s="375"/>
      <c r="FS236" s="375"/>
      <c r="FT236" s="375"/>
      <c r="FU236" s="375"/>
      <c r="FV236" s="375"/>
      <c r="FW236" s="375"/>
      <c r="FX236" s="375"/>
      <c r="FY236" s="375"/>
      <c r="FZ236" s="375"/>
      <c r="GA236" s="375"/>
      <c r="GB236" s="375"/>
      <c r="GC236" s="375"/>
      <c r="GD236" s="375"/>
      <c r="GE236" s="375"/>
      <c r="GF236" s="375"/>
      <c r="GG236" s="375"/>
      <c r="GH236" s="375"/>
      <c r="GI236" s="375"/>
      <c r="GJ236" s="375"/>
      <c r="GK236" s="375"/>
      <c r="GL236" s="375"/>
      <c r="GM236" s="375"/>
      <c r="GN236" s="375"/>
      <c r="GO236" s="375"/>
      <c r="GP236" s="375"/>
      <c r="GQ236" s="375"/>
      <c r="GR236" s="375"/>
    </row>
    <row r="237" spans="1:200" s="61" customFormat="1" ht="15.75" customHeight="1" x14ac:dyDescent="0.3">
      <c r="A237" s="280"/>
      <c r="B237" s="281"/>
      <c r="C237" s="282"/>
      <c r="D237" s="282">
        <v>1</v>
      </c>
      <c r="E237" s="4">
        <v>199</v>
      </c>
      <c r="F237" s="281"/>
      <c r="G237" s="282"/>
      <c r="H237" s="282"/>
      <c r="I237" s="4"/>
      <c r="J237" s="283"/>
      <c r="K237" s="283"/>
      <c r="L237" s="286"/>
      <c r="M237" s="4">
        <v>195</v>
      </c>
      <c r="N237" s="62" t="s">
        <v>175</v>
      </c>
      <c r="O237" s="62">
        <v>0</v>
      </c>
      <c r="P237" s="62">
        <v>0</v>
      </c>
      <c r="Q237" s="60">
        <f t="shared" si="482"/>
        <v>0</v>
      </c>
      <c r="R237" s="60">
        <f t="shared" si="483"/>
        <v>0</v>
      </c>
      <c r="S237" s="60">
        <f t="shared" si="484"/>
        <v>0</v>
      </c>
      <c r="T237" s="60"/>
      <c r="U237" s="60"/>
      <c r="V237" s="64">
        <f t="shared" si="560"/>
        <v>0</v>
      </c>
      <c r="W237" s="64"/>
      <c r="X237" s="65">
        <v>0</v>
      </c>
      <c r="Y237" s="64"/>
      <c r="Z237" s="60"/>
      <c r="AA237" s="64">
        <f t="shared" si="561"/>
        <v>0</v>
      </c>
      <c r="AB237" s="64"/>
      <c r="AC237" s="65">
        <v>0</v>
      </c>
      <c r="AD237" s="64"/>
      <c r="AE237" s="60"/>
      <c r="AF237" s="64">
        <f t="shared" si="562"/>
        <v>0</v>
      </c>
      <c r="AG237" s="64"/>
      <c r="AH237" s="65">
        <v>0</v>
      </c>
      <c r="AI237" s="64"/>
      <c r="AJ237" s="60"/>
      <c r="AK237" s="64">
        <f t="shared" si="563"/>
        <v>258</v>
      </c>
      <c r="AL237" s="64"/>
      <c r="AM237" s="65">
        <v>258</v>
      </c>
      <c r="AN237" s="64"/>
      <c r="AO237" s="64"/>
      <c r="AP237" s="64"/>
      <c r="AQ237" s="64">
        <f t="shared" si="564"/>
        <v>0</v>
      </c>
      <c r="AR237" s="64"/>
      <c r="AS237" s="65"/>
      <c r="AT237" s="64"/>
      <c r="AU237" s="64"/>
      <c r="AV237" s="64">
        <f t="shared" si="470"/>
        <v>0</v>
      </c>
      <c r="AW237" s="64">
        <f t="shared" si="471"/>
        <v>0</v>
      </c>
      <c r="AX237" s="64">
        <f t="shared" si="472"/>
        <v>0</v>
      </c>
      <c r="AY237" s="64">
        <f t="shared" si="473"/>
        <v>0</v>
      </c>
      <c r="AZ237" s="64" t="e">
        <f>#REF!-AU237</f>
        <v>#REF!</v>
      </c>
      <c r="BA237" s="64">
        <f t="shared" si="565"/>
        <v>0</v>
      </c>
      <c r="BB237" s="64"/>
      <c r="BC237" s="65"/>
      <c r="BD237" s="64"/>
      <c r="BE237" s="64"/>
      <c r="BF237" s="64">
        <f t="shared" si="566"/>
        <v>0</v>
      </c>
      <c r="BG237" s="64"/>
      <c r="BH237" s="64"/>
      <c r="BI237" s="64"/>
      <c r="BJ237" s="64"/>
      <c r="BK237" s="64">
        <f t="shared" si="567"/>
        <v>0</v>
      </c>
      <c r="BL237" s="64"/>
      <c r="BM237" s="74"/>
      <c r="BN237" s="64"/>
      <c r="BO237" s="64"/>
      <c r="BP237" s="64">
        <f t="shared" si="568"/>
        <v>0</v>
      </c>
      <c r="BQ237" s="64"/>
      <c r="BR237" s="64"/>
      <c r="BS237" s="64"/>
      <c r="BT237" s="64"/>
      <c r="BU237" s="64">
        <f t="shared" si="569"/>
        <v>0</v>
      </c>
      <c r="BV237" s="64"/>
      <c r="BW237" s="64"/>
      <c r="BX237" s="64"/>
      <c r="BY237" s="64"/>
      <c r="BZ237" s="60">
        <f t="shared" si="570"/>
        <v>0</v>
      </c>
      <c r="CA237" s="64">
        <f t="shared" si="474"/>
        <v>0</v>
      </c>
      <c r="CB237" s="64">
        <f t="shared" si="475"/>
        <v>0</v>
      </c>
      <c r="CC237" s="64">
        <f t="shared" si="476"/>
        <v>0</v>
      </c>
      <c r="CD237" s="64">
        <f t="shared" si="477"/>
        <v>0</v>
      </c>
      <c r="CE237" s="64">
        <f t="shared" si="571"/>
        <v>0</v>
      </c>
      <c r="CF237" s="64">
        <f t="shared" si="478"/>
        <v>0</v>
      </c>
      <c r="CG237" s="64">
        <f t="shared" si="479"/>
        <v>0</v>
      </c>
      <c r="CH237" s="64">
        <f t="shared" si="480"/>
        <v>0</v>
      </c>
      <c r="CI237" s="64">
        <f t="shared" si="481"/>
        <v>0</v>
      </c>
      <c r="CJ237" s="64">
        <f t="shared" si="572"/>
        <v>0</v>
      </c>
      <c r="CK237" s="66"/>
      <c r="CL237" s="67"/>
      <c r="CM237" s="67"/>
      <c r="CN237" s="64">
        <f t="shared" si="573"/>
        <v>0</v>
      </c>
      <c r="CO237" s="64"/>
      <c r="CP237" s="64"/>
      <c r="CQ237" s="64"/>
      <c r="CR237" s="64"/>
      <c r="CS237" s="64">
        <f t="shared" si="574"/>
        <v>0</v>
      </c>
      <c r="CT237" s="64"/>
      <c r="CU237" s="64"/>
      <c r="CV237" s="64"/>
      <c r="CW237" s="64"/>
      <c r="CX237" s="64">
        <f t="shared" si="575"/>
        <v>0</v>
      </c>
      <c r="CY237" s="64">
        <f t="shared" si="576"/>
        <v>0</v>
      </c>
      <c r="CZ237" s="64">
        <f t="shared" si="576"/>
        <v>0</v>
      </c>
      <c r="DA237" s="64">
        <f t="shared" si="576"/>
        <v>0</v>
      </c>
      <c r="DB237" s="64">
        <f t="shared" si="576"/>
        <v>0</v>
      </c>
      <c r="DC237" s="64"/>
      <c r="DD237" s="64"/>
      <c r="DE237" s="64"/>
      <c r="DF237" s="64">
        <f t="shared" si="577"/>
        <v>0</v>
      </c>
      <c r="DH237" s="64">
        <f t="shared" si="578"/>
        <v>0</v>
      </c>
      <c r="DI237" s="64">
        <f t="shared" si="579"/>
        <v>0</v>
      </c>
      <c r="DK237" s="64"/>
      <c r="DL237" s="64"/>
      <c r="DN237" s="64"/>
      <c r="DQ237" s="64">
        <f t="shared" si="582"/>
        <v>0</v>
      </c>
      <c r="DR237" s="64"/>
      <c r="DS237" s="64"/>
      <c r="DT237" s="64"/>
      <c r="DU237" s="64"/>
      <c r="DV237" s="64">
        <f t="shared" si="583"/>
        <v>0</v>
      </c>
      <c r="DW237" s="64"/>
      <c r="DX237" s="64"/>
      <c r="DY237" s="64"/>
      <c r="DZ237" s="64"/>
      <c r="EA237" s="375"/>
      <c r="EB237" s="375"/>
      <c r="EC237" s="375"/>
      <c r="ED237" s="375"/>
      <c r="EE237" s="375"/>
      <c r="EF237" s="375"/>
      <c r="EG237" s="375"/>
      <c r="EH237" s="375"/>
      <c r="EI237" s="375"/>
      <c r="EJ237" s="375"/>
      <c r="EK237" s="375"/>
      <c r="EL237" s="375"/>
      <c r="EM237" s="375"/>
      <c r="EN237" s="375"/>
      <c r="EO237" s="375"/>
      <c r="EP237" s="375"/>
      <c r="EQ237" s="375"/>
      <c r="ER237" s="375"/>
      <c r="ES237" s="375"/>
      <c r="ET237" s="375"/>
      <c r="EU237" s="375"/>
      <c r="EV237" s="375"/>
      <c r="EW237" s="375"/>
      <c r="EX237" s="375"/>
      <c r="EY237" s="375"/>
      <c r="EZ237" s="375"/>
      <c r="FA237" s="375"/>
      <c r="FB237" s="375"/>
      <c r="FC237" s="375"/>
      <c r="FD237" s="375"/>
      <c r="FE237" s="375"/>
      <c r="FF237" s="375"/>
      <c r="FG237" s="375"/>
      <c r="FH237" s="375"/>
      <c r="FI237" s="375"/>
      <c r="FJ237" s="375"/>
      <c r="FK237" s="375"/>
      <c r="FL237" s="375"/>
      <c r="FM237" s="375"/>
      <c r="FN237" s="375"/>
      <c r="FO237" s="375"/>
      <c r="FP237" s="375"/>
      <c r="FQ237" s="375"/>
      <c r="FR237" s="375"/>
      <c r="FS237" s="375"/>
      <c r="FT237" s="375"/>
      <c r="FU237" s="375"/>
      <c r="FV237" s="375"/>
      <c r="FW237" s="375"/>
      <c r="FX237" s="375"/>
      <c r="FY237" s="375"/>
      <c r="FZ237" s="375"/>
      <c r="GA237" s="375"/>
      <c r="GB237" s="375"/>
      <c r="GC237" s="375"/>
      <c r="GD237" s="375"/>
      <c r="GE237" s="375"/>
      <c r="GF237" s="375"/>
      <c r="GG237" s="375"/>
      <c r="GH237" s="375"/>
      <c r="GI237" s="375"/>
      <c r="GJ237" s="375"/>
      <c r="GK237" s="375"/>
      <c r="GL237" s="375"/>
      <c r="GM237" s="375"/>
      <c r="GN237" s="375"/>
      <c r="GO237" s="375"/>
      <c r="GP237" s="375"/>
      <c r="GQ237" s="375"/>
      <c r="GR237" s="375"/>
    </row>
    <row r="238" spans="1:200" s="61" customFormat="1" ht="15.75" customHeight="1" x14ac:dyDescent="0.3">
      <c r="A238" s="280"/>
      <c r="B238" s="281"/>
      <c r="C238" s="282"/>
      <c r="D238" s="282">
        <v>1</v>
      </c>
      <c r="E238" s="4">
        <v>200</v>
      </c>
      <c r="F238" s="281"/>
      <c r="G238" s="282"/>
      <c r="H238" s="282"/>
      <c r="I238" s="4"/>
      <c r="J238" s="283"/>
      <c r="K238" s="283"/>
      <c r="L238" s="286"/>
      <c r="M238" s="4">
        <v>196</v>
      </c>
      <c r="N238" s="62" t="s">
        <v>150</v>
      </c>
      <c r="O238" s="62">
        <v>0</v>
      </c>
      <c r="P238" s="62">
        <v>0</v>
      </c>
      <c r="Q238" s="60">
        <f t="shared" si="482"/>
        <v>0</v>
      </c>
      <c r="R238" s="60">
        <f t="shared" si="483"/>
        <v>0</v>
      </c>
      <c r="S238" s="60">
        <f t="shared" si="484"/>
        <v>0</v>
      </c>
      <c r="T238" s="60"/>
      <c r="U238" s="60"/>
      <c r="V238" s="64">
        <f t="shared" si="560"/>
        <v>0</v>
      </c>
      <c r="W238" s="64"/>
      <c r="X238" s="65">
        <v>0</v>
      </c>
      <c r="Y238" s="64"/>
      <c r="Z238" s="60"/>
      <c r="AA238" s="64">
        <f t="shared" si="561"/>
        <v>0</v>
      </c>
      <c r="AB238" s="64"/>
      <c r="AC238" s="65">
        <v>0</v>
      </c>
      <c r="AD238" s="64"/>
      <c r="AE238" s="60"/>
      <c r="AF238" s="64">
        <f t="shared" si="562"/>
        <v>0</v>
      </c>
      <c r="AG238" s="64"/>
      <c r="AH238" s="65">
        <v>0</v>
      </c>
      <c r="AI238" s="64"/>
      <c r="AJ238" s="60"/>
      <c r="AK238" s="64">
        <f t="shared" si="563"/>
        <v>121</v>
      </c>
      <c r="AL238" s="64"/>
      <c r="AM238" s="65">
        <v>121</v>
      </c>
      <c r="AN238" s="64"/>
      <c r="AO238" s="64"/>
      <c r="AP238" s="64"/>
      <c r="AQ238" s="64">
        <f t="shared" si="564"/>
        <v>0</v>
      </c>
      <c r="AR238" s="64"/>
      <c r="AS238" s="65"/>
      <c r="AT238" s="64"/>
      <c r="AU238" s="64"/>
      <c r="AV238" s="64">
        <f t="shared" si="470"/>
        <v>0</v>
      </c>
      <c r="AW238" s="64">
        <f t="shared" si="471"/>
        <v>0</v>
      </c>
      <c r="AX238" s="64">
        <f t="shared" si="472"/>
        <v>0</v>
      </c>
      <c r="AY238" s="64">
        <f t="shared" si="473"/>
        <v>0</v>
      </c>
      <c r="AZ238" s="64" t="e">
        <f>#REF!-AU238</f>
        <v>#REF!</v>
      </c>
      <c r="BA238" s="64">
        <f t="shared" si="565"/>
        <v>0</v>
      </c>
      <c r="BB238" s="64"/>
      <c r="BC238" s="65"/>
      <c r="BD238" s="64"/>
      <c r="BE238" s="64"/>
      <c r="BF238" s="64">
        <f t="shared" si="566"/>
        <v>0</v>
      </c>
      <c r="BG238" s="64"/>
      <c r="BH238" s="65"/>
      <c r="BI238" s="64"/>
      <c r="BJ238" s="64"/>
      <c r="BK238" s="64">
        <f t="shared" si="567"/>
        <v>0</v>
      </c>
      <c r="BL238" s="64"/>
      <c r="BM238" s="74"/>
      <c r="BN238" s="64"/>
      <c r="BO238" s="64"/>
      <c r="BP238" s="64">
        <f t="shared" si="568"/>
        <v>0</v>
      </c>
      <c r="BQ238" s="64"/>
      <c r="BR238" s="74"/>
      <c r="BS238" s="64"/>
      <c r="BT238" s="64"/>
      <c r="BU238" s="64">
        <f t="shared" si="569"/>
        <v>0</v>
      </c>
      <c r="BV238" s="64"/>
      <c r="BW238" s="64"/>
      <c r="BX238" s="64"/>
      <c r="BY238" s="64"/>
      <c r="BZ238" s="60">
        <f t="shared" si="570"/>
        <v>0</v>
      </c>
      <c r="CA238" s="64">
        <f t="shared" si="474"/>
        <v>0</v>
      </c>
      <c r="CB238" s="64">
        <f t="shared" si="475"/>
        <v>0</v>
      </c>
      <c r="CC238" s="64">
        <f t="shared" si="476"/>
        <v>0</v>
      </c>
      <c r="CD238" s="64">
        <f t="shared" si="477"/>
        <v>0</v>
      </c>
      <c r="CE238" s="64">
        <f t="shared" si="571"/>
        <v>0</v>
      </c>
      <c r="CF238" s="64">
        <f t="shared" si="478"/>
        <v>0</v>
      </c>
      <c r="CG238" s="64">
        <f t="shared" si="479"/>
        <v>0</v>
      </c>
      <c r="CH238" s="64">
        <f t="shared" si="480"/>
        <v>0</v>
      </c>
      <c r="CI238" s="64">
        <f t="shared" si="481"/>
        <v>0</v>
      </c>
      <c r="CJ238" s="64">
        <f t="shared" si="572"/>
        <v>0</v>
      </c>
      <c r="CK238" s="66"/>
      <c r="CL238" s="67"/>
      <c r="CM238" s="67"/>
      <c r="CN238" s="64">
        <f t="shared" si="573"/>
        <v>0</v>
      </c>
      <c r="CO238" s="64"/>
      <c r="CP238" s="65"/>
      <c r="CQ238" s="64"/>
      <c r="CR238" s="64"/>
      <c r="CS238" s="64">
        <f t="shared" si="574"/>
        <v>0</v>
      </c>
      <c r="CT238" s="64"/>
      <c r="CU238" s="65"/>
      <c r="CV238" s="64"/>
      <c r="CW238" s="64"/>
      <c r="CX238" s="64">
        <f t="shared" si="575"/>
        <v>0</v>
      </c>
      <c r="CY238" s="64">
        <f t="shared" si="576"/>
        <v>0</v>
      </c>
      <c r="CZ238" s="64">
        <f t="shared" si="576"/>
        <v>0</v>
      </c>
      <c r="DA238" s="64">
        <f t="shared" si="576"/>
        <v>0</v>
      </c>
      <c r="DB238" s="64">
        <f t="shared" si="576"/>
        <v>0</v>
      </c>
      <c r="DC238" s="64"/>
      <c r="DD238" s="64"/>
      <c r="DE238" s="64"/>
      <c r="DF238" s="64">
        <f t="shared" si="577"/>
        <v>0</v>
      </c>
      <c r="DH238" s="64">
        <f t="shared" si="578"/>
        <v>0</v>
      </c>
      <c r="DI238" s="64">
        <f t="shared" si="579"/>
        <v>0</v>
      </c>
      <c r="DK238" s="64"/>
      <c r="DL238" s="64"/>
      <c r="DN238" s="64"/>
      <c r="DQ238" s="64">
        <f t="shared" si="582"/>
        <v>0</v>
      </c>
      <c r="DR238" s="64"/>
      <c r="DS238" s="74"/>
      <c r="DT238" s="64"/>
      <c r="DU238" s="64"/>
      <c r="DV238" s="64">
        <f t="shared" si="583"/>
        <v>0</v>
      </c>
      <c r="DW238" s="64"/>
      <c r="DX238" s="64"/>
      <c r="DY238" s="64"/>
      <c r="DZ238" s="64"/>
      <c r="EA238" s="375"/>
      <c r="EB238" s="375"/>
      <c r="EC238" s="375"/>
      <c r="ED238" s="375"/>
      <c r="EE238" s="375"/>
      <c r="EF238" s="375"/>
      <c r="EG238" s="375"/>
      <c r="EH238" s="375"/>
      <c r="EI238" s="375"/>
      <c r="EJ238" s="375"/>
      <c r="EK238" s="375"/>
      <c r="EL238" s="375"/>
      <c r="EM238" s="375"/>
      <c r="EN238" s="375"/>
      <c r="EO238" s="375"/>
      <c r="EP238" s="375"/>
      <c r="EQ238" s="375"/>
      <c r="ER238" s="375"/>
      <c r="ES238" s="375"/>
      <c r="ET238" s="375"/>
      <c r="EU238" s="375"/>
      <c r="EV238" s="375"/>
      <c r="EW238" s="375"/>
      <c r="EX238" s="375"/>
      <c r="EY238" s="375"/>
      <c r="EZ238" s="375"/>
      <c r="FA238" s="375"/>
      <c r="FB238" s="375"/>
      <c r="FC238" s="375"/>
      <c r="FD238" s="375"/>
      <c r="FE238" s="375"/>
      <c r="FF238" s="375"/>
      <c r="FG238" s="375"/>
      <c r="FH238" s="375"/>
      <c r="FI238" s="375"/>
      <c r="FJ238" s="375"/>
      <c r="FK238" s="375"/>
      <c r="FL238" s="375"/>
      <c r="FM238" s="375"/>
      <c r="FN238" s="375"/>
      <c r="FO238" s="375"/>
      <c r="FP238" s="375"/>
      <c r="FQ238" s="375"/>
      <c r="FR238" s="375"/>
      <c r="FS238" s="375"/>
      <c r="FT238" s="375"/>
      <c r="FU238" s="375"/>
      <c r="FV238" s="375"/>
      <c r="FW238" s="375"/>
      <c r="FX238" s="375"/>
      <c r="FY238" s="375"/>
      <c r="FZ238" s="375"/>
      <c r="GA238" s="375"/>
      <c r="GB238" s="375"/>
      <c r="GC238" s="375"/>
      <c r="GD238" s="375"/>
      <c r="GE238" s="375"/>
      <c r="GF238" s="375"/>
      <c r="GG238" s="375"/>
      <c r="GH238" s="375"/>
      <c r="GI238" s="375"/>
      <c r="GJ238" s="375"/>
      <c r="GK238" s="375"/>
      <c r="GL238" s="375"/>
      <c r="GM238" s="375"/>
      <c r="GN238" s="375"/>
      <c r="GO238" s="375"/>
      <c r="GP238" s="375"/>
      <c r="GQ238" s="375"/>
      <c r="GR238" s="375"/>
    </row>
    <row r="239" spans="1:200" s="61" customFormat="1" ht="15.75" customHeight="1" x14ac:dyDescent="0.3">
      <c r="A239" s="280"/>
      <c r="B239" s="281"/>
      <c r="C239" s="282">
        <v>1</v>
      </c>
      <c r="D239" s="282"/>
      <c r="E239" s="4">
        <v>201</v>
      </c>
      <c r="F239" s="281"/>
      <c r="G239" s="282">
        <v>1</v>
      </c>
      <c r="H239" s="282"/>
      <c r="I239" s="4"/>
      <c r="J239" s="283"/>
      <c r="K239" s="283"/>
      <c r="L239" s="286"/>
      <c r="M239" s="4">
        <v>197</v>
      </c>
      <c r="N239" s="62" t="s">
        <v>64</v>
      </c>
      <c r="O239" s="62" t="s">
        <v>448</v>
      </c>
      <c r="P239" s="62" t="s">
        <v>450</v>
      </c>
      <c r="Q239" s="60">
        <f t="shared" si="482"/>
        <v>0</v>
      </c>
      <c r="R239" s="60">
        <f t="shared" si="483"/>
        <v>92.90099999999984</v>
      </c>
      <c r="S239" s="60">
        <f t="shared" si="484"/>
        <v>0</v>
      </c>
      <c r="T239" s="60">
        <v>1</v>
      </c>
      <c r="U239" s="60">
        <v>3</v>
      </c>
      <c r="V239" s="64">
        <f t="shared" si="560"/>
        <v>78974.69</v>
      </c>
      <c r="W239" s="64">
        <v>75867.94</v>
      </c>
      <c r="X239" s="65">
        <v>3106.75</v>
      </c>
      <c r="Y239" s="64"/>
      <c r="Z239" s="73"/>
      <c r="AA239" s="64">
        <f t="shared" si="561"/>
        <v>79162.94</v>
      </c>
      <c r="AB239" s="64">
        <v>75867.94</v>
      </c>
      <c r="AC239" s="65">
        <v>3295</v>
      </c>
      <c r="AD239" s="64"/>
      <c r="AE239" s="73"/>
      <c r="AF239" s="64">
        <f t="shared" si="562"/>
        <v>79162.94</v>
      </c>
      <c r="AG239" s="64">
        <v>75867.94</v>
      </c>
      <c r="AH239" s="65">
        <v>3295</v>
      </c>
      <c r="AI239" s="64"/>
      <c r="AJ239" s="73"/>
      <c r="AK239" s="64">
        <f t="shared" si="563"/>
        <v>77247.94</v>
      </c>
      <c r="AL239" s="64">
        <v>75867.94</v>
      </c>
      <c r="AM239" s="65">
        <v>1380</v>
      </c>
      <c r="AN239" s="64"/>
      <c r="AO239" s="73"/>
      <c r="AP239" s="64" t="s">
        <v>524</v>
      </c>
      <c r="AQ239" s="64">
        <f t="shared" si="564"/>
        <v>78974.69</v>
      </c>
      <c r="AR239" s="64">
        <v>75867.94</v>
      </c>
      <c r="AS239" s="65">
        <f>1380+1726.75</f>
        <v>3106.75</v>
      </c>
      <c r="AT239" s="64"/>
      <c r="AU239" s="64"/>
      <c r="AV239" s="64">
        <f t="shared" si="470"/>
        <v>0</v>
      </c>
      <c r="AW239" s="64">
        <f t="shared" si="471"/>
        <v>0</v>
      </c>
      <c r="AX239" s="64">
        <f t="shared" si="472"/>
        <v>0</v>
      </c>
      <c r="AY239" s="64">
        <f t="shared" si="473"/>
        <v>0</v>
      </c>
      <c r="AZ239" s="64" t="e">
        <f>#REF!-AU239</f>
        <v>#REF!</v>
      </c>
      <c r="BA239" s="64">
        <f t="shared" si="565"/>
        <v>54824.257610000001</v>
      </c>
      <c r="BB239" s="64">
        <f>6123.21653+22760.382+22833.90908</f>
        <v>51717.507610000001</v>
      </c>
      <c r="BC239" s="65">
        <f>1380+1726.75</f>
        <v>3106.75</v>
      </c>
      <c r="BD239" s="64"/>
      <c r="BE239" s="64"/>
      <c r="BF239" s="64">
        <f t="shared" si="566"/>
        <v>0</v>
      </c>
      <c r="BG239" s="64"/>
      <c r="BH239" s="64"/>
      <c r="BI239" s="64"/>
      <c r="BJ239" s="64"/>
      <c r="BK239" s="64">
        <f t="shared" si="567"/>
        <v>54824.257610000001</v>
      </c>
      <c r="BL239" s="64">
        <f>6123.21653+22760.382+22833.90908</f>
        <v>51717.507610000001</v>
      </c>
      <c r="BM239" s="65">
        <f>1380+1726.75</f>
        <v>3106.75</v>
      </c>
      <c r="BN239" s="64"/>
      <c r="BO239" s="64"/>
      <c r="BP239" s="64">
        <f t="shared" si="568"/>
        <v>54731.356610000003</v>
      </c>
      <c r="BQ239" s="64">
        <f>6123.21653+22760.382+22833.90908</f>
        <v>51717.507610000001</v>
      </c>
      <c r="BR239" s="64">
        <f>1191.75+1822.099</f>
        <v>3013.8490000000002</v>
      </c>
      <c r="BS239" s="64"/>
      <c r="BT239" s="64"/>
      <c r="BU239" s="64">
        <f t="shared" si="569"/>
        <v>3764.2753399999997</v>
      </c>
      <c r="BV239" s="64">
        <f>359.95835+1197.915+1201.78469</f>
        <v>2759.6580399999998</v>
      </c>
      <c r="BW239" s="64">
        <f>397.25+607.3673</f>
        <v>1004.6173</v>
      </c>
      <c r="BX239" s="64"/>
      <c r="BY239" s="64"/>
      <c r="BZ239" s="60">
        <f t="shared" si="570"/>
        <v>58495.631950000003</v>
      </c>
      <c r="CA239" s="64">
        <f t="shared" si="474"/>
        <v>58495.631950000003</v>
      </c>
      <c r="CB239" s="64">
        <f t="shared" si="475"/>
        <v>54477.165650000003</v>
      </c>
      <c r="CC239" s="64">
        <f t="shared" si="476"/>
        <v>4018.4663</v>
      </c>
      <c r="CD239" s="64">
        <f t="shared" si="477"/>
        <v>0</v>
      </c>
      <c r="CE239" s="64">
        <f t="shared" si="571"/>
        <v>0</v>
      </c>
      <c r="CF239" s="64">
        <f t="shared" si="478"/>
        <v>92.90099999999984</v>
      </c>
      <c r="CG239" s="64">
        <f t="shared" si="479"/>
        <v>0</v>
      </c>
      <c r="CH239" s="64">
        <f t="shared" si="480"/>
        <v>92.90099999999984</v>
      </c>
      <c r="CI239" s="64">
        <f t="shared" si="481"/>
        <v>0</v>
      </c>
      <c r="CJ239" s="64">
        <f t="shared" si="572"/>
        <v>0</v>
      </c>
      <c r="CK239" s="66"/>
      <c r="CL239" s="76">
        <f>BA239</f>
        <v>54824.257610000001</v>
      </c>
      <c r="CM239" s="76">
        <f>CL239</f>
        <v>54824.257610000001</v>
      </c>
      <c r="CN239" s="64">
        <f t="shared" si="573"/>
        <v>0</v>
      </c>
      <c r="CO239" s="64"/>
      <c r="CP239" s="64"/>
      <c r="CQ239" s="64"/>
      <c r="CR239" s="64"/>
      <c r="CS239" s="64">
        <f t="shared" si="574"/>
        <v>0</v>
      </c>
      <c r="CT239" s="64"/>
      <c r="CU239" s="64"/>
      <c r="CV239" s="64"/>
      <c r="CW239" s="64"/>
      <c r="CX239" s="64">
        <f t="shared" si="575"/>
        <v>0</v>
      </c>
      <c r="CY239" s="64">
        <f t="shared" si="576"/>
        <v>0</v>
      </c>
      <c r="CZ239" s="64">
        <f t="shared" si="576"/>
        <v>0</v>
      </c>
      <c r="DA239" s="64">
        <f t="shared" si="576"/>
        <v>0</v>
      </c>
      <c r="DB239" s="64">
        <f t="shared" si="576"/>
        <v>0</v>
      </c>
      <c r="DC239" s="64"/>
      <c r="DD239" s="64"/>
      <c r="DE239" s="64"/>
      <c r="DF239" s="64">
        <f t="shared" si="577"/>
        <v>92.90099999999984</v>
      </c>
      <c r="DH239" s="64">
        <f t="shared" si="578"/>
        <v>54824.257610000001</v>
      </c>
      <c r="DI239" s="64">
        <f t="shared" si="579"/>
        <v>54731.356610000003</v>
      </c>
      <c r="DK239" s="77">
        <f>DI239</f>
        <v>54731.356610000003</v>
      </c>
      <c r="DL239" s="77">
        <f>DF239</f>
        <v>92.90099999999984</v>
      </c>
      <c r="DN239" s="64">
        <f>CM239-DK239</f>
        <v>92.900999999998021</v>
      </c>
      <c r="DQ239" s="64">
        <f t="shared" si="582"/>
        <v>41756.935649999999</v>
      </c>
      <c r="DR239" s="64">
        <v>38743.086649999997</v>
      </c>
      <c r="DS239" s="64">
        <f>1191.75+1822.099</f>
        <v>3013.8490000000002</v>
      </c>
      <c r="DT239" s="64"/>
      <c r="DU239" s="64"/>
      <c r="DV239" s="64">
        <f t="shared" si="583"/>
        <v>3081.4109199999998</v>
      </c>
      <c r="DW239" s="64">
        <v>2076.7936199999999</v>
      </c>
      <c r="DX239" s="64">
        <v>1004.6173</v>
      </c>
      <c r="DY239" s="64"/>
      <c r="DZ239" s="64"/>
      <c r="EA239" s="375"/>
      <c r="EB239" s="375"/>
      <c r="EC239" s="375"/>
      <c r="ED239" s="375"/>
      <c r="EE239" s="375"/>
      <c r="EF239" s="375"/>
      <c r="EG239" s="375"/>
      <c r="EH239" s="375"/>
      <c r="EI239" s="375"/>
      <c r="EJ239" s="375"/>
      <c r="EK239" s="375"/>
      <c r="EL239" s="375"/>
      <c r="EM239" s="375"/>
      <c r="EN239" s="375"/>
      <c r="EO239" s="375"/>
      <c r="EP239" s="375"/>
      <c r="EQ239" s="375"/>
      <c r="ER239" s="375"/>
      <c r="ES239" s="375"/>
      <c r="ET239" s="375"/>
      <c r="EU239" s="375"/>
      <c r="EV239" s="375"/>
      <c r="EW239" s="375"/>
      <c r="EX239" s="375"/>
      <c r="EY239" s="375"/>
      <c r="EZ239" s="375"/>
      <c r="FA239" s="375"/>
      <c r="FB239" s="375"/>
      <c r="FC239" s="375"/>
      <c r="FD239" s="375"/>
      <c r="FE239" s="375"/>
      <c r="FF239" s="375"/>
      <c r="FG239" s="375"/>
      <c r="FH239" s="375"/>
      <c r="FI239" s="375"/>
      <c r="FJ239" s="375"/>
      <c r="FK239" s="375"/>
      <c r="FL239" s="375"/>
      <c r="FM239" s="375"/>
      <c r="FN239" s="375"/>
      <c r="FO239" s="375"/>
      <c r="FP239" s="375"/>
      <c r="FQ239" s="375"/>
      <c r="FR239" s="375"/>
      <c r="FS239" s="375"/>
      <c r="FT239" s="375"/>
      <c r="FU239" s="375"/>
      <c r="FV239" s="375"/>
      <c r="FW239" s="375"/>
      <c r="FX239" s="375"/>
      <c r="FY239" s="375"/>
      <c r="FZ239" s="375"/>
      <c r="GA239" s="375"/>
      <c r="GB239" s="375"/>
      <c r="GC239" s="375"/>
      <c r="GD239" s="375"/>
      <c r="GE239" s="375"/>
      <c r="GF239" s="375"/>
      <c r="GG239" s="375"/>
      <c r="GH239" s="375"/>
      <c r="GI239" s="375"/>
      <c r="GJ239" s="375"/>
      <c r="GK239" s="375"/>
      <c r="GL239" s="375"/>
      <c r="GM239" s="375"/>
      <c r="GN239" s="375"/>
      <c r="GO239" s="375"/>
      <c r="GP239" s="375"/>
      <c r="GQ239" s="375"/>
      <c r="GR239" s="375"/>
    </row>
    <row r="240" spans="1:200" s="61" customFormat="1" ht="15.75" customHeight="1" x14ac:dyDescent="0.3">
      <c r="A240" s="280"/>
      <c r="B240" s="281"/>
      <c r="C240" s="282"/>
      <c r="D240" s="282">
        <v>1</v>
      </c>
      <c r="E240" s="4">
        <v>202</v>
      </c>
      <c r="F240" s="281"/>
      <c r="G240" s="282"/>
      <c r="H240" s="282"/>
      <c r="I240" s="4"/>
      <c r="J240" s="283"/>
      <c r="K240" s="283"/>
      <c r="L240" s="286"/>
      <c r="M240" s="4">
        <v>198</v>
      </c>
      <c r="N240" s="62" t="s">
        <v>158</v>
      </c>
      <c r="O240" s="62" t="s">
        <v>448</v>
      </c>
      <c r="P240" s="62" t="s">
        <v>448</v>
      </c>
      <c r="Q240" s="60">
        <f t="shared" si="482"/>
        <v>0</v>
      </c>
      <c r="R240" s="60">
        <f t="shared" si="483"/>
        <v>0</v>
      </c>
      <c r="S240" s="60">
        <f t="shared" si="484"/>
        <v>0</v>
      </c>
      <c r="T240" s="60">
        <v>1</v>
      </c>
      <c r="U240" s="60">
        <v>2</v>
      </c>
      <c r="V240" s="64">
        <f t="shared" si="560"/>
        <v>1207.5</v>
      </c>
      <c r="W240" s="64"/>
      <c r="X240" s="65">
        <v>1207.5</v>
      </c>
      <c r="Y240" s="64"/>
      <c r="Z240" s="60"/>
      <c r="AA240" s="64">
        <f t="shared" si="561"/>
        <v>1207.5</v>
      </c>
      <c r="AB240" s="64"/>
      <c r="AC240" s="65">
        <v>1207.5</v>
      </c>
      <c r="AD240" s="64"/>
      <c r="AE240" s="60"/>
      <c r="AF240" s="64">
        <f t="shared" si="562"/>
        <v>1207.5</v>
      </c>
      <c r="AG240" s="64"/>
      <c r="AH240" s="65">
        <v>1207.5</v>
      </c>
      <c r="AI240" s="64"/>
      <c r="AJ240" s="60"/>
      <c r="AK240" s="64">
        <f t="shared" si="563"/>
        <v>525</v>
      </c>
      <c r="AL240" s="64"/>
      <c r="AM240" s="65">
        <v>525</v>
      </c>
      <c r="AN240" s="64"/>
      <c r="AO240" s="64"/>
      <c r="AP240" s="64" t="s">
        <v>434</v>
      </c>
      <c r="AQ240" s="64">
        <f t="shared" si="564"/>
        <v>1207.5</v>
      </c>
      <c r="AR240" s="64"/>
      <c r="AS240" s="65">
        <f>525+682.5</f>
        <v>1207.5</v>
      </c>
      <c r="AT240" s="64"/>
      <c r="AU240" s="64"/>
      <c r="AV240" s="64">
        <f t="shared" si="470"/>
        <v>0</v>
      </c>
      <c r="AW240" s="64">
        <f t="shared" si="471"/>
        <v>0</v>
      </c>
      <c r="AX240" s="64">
        <f t="shared" si="472"/>
        <v>0</v>
      </c>
      <c r="AY240" s="64">
        <f t="shared" si="473"/>
        <v>0</v>
      </c>
      <c r="AZ240" s="64" t="e">
        <f>#REF!-AU240</f>
        <v>#REF!</v>
      </c>
      <c r="BA240" s="64">
        <f t="shared" si="565"/>
        <v>1207.5</v>
      </c>
      <c r="BB240" s="64"/>
      <c r="BC240" s="65">
        <f>525+682.5</f>
        <v>1207.5</v>
      </c>
      <c r="BD240" s="64"/>
      <c r="BE240" s="64"/>
      <c r="BF240" s="64">
        <f t="shared" si="566"/>
        <v>0</v>
      </c>
      <c r="BG240" s="64"/>
      <c r="BH240" s="64"/>
      <c r="BI240" s="64"/>
      <c r="BJ240" s="64"/>
      <c r="BK240" s="64">
        <f t="shared" si="567"/>
        <v>1207.5</v>
      </c>
      <c r="BL240" s="64"/>
      <c r="BM240" s="65">
        <f>525+682.5</f>
        <v>1207.5</v>
      </c>
      <c r="BN240" s="64"/>
      <c r="BO240" s="64"/>
      <c r="BP240" s="64">
        <f t="shared" si="568"/>
        <v>1207.5</v>
      </c>
      <c r="BQ240" s="64"/>
      <c r="BR240" s="64">
        <f>627.9+148.71169+430.88831</f>
        <v>1207.5</v>
      </c>
      <c r="BS240" s="64"/>
      <c r="BT240" s="64"/>
      <c r="BU240" s="64">
        <f t="shared" si="569"/>
        <v>762.18137000000002</v>
      </c>
      <c r="BV240" s="64"/>
      <c r="BW240" s="64">
        <f>209.91272+50.59794+353.58137+148.08934</f>
        <v>762.18137000000002</v>
      </c>
      <c r="BX240" s="64"/>
      <c r="BY240" s="64"/>
      <c r="BZ240" s="60">
        <f t="shared" si="570"/>
        <v>1969.68137</v>
      </c>
      <c r="CA240" s="64">
        <f t="shared" si="474"/>
        <v>1969.68137</v>
      </c>
      <c r="CB240" s="64">
        <f t="shared" si="475"/>
        <v>0</v>
      </c>
      <c r="CC240" s="64">
        <f t="shared" si="476"/>
        <v>1969.68137</v>
      </c>
      <c r="CD240" s="64">
        <f t="shared" si="477"/>
        <v>0</v>
      </c>
      <c r="CE240" s="64">
        <f t="shared" si="571"/>
        <v>0</v>
      </c>
      <c r="CF240" s="64">
        <f t="shared" si="478"/>
        <v>0</v>
      </c>
      <c r="CG240" s="64">
        <f t="shared" si="479"/>
        <v>0</v>
      </c>
      <c r="CH240" s="64">
        <f t="shared" si="480"/>
        <v>0</v>
      </c>
      <c r="CI240" s="64">
        <f t="shared" si="481"/>
        <v>0</v>
      </c>
      <c r="CJ240" s="64">
        <f t="shared" si="572"/>
        <v>0</v>
      </c>
      <c r="CK240" s="66"/>
      <c r="CL240" s="67">
        <f>BA233+BA234+BA235+BA236+BA237+BA238+BA240+BA241+BL281+BL282</f>
        <v>8829.5250599999999</v>
      </c>
      <c r="CM240" s="67">
        <f>CL240-BF230</f>
        <v>8829.5250599999999</v>
      </c>
      <c r="CN240" s="64">
        <f t="shared" si="573"/>
        <v>0</v>
      </c>
      <c r="CO240" s="64"/>
      <c r="CP240" s="64"/>
      <c r="CQ240" s="64"/>
      <c r="CR240" s="64"/>
      <c r="CS240" s="64">
        <f t="shared" si="574"/>
        <v>0</v>
      </c>
      <c r="CT240" s="64"/>
      <c r="CU240" s="64"/>
      <c r="CV240" s="64"/>
      <c r="CW240" s="64"/>
      <c r="CX240" s="64">
        <f t="shared" si="575"/>
        <v>0</v>
      </c>
      <c r="CY240" s="64">
        <f t="shared" si="576"/>
        <v>0</v>
      </c>
      <c r="CZ240" s="64">
        <f t="shared" si="576"/>
        <v>0</v>
      </c>
      <c r="DA240" s="64">
        <f t="shared" si="576"/>
        <v>0</v>
      </c>
      <c r="DB240" s="64">
        <f t="shared" si="576"/>
        <v>0</v>
      </c>
      <c r="DC240" s="64"/>
      <c r="DD240" s="64"/>
      <c r="DE240" s="64"/>
      <c r="DF240" s="64">
        <f t="shared" si="577"/>
        <v>0</v>
      </c>
      <c r="DH240" s="64">
        <f t="shared" si="578"/>
        <v>1207.5</v>
      </c>
      <c r="DI240" s="64">
        <f t="shared" si="579"/>
        <v>1207.5</v>
      </c>
      <c r="DK240" s="64">
        <f>DI233+DI234+DI235+DI236+DI237+DI238+DI240+DI241</f>
        <v>3004.53415</v>
      </c>
      <c r="DL240" s="64">
        <f>DF233+DF234+DF235+DF236+DF237+DF238+DF240+DF241</f>
        <v>104.88484999999991</v>
      </c>
      <c r="DN240" s="64">
        <f>CM240-DK240</f>
        <v>5824.9909100000004</v>
      </c>
      <c r="DQ240" s="64">
        <f t="shared" si="582"/>
        <v>1207.5</v>
      </c>
      <c r="DR240" s="64"/>
      <c r="DS240" s="64">
        <f>627.9+148.71169+430.88831</f>
        <v>1207.5</v>
      </c>
      <c r="DT240" s="64"/>
      <c r="DU240" s="64"/>
      <c r="DV240" s="64">
        <f t="shared" si="583"/>
        <v>209.91272000000001</v>
      </c>
      <c r="DW240" s="64"/>
      <c r="DX240" s="64">
        <v>209.91272000000001</v>
      </c>
      <c r="DY240" s="64"/>
      <c r="DZ240" s="64"/>
      <c r="EA240" s="375"/>
      <c r="EB240" s="375"/>
      <c r="EC240" s="375"/>
      <c r="ED240" s="375"/>
      <c r="EE240" s="375"/>
      <c r="EF240" s="375"/>
      <c r="EG240" s="375"/>
      <c r="EH240" s="375"/>
      <c r="EI240" s="375"/>
      <c r="EJ240" s="375"/>
      <c r="EK240" s="375"/>
      <c r="EL240" s="375"/>
      <c r="EM240" s="375"/>
      <c r="EN240" s="375"/>
      <c r="EO240" s="375"/>
      <c r="EP240" s="375"/>
      <c r="EQ240" s="375"/>
      <c r="ER240" s="375"/>
      <c r="ES240" s="375"/>
      <c r="ET240" s="375"/>
      <c r="EU240" s="375"/>
      <c r="EV240" s="375"/>
      <c r="EW240" s="375"/>
      <c r="EX240" s="375"/>
      <c r="EY240" s="375"/>
      <c r="EZ240" s="375"/>
      <c r="FA240" s="375"/>
      <c r="FB240" s="375"/>
      <c r="FC240" s="375"/>
      <c r="FD240" s="375"/>
      <c r="FE240" s="375"/>
      <c r="FF240" s="375"/>
      <c r="FG240" s="375"/>
      <c r="FH240" s="375"/>
      <c r="FI240" s="375"/>
      <c r="FJ240" s="375"/>
      <c r="FK240" s="375"/>
      <c r="FL240" s="375"/>
      <c r="FM240" s="375"/>
      <c r="FN240" s="375"/>
      <c r="FO240" s="375"/>
      <c r="FP240" s="375"/>
      <c r="FQ240" s="375"/>
      <c r="FR240" s="375"/>
      <c r="FS240" s="375"/>
      <c r="FT240" s="375"/>
      <c r="FU240" s="375"/>
      <c r="FV240" s="375"/>
      <c r="FW240" s="375"/>
      <c r="FX240" s="375"/>
      <c r="FY240" s="375"/>
      <c r="FZ240" s="375"/>
      <c r="GA240" s="375"/>
      <c r="GB240" s="375"/>
      <c r="GC240" s="375"/>
      <c r="GD240" s="375"/>
      <c r="GE240" s="375"/>
      <c r="GF240" s="375"/>
      <c r="GG240" s="375"/>
      <c r="GH240" s="375"/>
      <c r="GI240" s="375"/>
      <c r="GJ240" s="375"/>
      <c r="GK240" s="375"/>
      <c r="GL240" s="375"/>
      <c r="GM240" s="375"/>
      <c r="GN240" s="375"/>
      <c r="GO240" s="375"/>
      <c r="GP240" s="375"/>
      <c r="GQ240" s="375"/>
      <c r="GR240" s="375"/>
    </row>
    <row r="241" spans="1:200" s="61" customFormat="1" ht="15.75" customHeight="1" x14ac:dyDescent="0.3">
      <c r="A241" s="280"/>
      <c r="B241" s="281"/>
      <c r="C241" s="282"/>
      <c r="D241" s="282">
        <v>1</v>
      </c>
      <c r="E241" s="4">
        <v>203</v>
      </c>
      <c r="F241" s="281"/>
      <c r="G241" s="282"/>
      <c r="H241" s="282">
        <v>1</v>
      </c>
      <c r="I241" s="4"/>
      <c r="J241" s="283"/>
      <c r="K241" s="283"/>
      <c r="L241" s="286"/>
      <c r="M241" s="4">
        <v>199</v>
      </c>
      <c r="N241" s="62" t="s">
        <v>151</v>
      </c>
      <c r="O241" s="62" t="s">
        <v>448</v>
      </c>
      <c r="P241" s="62" t="s">
        <v>448</v>
      </c>
      <c r="Q241" s="60">
        <f t="shared" si="482"/>
        <v>0</v>
      </c>
      <c r="R241" s="60">
        <f t="shared" si="483"/>
        <v>0</v>
      </c>
      <c r="S241" s="60">
        <f t="shared" si="484"/>
        <v>0</v>
      </c>
      <c r="T241" s="60">
        <v>1</v>
      </c>
      <c r="U241" s="60"/>
      <c r="V241" s="64">
        <f t="shared" si="560"/>
        <v>816.31899999999996</v>
      </c>
      <c r="W241" s="64"/>
      <c r="X241" s="65">
        <v>816.31899999999996</v>
      </c>
      <c r="Y241" s="64"/>
      <c r="Z241" s="60"/>
      <c r="AA241" s="64">
        <f t="shared" si="561"/>
        <v>862.5</v>
      </c>
      <c r="AB241" s="64"/>
      <c r="AC241" s="65">
        <v>862.5</v>
      </c>
      <c r="AD241" s="64"/>
      <c r="AE241" s="60"/>
      <c r="AF241" s="64">
        <f t="shared" si="562"/>
        <v>862.5</v>
      </c>
      <c r="AG241" s="64"/>
      <c r="AH241" s="65">
        <v>862.5</v>
      </c>
      <c r="AI241" s="64"/>
      <c r="AJ241" s="60"/>
      <c r="AK241" s="64">
        <f t="shared" si="563"/>
        <v>375</v>
      </c>
      <c r="AL241" s="64"/>
      <c r="AM241" s="65">
        <v>375</v>
      </c>
      <c r="AN241" s="64"/>
      <c r="AO241" s="64"/>
      <c r="AP241" s="64" t="s">
        <v>385</v>
      </c>
      <c r="AQ241" s="64">
        <f t="shared" si="564"/>
        <v>816.31899999999996</v>
      </c>
      <c r="AR241" s="64"/>
      <c r="AS241" s="65">
        <v>816.31899999999996</v>
      </c>
      <c r="AT241" s="64"/>
      <c r="AU241" s="64"/>
      <c r="AV241" s="64">
        <f t="shared" si="470"/>
        <v>0</v>
      </c>
      <c r="AW241" s="64">
        <f t="shared" si="471"/>
        <v>0</v>
      </c>
      <c r="AX241" s="64">
        <f t="shared" si="472"/>
        <v>0</v>
      </c>
      <c r="AY241" s="64">
        <f t="shared" si="473"/>
        <v>0</v>
      </c>
      <c r="AZ241" s="64" t="e">
        <f>#REF!-AU241</f>
        <v>#REF!</v>
      </c>
      <c r="BA241" s="64">
        <f t="shared" si="565"/>
        <v>816.31899999999996</v>
      </c>
      <c r="BB241" s="64"/>
      <c r="BC241" s="65">
        <v>816.31899999999996</v>
      </c>
      <c r="BD241" s="64"/>
      <c r="BE241" s="64"/>
      <c r="BF241" s="64">
        <f t="shared" si="566"/>
        <v>0</v>
      </c>
      <c r="BG241" s="64"/>
      <c r="BH241" s="65"/>
      <c r="BI241" s="64"/>
      <c r="BJ241" s="64"/>
      <c r="BK241" s="64">
        <f t="shared" si="567"/>
        <v>816.31899999999996</v>
      </c>
      <c r="BL241" s="64"/>
      <c r="BM241" s="65">
        <v>816.31899999999996</v>
      </c>
      <c r="BN241" s="64"/>
      <c r="BO241" s="64"/>
      <c r="BP241" s="64">
        <f t="shared" si="568"/>
        <v>816.31899999999996</v>
      </c>
      <c r="BQ241" s="64"/>
      <c r="BR241" s="64">
        <v>816.31899999999996</v>
      </c>
      <c r="BS241" s="64"/>
      <c r="BT241" s="64"/>
      <c r="BU241" s="64">
        <f t="shared" si="569"/>
        <v>272.10700000000003</v>
      </c>
      <c r="BV241" s="64"/>
      <c r="BW241" s="64">
        <v>272.10700000000003</v>
      </c>
      <c r="BX241" s="64"/>
      <c r="BY241" s="64"/>
      <c r="BZ241" s="60">
        <f t="shared" si="570"/>
        <v>1088.4259999999999</v>
      </c>
      <c r="CA241" s="64">
        <f t="shared" si="474"/>
        <v>1088.4259999999999</v>
      </c>
      <c r="CB241" s="64">
        <f t="shared" si="475"/>
        <v>0</v>
      </c>
      <c r="CC241" s="64">
        <f t="shared" si="476"/>
        <v>1088.4259999999999</v>
      </c>
      <c r="CD241" s="64">
        <f t="shared" si="477"/>
        <v>0</v>
      </c>
      <c r="CE241" s="64">
        <f t="shared" si="571"/>
        <v>0</v>
      </c>
      <c r="CF241" s="64">
        <f t="shared" si="478"/>
        <v>0</v>
      </c>
      <c r="CG241" s="64">
        <f t="shared" si="479"/>
        <v>0</v>
      </c>
      <c r="CH241" s="64">
        <f t="shared" si="480"/>
        <v>0</v>
      </c>
      <c r="CI241" s="64">
        <f t="shared" si="481"/>
        <v>0</v>
      </c>
      <c r="CJ241" s="64">
        <f t="shared" si="572"/>
        <v>0</v>
      </c>
      <c r="CK241" s="66"/>
      <c r="CL241" s="67"/>
      <c r="CM241" s="67"/>
      <c r="CN241" s="64">
        <f t="shared" si="573"/>
        <v>0</v>
      </c>
      <c r="CO241" s="64"/>
      <c r="CP241" s="65"/>
      <c r="CQ241" s="64"/>
      <c r="CR241" s="64"/>
      <c r="CS241" s="64">
        <f t="shared" si="574"/>
        <v>0</v>
      </c>
      <c r="CT241" s="64"/>
      <c r="CU241" s="65"/>
      <c r="CV241" s="64"/>
      <c r="CW241" s="64"/>
      <c r="CX241" s="64">
        <f t="shared" si="575"/>
        <v>0</v>
      </c>
      <c r="CY241" s="64">
        <f t="shared" si="576"/>
        <v>0</v>
      </c>
      <c r="CZ241" s="64">
        <f t="shared" si="576"/>
        <v>0</v>
      </c>
      <c r="DA241" s="64">
        <f t="shared" si="576"/>
        <v>0</v>
      </c>
      <c r="DB241" s="64">
        <f t="shared" si="576"/>
        <v>0</v>
      </c>
      <c r="DC241" s="64"/>
      <c r="DD241" s="64"/>
      <c r="DE241" s="64"/>
      <c r="DF241" s="64">
        <f t="shared" si="577"/>
        <v>0</v>
      </c>
      <c r="DH241" s="64">
        <f t="shared" si="578"/>
        <v>816.31899999999996</v>
      </c>
      <c r="DI241" s="64">
        <f t="shared" si="579"/>
        <v>816.31899999999996</v>
      </c>
      <c r="DK241" s="64"/>
      <c r="DL241" s="64"/>
      <c r="DN241" s="64"/>
      <c r="DQ241" s="64">
        <f t="shared" si="582"/>
        <v>816.31899999999996</v>
      </c>
      <c r="DR241" s="64"/>
      <c r="DS241" s="64">
        <v>816.31899999999996</v>
      </c>
      <c r="DT241" s="64"/>
      <c r="DU241" s="64"/>
      <c r="DV241" s="64">
        <f t="shared" si="583"/>
        <v>0</v>
      </c>
      <c r="DW241" s="64"/>
      <c r="DX241" s="64"/>
      <c r="DY241" s="64"/>
      <c r="DZ241" s="64"/>
      <c r="EA241" s="375"/>
      <c r="EB241" s="375"/>
      <c r="EC241" s="375"/>
      <c r="ED241" s="375"/>
      <c r="EE241" s="375"/>
      <c r="EF241" s="375"/>
      <c r="EG241" s="375"/>
      <c r="EH241" s="375"/>
      <c r="EI241" s="375"/>
      <c r="EJ241" s="375"/>
      <c r="EK241" s="375"/>
      <c r="EL241" s="375"/>
      <c r="EM241" s="375"/>
      <c r="EN241" s="375"/>
      <c r="EO241" s="375"/>
      <c r="EP241" s="375"/>
      <c r="EQ241" s="375"/>
      <c r="ER241" s="375"/>
      <c r="ES241" s="375"/>
      <c r="ET241" s="375"/>
      <c r="EU241" s="375"/>
      <c r="EV241" s="375"/>
      <c r="EW241" s="375"/>
      <c r="EX241" s="375"/>
      <c r="EY241" s="375"/>
      <c r="EZ241" s="375"/>
      <c r="FA241" s="375"/>
      <c r="FB241" s="375"/>
      <c r="FC241" s="375"/>
      <c r="FD241" s="375"/>
      <c r="FE241" s="375"/>
      <c r="FF241" s="375"/>
      <c r="FG241" s="375"/>
      <c r="FH241" s="375"/>
      <c r="FI241" s="375"/>
      <c r="FJ241" s="375"/>
      <c r="FK241" s="375"/>
      <c r="FL241" s="375"/>
      <c r="FM241" s="375"/>
      <c r="FN241" s="375"/>
      <c r="FO241" s="375"/>
      <c r="FP241" s="375"/>
      <c r="FQ241" s="375"/>
      <c r="FR241" s="375"/>
      <c r="FS241" s="375"/>
      <c r="FT241" s="375"/>
      <c r="FU241" s="375"/>
      <c r="FV241" s="375"/>
      <c r="FW241" s="375"/>
      <c r="FX241" s="375"/>
      <c r="FY241" s="375"/>
      <c r="FZ241" s="375"/>
      <c r="GA241" s="375"/>
      <c r="GB241" s="375"/>
      <c r="GC241" s="375"/>
      <c r="GD241" s="375"/>
      <c r="GE241" s="375"/>
      <c r="GF241" s="375"/>
      <c r="GG241" s="375"/>
      <c r="GH241" s="375"/>
      <c r="GI241" s="375"/>
      <c r="GJ241" s="375"/>
      <c r="GK241" s="375"/>
      <c r="GL241" s="375"/>
      <c r="GM241" s="375"/>
      <c r="GN241" s="375"/>
      <c r="GO241" s="375"/>
      <c r="GP241" s="375"/>
      <c r="GQ241" s="375"/>
      <c r="GR241" s="375"/>
    </row>
    <row r="242" spans="1:200" s="48" customFormat="1" ht="24" customHeight="1" x14ac:dyDescent="0.3">
      <c r="A242" s="276"/>
      <c r="B242" s="277"/>
      <c r="C242" s="278"/>
      <c r="D242" s="278"/>
      <c r="E242" s="279"/>
      <c r="F242" s="277"/>
      <c r="G242" s="278"/>
      <c r="H242" s="278"/>
      <c r="I242" s="2"/>
      <c r="J242" s="2"/>
      <c r="K242" s="2"/>
      <c r="L242" s="300"/>
      <c r="M242" s="279"/>
      <c r="N242" s="42" t="s">
        <v>4</v>
      </c>
      <c r="O242" s="42"/>
      <c r="P242" s="42"/>
      <c r="Q242" s="43">
        <f t="shared" si="482"/>
        <v>0</v>
      </c>
      <c r="R242" s="43">
        <f t="shared" si="483"/>
        <v>1033.1765699999996</v>
      </c>
      <c r="S242" s="43">
        <f t="shared" si="484"/>
        <v>615.93632999999863</v>
      </c>
      <c r="T242" s="43">
        <f>T245+T246+T247+T248+T249+T250+T251+T252+T253+T254+T255+T256+T257</f>
        <v>11</v>
      </c>
      <c r="U242" s="43">
        <f>U245+U246+U247+U248+U249+U250+U251+U252+U253+U254+U255+U256+U257</f>
        <v>16</v>
      </c>
      <c r="V242" s="43">
        <f t="shared" ref="V242:Z242" si="584">SUM(V243:V257)-V244</f>
        <v>49600.939999999988</v>
      </c>
      <c r="W242" s="43">
        <f t="shared" si="584"/>
        <v>27000</v>
      </c>
      <c r="X242" s="43">
        <f t="shared" si="584"/>
        <v>13008.800000000001</v>
      </c>
      <c r="Y242" s="43">
        <f t="shared" si="584"/>
        <v>9592.14</v>
      </c>
      <c r="Z242" s="43">
        <f t="shared" si="584"/>
        <v>0</v>
      </c>
      <c r="AA242" s="43">
        <f t="shared" ref="AA242:AE242" si="585">SUM(AA243:AA257)-AA244</f>
        <v>50194.339999999989</v>
      </c>
      <c r="AB242" s="43">
        <f t="shared" si="585"/>
        <v>27000</v>
      </c>
      <c r="AC242" s="43">
        <f t="shared" si="585"/>
        <v>13602.2</v>
      </c>
      <c r="AD242" s="43">
        <f t="shared" si="585"/>
        <v>9592.14</v>
      </c>
      <c r="AE242" s="43">
        <f t="shared" si="585"/>
        <v>0</v>
      </c>
      <c r="AF242" s="43">
        <f t="shared" ref="AF242:AJ242" si="586">SUM(AF243:AF257)-AF244</f>
        <v>13602.2</v>
      </c>
      <c r="AG242" s="43">
        <f t="shared" si="586"/>
        <v>0</v>
      </c>
      <c r="AH242" s="43">
        <f t="shared" si="586"/>
        <v>13602.2</v>
      </c>
      <c r="AI242" s="43">
        <f t="shared" si="586"/>
        <v>0</v>
      </c>
      <c r="AJ242" s="43">
        <f t="shared" si="586"/>
        <v>0</v>
      </c>
      <c r="AK242" s="45">
        <f t="shared" ref="AK242:AO242" si="587">SUM(AK243:AK257)-AK244</f>
        <v>5914</v>
      </c>
      <c r="AL242" s="43">
        <f t="shared" si="587"/>
        <v>0</v>
      </c>
      <c r="AM242" s="43">
        <f t="shared" si="587"/>
        <v>5914</v>
      </c>
      <c r="AN242" s="43">
        <f t="shared" si="587"/>
        <v>0</v>
      </c>
      <c r="AO242" s="43">
        <f t="shared" si="587"/>
        <v>0</v>
      </c>
      <c r="AP242" s="44"/>
      <c r="AQ242" s="43">
        <f>SUM(AQ243:AQ257)-AQ244</f>
        <v>49600.939999999988</v>
      </c>
      <c r="AR242" s="43">
        <f>SUM(AR243:AR257)-AR244</f>
        <v>27000</v>
      </c>
      <c r="AS242" s="43">
        <f>SUM(AS243:AS257)-AS244</f>
        <v>13008.800000000001</v>
      </c>
      <c r="AT242" s="43">
        <f>SUM(AT243:AT257)-AT244</f>
        <v>9592.14</v>
      </c>
      <c r="AU242" s="43">
        <f>SUM(AU243:AU257)-AU244</f>
        <v>0</v>
      </c>
      <c r="AV242" s="43">
        <f t="shared" si="470"/>
        <v>0</v>
      </c>
      <c r="AW242" s="43">
        <f t="shared" si="471"/>
        <v>0</v>
      </c>
      <c r="AX242" s="43">
        <f t="shared" si="472"/>
        <v>0</v>
      </c>
      <c r="AY242" s="43">
        <f t="shared" si="473"/>
        <v>0</v>
      </c>
      <c r="AZ242" s="43" t="e">
        <f t="shared" ref="AZ242:BE242" si="588">SUM(AZ243:AZ257)-AZ244</f>
        <v>#REF!</v>
      </c>
      <c r="BA242" s="43">
        <f t="shared" si="588"/>
        <v>49600.939999999988</v>
      </c>
      <c r="BB242" s="43">
        <f t="shared" si="588"/>
        <v>27000</v>
      </c>
      <c r="BC242" s="43">
        <f t="shared" si="588"/>
        <v>13008.800000000001</v>
      </c>
      <c r="BD242" s="43">
        <f t="shared" si="588"/>
        <v>9592.14</v>
      </c>
      <c r="BE242" s="43">
        <f t="shared" si="588"/>
        <v>0</v>
      </c>
      <c r="BF242" s="43">
        <f t="shared" ref="BF242:CJ242" si="589">SUM(BF243:BF257)-BF244</f>
        <v>0</v>
      </c>
      <c r="BG242" s="43">
        <f t="shared" si="589"/>
        <v>0</v>
      </c>
      <c r="BH242" s="43">
        <f t="shared" si="589"/>
        <v>0</v>
      </c>
      <c r="BI242" s="43">
        <f t="shared" si="589"/>
        <v>0</v>
      </c>
      <c r="BJ242" s="43">
        <f t="shared" si="589"/>
        <v>0</v>
      </c>
      <c r="BK242" s="43">
        <f t="shared" si="589"/>
        <v>49600.939999999988</v>
      </c>
      <c r="BL242" s="43">
        <f t="shared" si="589"/>
        <v>27000</v>
      </c>
      <c r="BM242" s="43">
        <f t="shared" si="589"/>
        <v>13008.800000000001</v>
      </c>
      <c r="BN242" s="43">
        <f t="shared" si="589"/>
        <v>9592.14</v>
      </c>
      <c r="BO242" s="43">
        <f t="shared" si="589"/>
        <v>0</v>
      </c>
      <c r="BP242" s="43">
        <f t="shared" si="589"/>
        <v>47951.827099999995</v>
      </c>
      <c r="BQ242" s="43">
        <f t="shared" si="589"/>
        <v>27000</v>
      </c>
      <c r="BR242" s="43">
        <f t="shared" si="589"/>
        <v>11975.623430000001</v>
      </c>
      <c r="BS242" s="43">
        <f t="shared" si="589"/>
        <v>8976.2036700000008</v>
      </c>
      <c r="BT242" s="43">
        <f t="shared" si="589"/>
        <v>0</v>
      </c>
      <c r="BU242" s="45">
        <f t="shared" si="589"/>
        <v>8552.9929700000012</v>
      </c>
      <c r="BV242" s="304">
        <f t="shared" si="589"/>
        <v>500</v>
      </c>
      <c r="BW242" s="304">
        <f t="shared" si="589"/>
        <v>5060.9250999999995</v>
      </c>
      <c r="BX242" s="304">
        <f t="shared" si="589"/>
        <v>2992.0678699999999</v>
      </c>
      <c r="BY242" s="43">
        <f t="shared" si="589"/>
        <v>0</v>
      </c>
      <c r="BZ242" s="43">
        <f t="shared" si="589"/>
        <v>56504.820070000009</v>
      </c>
      <c r="CA242" s="43">
        <f t="shared" si="474"/>
        <v>56504.820070000002</v>
      </c>
      <c r="CB242" s="43">
        <f t="shared" si="475"/>
        <v>27500</v>
      </c>
      <c r="CC242" s="43">
        <f t="shared" si="476"/>
        <v>17036.54853</v>
      </c>
      <c r="CD242" s="43">
        <f t="shared" si="477"/>
        <v>11968.271540000002</v>
      </c>
      <c r="CE242" s="43">
        <f t="shared" si="589"/>
        <v>0</v>
      </c>
      <c r="CF242" s="43">
        <f t="shared" si="478"/>
        <v>1649.1128999999983</v>
      </c>
      <c r="CG242" s="43">
        <f t="shared" si="479"/>
        <v>0</v>
      </c>
      <c r="CH242" s="43">
        <f t="shared" si="480"/>
        <v>1033.1765699999996</v>
      </c>
      <c r="CI242" s="43">
        <f t="shared" si="481"/>
        <v>615.93632999999863</v>
      </c>
      <c r="CJ242" s="43">
        <f t="shared" si="589"/>
        <v>0</v>
      </c>
      <c r="CK242" s="46">
        <f>CL242+CN242-BF242</f>
        <v>49600.939999999988</v>
      </c>
      <c r="CL242" s="47">
        <f t="shared" ref="CL242:DF242" si="590">SUM(CL243:CL257)-CL244</f>
        <v>49600.939999999988</v>
      </c>
      <c r="CM242" s="47">
        <f t="shared" si="590"/>
        <v>49600.939999999988</v>
      </c>
      <c r="CN242" s="43">
        <f t="shared" si="590"/>
        <v>0</v>
      </c>
      <c r="CO242" s="43">
        <f t="shared" si="590"/>
        <v>0</v>
      </c>
      <c r="CP242" s="43">
        <f t="shared" si="590"/>
        <v>0</v>
      </c>
      <c r="CQ242" s="43">
        <f t="shared" si="590"/>
        <v>0</v>
      </c>
      <c r="CR242" s="43">
        <f t="shared" si="590"/>
        <v>0</v>
      </c>
      <c r="CS242" s="43">
        <f t="shared" si="590"/>
        <v>0</v>
      </c>
      <c r="CT242" s="43">
        <f t="shared" si="590"/>
        <v>0</v>
      </c>
      <c r="CU242" s="43">
        <f t="shared" si="590"/>
        <v>0</v>
      </c>
      <c r="CV242" s="43">
        <f t="shared" si="590"/>
        <v>0</v>
      </c>
      <c r="CW242" s="43">
        <f t="shared" si="590"/>
        <v>0</v>
      </c>
      <c r="CX242" s="43">
        <f t="shared" si="590"/>
        <v>0</v>
      </c>
      <c r="CY242" s="43">
        <f t="shared" si="590"/>
        <v>0</v>
      </c>
      <c r="CZ242" s="43">
        <f t="shared" si="590"/>
        <v>0</v>
      </c>
      <c r="DA242" s="43">
        <f t="shared" si="590"/>
        <v>0</v>
      </c>
      <c r="DB242" s="43">
        <f t="shared" si="590"/>
        <v>0</v>
      </c>
      <c r="DC242" s="43">
        <f t="shared" si="590"/>
        <v>0</v>
      </c>
      <c r="DD242" s="43">
        <f t="shared" si="590"/>
        <v>0</v>
      </c>
      <c r="DE242" s="43">
        <f t="shared" si="590"/>
        <v>0</v>
      </c>
      <c r="DF242" s="43">
        <f t="shared" si="590"/>
        <v>1649.1128999999987</v>
      </c>
      <c r="DH242" s="43">
        <f>SUM(DH243:DH257)-DH244</f>
        <v>49600.939999999988</v>
      </c>
      <c r="DI242" s="43">
        <f>SUM(DI243:DI257)-DI244</f>
        <v>47951.827099999995</v>
      </c>
      <c r="DK242" s="43">
        <f>SUM(DK243:DK257)-DK244</f>
        <v>47951.827099999995</v>
      </c>
      <c r="DL242" s="43">
        <f>SUM(DL243:DL257)-DL244</f>
        <v>1649.1128999999987</v>
      </c>
      <c r="DN242" s="43">
        <f>SUM(DN243:DN257)-DN244</f>
        <v>1649.1128999999946</v>
      </c>
      <c r="DO242" s="49">
        <f>DF242-DN242</f>
        <v>4.0927261579781771E-12</v>
      </c>
      <c r="DP242" s="49"/>
      <c r="DQ242" s="43">
        <f>SUM(DQ243:DQ257)-DQ244</f>
        <v>47951.827099999995</v>
      </c>
      <c r="DR242" s="43">
        <f t="shared" ref="DR242:DU242" si="591">SUM(DR243:DR257)-DR244</f>
        <v>27000</v>
      </c>
      <c r="DS242" s="43">
        <f t="shared" si="591"/>
        <v>11975.623430000001</v>
      </c>
      <c r="DT242" s="43">
        <f t="shared" si="591"/>
        <v>8976.2036700000008</v>
      </c>
      <c r="DU242" s="43">
        <f t="shared" si="591"/>
        <v>0</v>
      </c>
      <c r="DV242" s="43">
        <f>SUM(DV243:DV257)-DV244</f>
        <v>11441.564209999999</v>
      </c>
      <c r="DW242" s="43">
        <f t="shared" ref="DW242:DZ242" si="592">SUM(DW243:DW257)-DW244</f>
        <v>5530.951</v>
      </c>
      <c r="DX242" s="43">
        <f t="shared" si="592"/>
        <v>2918.5453400000001</v>
      </c>
      <c r="DY242" s="43">
        <f t="shared" si="592"/>
        <v>2992.0678699999999</v>
      </c>
      <c r="DZ242" s="43">
        <f t="shared" si="592"/>
        <v>0</v>
      </c>
      <c r="EA242" s="372"/>
      <c r="EB242" s="372"/>
      <c r="EC242" s="372"/>
      <c r="ED242" s="372"/>
      <c r="EE242" s="372"/>
      <c r="EF242" s="372"/>
      <c r="EG242" s="372"/>
      <c r="EH242" s="372"/>
      <c r="EI242" s="372"/>
      <c r="EJ242" s="372"/>
      <c r="EK242" s="372"/>
      <c r="EL242" s="372"/>
      <c r="EM242" s="372"/>
      <c r="EN242" s="372"/>
      <c r="EO242" s="372"/>
      <c r="EP242" s="372"/>
      <c r="EQ242" s="372"/>
      <c r="ER242" s="372"/>
      <c r="ES242" s="372"/>
      <c r="ET242" s="372"/>
      <c r="EU242" s="372"/>
      <c r="EV242" s="372"/>
      <c r="EW242" s="372"/>
      <c r="EX242" s="372"/>
      <c r="EY242" s="372"/>
      <c r="EZ242" s="372"/>
      <c r="FA242" s="372"/>
      <c r="FB242" s="372"/>
      <c r="FC242" s="372"/>
      <c r="FD242" s="372"/>
      <c r="FE242" s="372"/>
      <c r="FF242" s="372"/>
      <c r="FG242" s="372"/>
      <c r="FH242" s="372"/>
      <c r="FI242" s="372"/>
      <c r="FJ242" s="372"/>
      <c r="FK242" s="372"/>
      <c r="FL242" s="372"/>
      <c r="FM242" s="372"/>
      <c r="FN242" s="372"/>
      <c r="FO242" s="372"/>
      <c r="FP242" s="372"/>
      <c r="FQ242" s="372"/>
      <c r="FR242" s="372"/>
      <c r="FS242" s="372"/>
      <c r="FT242" s="372"/>
      <c r="FU242" s="372"/>
      <c r="FV242" s="372"/>
      <c r="FW242" s="372"/>
      <c r="FX242" s="372"/>
      <c r="FY242" s="372"/>
      <c r="FZ242" s="372"/>
      <c r="GA242" s="372"/>
      <c r="GB242" s="372"/>
      <c r="GC242" s="372"/>
      <c r="GD242" s="372"/>
      <c r="GE242" s="372"/>
      <c r="GF242" s="372"/>
      <c r="GG242" s="372"/>
      <c r="GH242" s="372"/>
      <c r="GI242" s="372"/>
      <c r="GJ242" s="372"/>
      <c r="GK242" s="372"/>
      <c r="GL242" s="372"/>
      <c r="GM242" s="372"/>
      <c r="GN242" s="372"/>
      <c r="GO242" s="372"/>
      <c r="GP242" s="372"/>
      <c r="GQ242" s="372"/>
      <c r="GR242" s="372"/>
    </row>
    <row r="243" spans="1:200" s="59" customFormat="1" ht="15.75" hidden="1" customHeight="1" x14ac:dyDescent="0.3">
      <c r="A243" s="3"/>
      <c r="B243" s="272">
        <v>1</v>
      </c>
      <c r="C243" s="273"/>
      <c r="D243" s="273"/>
      <c r="E243" s="1">
        <v>204</v>
      </c>
      <c r="F243" s="272"/>
      <c r="G243" s="273"/>
      <c r="H243" s="273"/>
      <c r="I243" s="3"/>
      <c r="J243" s="3"/>
      <c r="K243" s="3"/>
      <c r="L243" s="3"/>
      <c r="M243" s="1"/>
      <c r="N243" s="315" t="s">
        <v>248</v>
      </c>
      <c r="O243" s="110"/>
      <c r="P243" s="110"/>
      <c r="Q243" s="25">
        <f t="shared" si="482"/>
        <v>0</v>
      </c>
      <c r="R243" s="25">
        <f t="shared" si="483"/>
        <v>0</v>
      </c>
      <c r="S243" s="25">
        <f t="shared" si="484"/>
        <v>0</v>
      </c>
      <c r="T243" s="110"/>
      <c r="U243" s="110"/>
      <c r="V243" s="25">
        <f t="shared" ref="V243:V257" si="593">W243+X243+Y243+Z243</f>
        <v>0</v>
      </c>
      <c r="W243" s="25"/>
      <c r="X243" s="54"/>
      <c r="Y243" s="25"/>
      <c r="Z243" s="21"/>
      <c r="AA243" s="25">
        <f t="shared" ref="AA243:AA257" si="594">AB243+AC243+AD243+AE243</f>
        <v>0</v>
      </c>
      <c r="AB243" s="25"/>
      <c r="AC243" s="54"/>
      <c r="AD243" s="25"/>
      <c r="AE243" s="21"/>
      <c r="AF243" s="25">
        <f t="shared" ref="AF243:AF257" si="595">AG243+AH243+AI243+AJ243</f>
        <v>0</v>
      </c>
      <c r="AG243" s="25"/>
      <c r="AH243" s="54"/>
      <c r="AI243" s="25"/>
      <c r="AJ243" s="21"/>
      <c r="AK243" s="25">
        <f t="shared" ref="AK243:AK257" si="596">AL243+AM243+AN243+AO243</f>
        <v>0</v>
      </c>
      <c r="AL243" s="25"/>
      <c r="AM243" s="54"/>
      <c r="AN243" s="25"/>
      <c r="AO243" s="25"/>
      <c r="AP243" s="25"/>
      <c r="AQ243" s="25">
        <f t="shared" ref="AQ243:AQ257" si="597">AR243+AS243+AT243+AU243</f>
        <v>0</v>
      </c>
      <c r="AR243" s="25"/>
      <c r="AS243" s="25"/>
      <c r="AT243" s="25"/>
      <c r="AU243" s="25"/>
      <c r="AV243" s="25">
        <f t="shared" si="470"/>
        <v>0</v>
      </c>
      <c r="AW243" s="25">
        <f t="shared" si="471"/>
        <v>0</v>
      </c>
      <c r="AX243" s="25">
        <f t="shared" si="472"/>
        <v>0</v>
      </c>
      <c r="AY243" s="25">
        <f t="shared" si="473"/>
        <v>0</v>
      </c>
      <c r="AZ243" s="25" t="e">
        <f>#REF!-AU243</f>
        <v>#REF!</v>
      </c>
      <c r="BA243" s="25">
        <f t="shared" ref="BA243:BA257" si="598">BB243+BC243+BD243+BE243</f>
        <v>0</v>
      </c>
      <c r="BB243" s="25"/>
      <c r="BC243" s="25"/>
      <c r="BD243" s="25"/>
      <c r="BE243" s="25"/>
      <c r="BF243" s="25">
        <f t="shared" ref="BF243:BF257" si="599">BG243+BH243+BI243+BJ243</f>
        <v>0</v>
      </c>
      <c r="BG243" s="25"/>
      <c r="BH243" s="25"/>
      <c r="BI243" s="25"/>
      <c r="BJ243" s="25"/>
      <c r="BK243" s="111">
        <f t="shared" ref="BK243:BK257" si="600">BL243+BM243+BN243+BO243</f>
        <v>0</v>
      </c>
      <c r="BL243" s="111"/>
      <c r="BM243" s="111"/>
      <c r="BN243" s="111"/>
      <c r="BO243" s="111"/>
      <c r="BP243" s="25">
        <f t="shared" ref="BP243:BP257" si="601">BQ243+BR243+BS243+BT243</f>
        <v>0</v>
      </c>
      <c r="BQ243" s="25"/>
      <c r="BR243" s="25"/>
      <c r="BS243" s="25"/>
      <c r="BT243" s="25"/>
      <c r="BU243" s="25">
        <f t="shared" ref="BU243:BU257" si="602">BV243+BW243+BX243+BY243</f>
        <v>0</v>
      </c>
      <c r="BV243" s="64"/>
      <c r="BW243" s="64"/>
      <c r="BX243" s="64"/>
      <c r="BY243" s="25"/>
      <c r="BZ243" s="21">
        <f t="shared" ref="BZ243:BZ257" si="603">CA243</f>
        <v>0</v>
      </c>
      <c r="CA243" s="25">
        <f t="shared" si="474"/>
        <v>0</v>
      </c>
      <c r="CB243" s="25">
        <f t="shared" si="475"/>
        <v>0</v>
      </c>
      <c r="CC243" s="25">
        <f t="shared" si="476"/>
        <v>0</v>
      </c>
      <c r="CD243" s="25">
        <f t="shared" si="477"/>
        <v>0</v>
      </c>
      <c r="CE243" s="25">
        <f t="shared" ref="CE243:CE257" si="604">BT243+BY243</f>
        <v>0</v>
      </c>
      <c r="CF243" s="25">
        <f t="shared" si="478"/>
        <v>0</v>
      </c>
      <c r="CG243" s="25">
        <f t="shared" si="479"/>
        <v>0</v>
      </c>
      <c r="CH243" s="25">
        <f t="shared" si="480"/>
        <v>0</v>
      </c>
      <c r="CI243" s="25">
        <f t="shared" si="481"/>
        <v>0</v>
      </c>
      <c r="CJ243" s="25">
        <f t="shared" ref="CJ243:CJ257" si="605">BO243-BT243</f>
        <v>0</v>
      </c>
      <c r="CK243" s="57"/>
      <c r="CL243" s="58"/>
      <c r="CM243" s="58"/>
      <c r="CN243" s="25">
        <f t="shared" ref="CN243:CN257" si="606">CO243+CP243+CQ243+CR243</f>
        <v>0</v>
      </c>
      <c r="CO243" s="25"/>
      <c r="CP243" s="25"/>
      <c r="CQ243" s="25"/>
      <c r="CR243" s="25"/>
      <c r="CS243" s="25">
        <f t="shared" ref="CS243:CS257" si="607">CT243+CU243+CV243+CW243</f>
        <v>0</v>
      </c>
      <c r="CT243" s="25"/>
      <c r="CU243" s="25"/>
      <c r="CV243" s="25"/>
      <c r="CW243" s="25"/>
      <c r="CX243" s="25">
        <f t="shared" ref="CX243:CX257" si="608">CY243+CZ243+DA243+DB243</f>
        <v>0</v>
      </c>
      <c r="CY243" s="25"/>
      <c r="CZ243" s="25"/>
      <c r="DA243" s="25"/>
      <c r="DB243" s="25"/>
      <c r="DC243" s="25"/>
      <c r="DD243" s="25"/>
      <c r="DE243" s="25"/>
      <c r="DF243" s="25">
        <f t="shared" ref="DF243:DF257" si="609">CF243+CX243+DE243</f>
        <v>0</v>
      </c>
      <c r="DH243" s="25">
        <f t="shared" ref="DH243:DH257" si="610">BK243+CN243+DC243</f>
        <v>0</v>
      </c>
      <c r="DI243" s="25">
        <f t="shared" ref="DI243:DI257" si="611">BP243+CS243+DD243</f>
        <v>0</v>
      </c>
      <c r="DK243" s="25">
        <f t="shared" ref="DK243:DK244" si="612">DI243</f>
        <v>0</v>
      </c>
      <c r="DL243" s="25">
        <f t="shared" ref="DL243:DL244" si="613">DF243</f>
        <v>0</v>
      </c>
      <c r="DN243" s="25">
        <f>CM243-DK243</f>
        <v>0</v>
      </c>
      <c r="DQ243" s="25">
        <f t="shared" ref="DQ243:DQ257" si="614">DR243+DS243+DT243+DU243</f>
        <v>0</v>
      </c>
      <c r="DR243" s="25"/>
      <c r="DS243" s="25"/>
      <c r="DT243" s="25"/>
      <c r="DU243" s="25"/>
      <c r="DV243" s="25">
        <f t="shared" ref="DV243:DV257" si="615">DW243+DX243+DY243+DZ243</f>
        <v>0</v>
      </c>
      <c r="DW243" s="25"/>
      <c r="DX243" s="25"/>
      <c r="DY243" s="25"/>
      <c r="DZ243" s="25"/>
      <c r="EA243" s="372"/>
      <c r="EB243" s="372"/>
      <c r="EC243" s="372"/>
      <c r="ED243" s="372"/>
      <c r="EE243" s="372"/>
      <c r="EF243" s="372"/>
      <c r="EG243" s="372"/>
      <c r="EH243" s="372"/>
      <c r="EI243" s="372"/>
      <c r="EJ243" s="372"/>
      <c r="EK243" s="372"/>
      <c r="EL243" s="372"/>
      <c r="EM243" s="372"/>
      <c r="EN243" s="372"/>
      <c r="EO243" s="372"/>
      <c r="EP243" s="372"/>
      <c r="EQ243" s="372"/>
      <c r="ER243" s="372"/>
      <c r="ES243" s="372"/>
      <c r="ET243" s="372"/>
      <c r="EU243" s="372"/>
      <c r="EV243" s="372"/>
      <c r="EW243" s="372"/>
      <c r="EX243" s="372"/>
      <c r="EY243" s="372"/>
      <c r="EZ243" s="372"/>
      <c r="FA243" s="372"/>
      <c r="FB243" s="372"/>
      <c r="FC243" s="372"/>
      <c r="FD243" s="372"/>
      <c r="FE243" s="372"/>
      <c r="FF243" s="372"/>
      <c r="FG243" s="372"/>
      <c r="FH243" s="372"/>
      <c r="FI243" s="372"/>
      <c r="FJ243" s="372"/>
      <c r="FK243" s="372"/>
      <c r="FL243" s="372"/>
      <c r="FM243" s="372"/>
      <c r="FN243" s="372"/>
      <c r="FO243" s="372"/>
      <c r="FP243" s="372"/>
      <c r="FQ243" s="372"/>
      <c r="FR243" s="372"/>
      <c r="FS243" s="372"/>
      <c r="FT243" s="372"/>
      <c r="FU243" s="372"/>
      <c r="FV243" s="372"/>
      <c r="FW243" s="372"/>
      <c r="FX243" s="372"/>
      <c r="FY243" s="372"/>
      <c r="FZ243" s="372"/>
      <c r="GA243" s="372"/>
      <c r="GB243" s="372"/>
      <c r="GC243" s="372"/>
      <c r="GD243" s="372"/>
      <c r="GE243" s="372"/>
      <c r="GF243" s="372"/>
      <c r="GG243" s="372"/>
      <c r="GH243" s="372"/>
      <c r="GI243" s="372"/>
      <c r="GJ243" s="372"/>
      <c r="GK243" s="372"/>
      <c r="GL243" s="372"/>
      <c r="GM243" s="372"/>
      <c r="GN243" s="372"/>
      <c r="GO243" s="372"/>
      <c r="GP243" s="372"/>
      <c r="GQ243" s="372"/>
      <c r="GR243" s="372"/>
    </row>
    <row r="244" spans="1:200" s="59" customFormat="1" ht="15.75" hidden="1" customHeight="1" x14ac:dyDescent="0.3">
      <c r="A244" s="3"/>
      <c r="B244" s="272"/>
      <c r="C244" s="273"/>
      <c r="D244" s="273"/>
      <c r="E244" s="1"/>
      <c r="F244" s="272"/>
      <c r="G244" s="273"/>
      <c r="H244" s="273"/>
      <c r="I244" s="274"/>
      <c r="J244" s="274"/>
      <c r="K244" s="274"/>
      <c r="L244" s="275"/>
      <c r="M244" s="1"/>
      <c r="N244" s="112" t="s">
        <v>249</v>
      </c>
      <c r="O244" s="113"/>
      <c r="P244" s="113"/>
      <c r="Q244" s="101">
        <f t="shared" si="482"/>
        <v>0</v>
      </c>
      <c r="R244" s="101">
        <f t="shared" si="483"/>
        <v>0</v>
      </c>
      <c r="S244" s="101">
        <f t="shared" si="484"/>
        <v>0</v>
      </c>
      <c r="T244" s="113"/>
      <c r="U244" s="113"/>
      <c r="V244" s="25">
        <f t="shared" si="593"/>
        <v>0</v>
      </c>
      <c r="W244" s="25"/>
      <c r="X244" s="54"/>
      <c r="Y244" s="25"/>
      <c r="Z244" s="21"/>
      <c r="AA244" s="25">
        <f t="shared" si="594"/>
        <v>0</v>
      </c>
      <c r="AB244" s="25"/>
      <c r="AC244" s="54"/>
      <c r="AD244" s="25"/>
      <c r="AE244" s="21"/>
      <c r="AF244" s="25">
        <f t="shared" si="595"/>
        <v>0</v>
      </c>
      <c r="AG244" s="25"/>
      <c r="AH244" s="54"/>
      <c r="AI244" s="25"/>
      <c r="AJ244" s="21"/>
      <c r="AK244" s="25">
        <f t="shared" si="596"/>
        <v>0</v>
      </c>
      <c r="AL244" s="25"/>
      <c r="AM244" s="54"/>
      <c r="AN244" s="25"/>
      <c r="AO244" s="25"/>
      <c r="AP244" s="25"/>
      <c r="AQ244" s="25">
        <f t="shared" si="597"/>
        <v>0</v>
      </c>
      <c r="AR244" s="25"/>
      <c r="AS244" s="25"/>
      <c r="AT244" s="25"/>
      <c r="AU244" s="25"/>
      <c r="AV244" s="25">
        <f t="shared" si="470"/>
        <v>0</v>
      </c>
      <c r="AW244" s="25">
        <f t="shared" si="471"/>
        <v>0</v>
      </c>
      <c r="AX244" s="25">
        <f t="shared" si="472"/>
        <v>0</v>
      </c>
      <c r="AY244" s="25">
        <f t="shared" si="473"/>
        <v>0</v>
      </c>
      <c r="AZ244" s="25" t="e">
        <f>#REF!-AU244</f>
        <v>#REF!</v>
      </c>
      <c r="BA244" s="25">
        <f t="shared" si="598"/>
        <v>0</v>
      </c>
      <c r="BB244" s="25"/>
      <c r="BC244" s="25"/>
      <c r="BD244" s="25"/>
      <c r="BE244" s="25"/>
      <c r="BF244" s="25">
        <f t="shared" si="599"/>
        <v>0</v>
      </c>
      <c r="BG244" s="25"/>
      <c r="BH244" s="25"/>
      <c r="BI244" s="25"/>
      <c r="BJ244" s="25"/>
      <c r="BK244" s="111">
        <f t="shared" si="600"/>
        <v>0</v>
      </c>
      <c r="BL244" s="111"/>
      <c r="BM244" s="111"/>
      <c r="BN244" s="111"/>
      <c r="BO244" s="111"/>
      <c r="BP244" s="25">
        <f t="shared" si="601"/>
        <v>0</v>
      </c>
      <c r="BQ244" s="25"/>
      <c r="BR244" s="25"/>
      <c r="BS244" s="25"/>
      <c r="BT244" s="25"/>
      <c r="BU244" s="25">
        <f t="shared" si="602"/>
        <v>0</v>
      </c>
      <c r="BV244" s="64"/>
      <c r="BW244" s="64"/>
      <c r="BX244" s="64"/>
      <c r="BY244" s="25"/>
      <c r="BZ244" s="21">
        <f t="shared" si="603"/>
        <v>0</v>
      </c>
      <c r="CA244" s="25">
        <f t="shared" si="474"/>
        <v>0</v>
      </c>
      <c r="CB244" s="25">
        <f t="shared" si="475"/>
        <v>0</v>
      </c>
      <c r="CC244" s="25">
        <f t="shared" si="476"/>
        <v>0</v>
      </c>
      <c r="CD244" s="25">
        <f t="shared" si="477"/>
        <v>0</v>
      </c>
      <c r="CE244" s="25">
        <f t="shared" si="604"/>
        <v>0</v>
      </c>
      <c r="CF244" s="25">
        <f t="shared" si="478"/>
        <v>0</v>
      </c>
      <c r="CG244" s="25">
        <f t="shared" si="479"/>
        <v>0</v>
      </c>
      <c r="CH244" s="25">
        <f t="shared" si="480"/>
        <v>0</v>
      </c>
      <c r="CI244" s="25">
        <f t="shared" si="481"/>
        <v>0</v>
      </c>
      <c r="CJ244" s="25">
        <f t="shared" si="605"/>
        <v>0</v>
      </c>
      <c r="CK244" s="57"/>
      <c r="CL244" s="58"/>
      <c r="CM244" s="58"/>
      <c r="CN244" s="25">
        <f t="shared" si="606"/>
        <v>0</v>
      </c>
      <c r="CO244" s="25"/>
      <c r="CP244" s="25"/>
      <c r="CQ244" s="25"/>
      <c r="CR244" s="25"/>
      <c r="CS244" s="25">
        <f t="shared" si="607"/>
        <v>0</v>
      </c>
      <c r="CT244" s="25"/>
      <c r="CU244" s="25"/>
      <c r="CV244" s="25"/>
      <c r="CW244" s="25"/>
      <c r="CX244" s="25">
        <f t="shared" si="608"/>
        <v>0</v>
      </c>
      <c r="CY244" s="25"/>
      <c r="CZ244" s="25"/>
      <c r="DA244" s="25"/>
      <c r="DB244" s="25"/>
      <c r="DC244" s="25"/>
      <c r="DD244" s="25"/>
      <c r="DE244" s="25"/>
      <c r="DF244" s="25">
        <f t="shared" si="609"/>
        <v>0</v>
      </c>
      <c r="DH244" s="25">
        <f t="shared" si="610"/>
        <v>0</v>
      </c>
      <c r="DI244" s="25">
        <f t="shared" si="611"/>
        <v>0</v>
      </c>
      <c r="DK244" s="25">
        <f t="shared" si="612"/>
        <v>0</v>
      </c>
      <c r="DL244" s="25">
        <f t="shared" si="613"/>
        <v>0</v>
      </c>
      <c r="DN244" s="25"/>
      <c r="DQ244" s="25">
        <f t="shared" si="614"/>
        <v>0</v>
      </c>
      <c r="DR244" s="25"/>
      <c r="DS244" s="25"/>
      <c r="DT244" s="25"/>
      <c r="DU244" s="25"/>
      <c r="DV244" s="25">
        <f t="shared" si="615"/>
        <v>0</v>
      </c>
      <c r="DW244" s="25"/>
      <c r="DX244" s="25"/>
      <c r="DY244" s="25"/>
      <c r="DZ244" s="25"/>
      <c r="EA244" s="372"/>
      <c r="EB244" s="372"/>
      <c r="EC244" s="372"/>
      <c r="ED244" s="372"/>
      <c r="EE244" s="372"/>
      <c r="EF244" s="372"/>
      <c r="EG244" s="372"/>
      <c r="EH244" s="372"/>
      <c r="EI244" s="372"/>
      <c r="EJ244" s="372"/>
      <c r="EK244" s="372"/>
      <c r="EL244" s="372"/>
      <c r="EM244" s="372"/>
      <c r="EN244" s="372"/>
      <c r="EO244" s="372"/>
      <c r="EP244" s="372"/>
      <c r="EQ244" s="372"/>
      <c r="ER244" s="372"/>
      <c r="ES244" s="372"/>
      <c r="ET244" s="372"/>
      <c r="EU244" s="372"/>
      <c r="EV244" s="372"/>
      <c r="EW244" s="372"/>
      <c r="EX244" s="372"/>
      <c r="EY244" s="372"/>
      <c r="EZ244" s="372"/>
      <c r="FA244" s="372"/>
      <c r="FB244" s="372"/>
      <c r="FC244" s="372"/>
      <c r="FD244" s="372"/>
      <c r="FE244" s="372"/>
      <c r="FF244" s="372"/>
      <c r="FG244" s="372"/>
      <c r="FH244" s="372"/>
      <c r="FI244" s="372"/>
      <c r="FJ244" s="372"/>
      <c r="FK244" s="372"/>
      <c r="FL244" s="372"/>
      <c r="FM244" s="372"/>
      <c r="FN244" s="372"/>
      <c r="FO244" s="372"/>
      <c r="FP244" s="372"/>
      <c r="FQ244" s="372"/>
      <c r="FR244" s="372"/>
      <c r="FS244" s="372"/>
      <c r="FT244" s="372"/>
      <c r="FU244" s="372"/>
      <c r="FV244" s="372"/>
      <c r="FW244" s="372"/>
      <c r="FX244" s="372"/>
      <c r="FY244" s="372"/>
      <c r="FZ244" s="372"/>
      <c r="GA244" s="372"/>
      <c r="GB244" s="372"/>
      <c r="GC244" s="372"/>
      <c r="GD244" s="372"/>
      <c r="GE244" s="372"/>
      <c r="GF244" s="372"/>
      <c r="GG244" s="372"/>
      <c r="GH244" s="372"/>
      <c r="GI244" s="372"/>
      <c r="GJ244" s="372"/>
      <c r="GK244" s="372"/>
      <c r="GL244" s="372"/>
      <c r="GM244" s="372"/>
      <c r="GN244" s="372"/>
      <c r="GO244" s="372"/>
      <c r="GP244" s="372"/>
      <c r="GQ244" s="372"/>
      <c r="GR244" s="372"/>
    </row>
    <row r="245" spans="1:200" s="61" customFormat="1" ht="15.75" customHeight="1" x14ac:dyDescent="0.3">
      <c r="A245" s="280"/>
      <c r="B245" s="281"/>
      <c r="C245" s="282">
        <v>1</v>
      </c>
      <c r="D245" s="282"/>
      <c r="E245" s="4">
        <v>205</v>
      </c>
      <c r="F245" s="281"/>
      <c r="G245" s="282">
        <v>1</v>
      </c>
      <c r="H245" s="282"/>
      <c r="I245" s="4"/>
      <c r="J245" s="283"/>
      <c r="K245" s="283"/>
      <c r="L245" s="286"/>
      <c r="M245" s="4">
        <v>200</v>
      </c>
      <c r="N245" s="62" t="s">
        <v>66</v>
      </c>
      <c r="O245" s="62" t="s">
        <v>448</v>
      </c>
      <c r="P245" s="62" t="s">
        <v>448</v>
      </c>
      <c r="Q245" s="60">
        <f t="shared" si="482"/>
        <v>0</v>
      </c>
      <c r="R245" s="60">
        <f t="shared" si="483"/>
        <v>216.03733999999997</v>
      </c>
      <c r="S245" s="60">
        <f t="shared" si="484"/>
        <v>615.93632999999863</v>
      </c>
      <c r="T245" s="60">
        <v>1</v>
      </c>
      <c r="U245" s="60">
        <v>3</v>
      </c>
      <c r="V245" s="64">
        <f t="shared" si="593"/>
        <v>10505.24</v>
      </c>
      <c r="W245" s="64"/>
      <c r="X245" s="65">
        <v>913.1</v>
      </c>
      <c r="Y245" s="64">
        <v>9592.14</v>
      </c>
      <c r="Z245" s="73"/>
      <c r="AA245" s="64">
        <f t="shared" si="594"/>
        <v>10505.24</v>
      </c>
      <c r="AB245" s="64"/>
      <c r="AC245" s="65">
        <v>913.1</v>
      </c>
      <c r="AD245" s="64">
        <v>9592.14</v>
      </c>
      <c r="AE245" s="73"/>
      <c r="AF245" s="64">
        <f t="shared" si="595"/>
        <v>913.1</v>
      </c>
      <c r="AG245" s="64"/>
      <c r="AH245" s="65">
        <v>913.1</v>
      </c>
      <c r="AI245" s="64"/>
      <c r="AJ245" s="73"/>
      <c r="AK245" s="64">
        <f t="shared" si="596"/>
        <v>397</v>
      </c>
      <c r="AL245" s="64"/>
      <c r="AM245" s="65">
        <v>397</v>
      </c>
      <c r="AN245" s="64"/>
      <c r="AO245" s="73"/>
      <c r="AP245" s="64" t="s">
        <v>545</v>
      </c>
      <c r="AQ245" s="64">
        <f t="shared" si="597"/>
        <v>10505.24</v>
      </c>
      <c r="AR245" s="64"/>
      <c r="AS245" s="65">
        <f>397+516.1</f>
        <v>913.1</v>
      </c>
      <c r="AT245" s="64">
        <v>9592.14</v>
      </c>
      <c r="AU245" s="64"/>
      <c r="AV245" s="64">
        <f t="shared" si="470"/>
        <v>0</v>
      </c>
      <c r="AW245" s="64">
        <f t="shared" si="471"/>
        <v>0</v>
      </c>
      <c r="AX245" s="64">
        <f t="shared" si="472"/>
        <v>0</v>
      </c>
      <c r="AY245" s="64">
        <f t="shared" si="473"/>
        <v>0</v>
      </c>
      <c r="AZ245" s="64" t="e">
        <f>#REF!-AU245</f>
        <v>#REF!</v>
      </c>
      <c r="BA245" s="64">
        <f>BB245+BC245+BD245+BE245</f>
        <v>10505.24</v>
      </c>
      <c r="BB245" s="64"/>
      <c r="BC245" s="65">
        <f>397+516.1</f>
        <v>913.1</v>
      </c>
      <c r="BD245" s="64">
        <v>9592.14</v>
      </c>
      <c r="BE245" s="64"/>
      <c r="BF245" s="64">
        <f t="shared" si="599"/>
        <v>0</v>
      </c>
      <c r="BG245" s="64"/>
      <c r="BH245" s="64"/>
      <c r="BI245" s="64"/>
      <c r="BJ245" s="64"/>
      <c r="BK245" s="64">
        <f t="shared" si="600"/>
        <v>10505.24</v>
      </c>
      <c r="BL245" s="64"/>
      <c r="BM245" s="65">
        <f>397+516.1</f>
        <v>913.1</v>
      </c>
      <c r="BN245" s="64">
        <v>9592.14</v>
      </c>
      <c r="BO245" s="64"/>
      <c r="BP245" s="60">
        <f t="shared" si="601"/>
        <v>9673.2663300000004</v>
      </c>
      <c r="BQ245" s="64"/>
      <c r="BR245" s="64">
        <v>697.06266000000005</v>
      </c>
      <c r="BS245" s="64">
        <f>8976.20367</f>
        <v>8976.2036700000008</v>
      </c>
      <c r="BT245" s="64"/>
      <c r="BU245" s="64">
        <f t="shared" si="602"/>
        <v>3837.6206499999998</v>
      </c>
      <c r="BV245" s="64"/>
      <c r="BW245" s="64">
        <v>845.55277999999998</v>
      </c>
      <c r="BX245" s="64">
        <f>992.06787+1000+1000</f>
        <v>2992.0678699999999</v>
      </c>
      <c r="BY245" s="64"/>
      <c r="BZ245" s="60">
        <f t="shared" si="603"/>
        <v>13510.886980000001</v>
      </c>
      <c r="CA245" s="64">
        <f t="shared" si="474"/>
        <v>13510.886980000001</v>
      </c>
      <c r="CB245" s="64">
        <f t="shared" si="475"/>
        <v>0</v>
      </c>
      <c r="CC245" s="64">
        <f t="shared" si="476"/>
        <v>1542.61544</v>
      </c>
      <c r="CD245" s="64">
        <f t="shared" si="477"/>
        <v>11968.271540000002</v>
      </c>
      <c r="CE245" s="64">
        <f t="shared" si="604"/>
        <v>0</v>
      </c>
      <c r="CF245" s="64">
        <f t="shared" si="478"/>
        <v>831.97366999999861</v>
      </c>
      <c r="CG245" s="64">
        <f t="shared" si="479"/>
        <v>0</v>
      </c>
      <c r="CH245" s="64">
        <f t="shared" si="480"/>
        <v>216.03733999999997</v>
      </c>
      <c r="CI245" s="64">
        <f t="shared" si="481"/>
        <v>615.93632999999863</v>
      </c>
      <c r="CJ245" s="64">
        <f t="shared" si="605"/>
        <v>0</v>
      </c>
      <c r="CK245" s="66"/>
      <c r="CL245" s="76">
        <f>BA245+BA247+BA248+BA250+BA252+BA254+BA256</f>
        <v>46330.339999999989</v>
      </c>
      <c r="CM245" s="76">
        <f>CL245+CN252-BF242</f>
        <v>46330.339999999989</v>
      </c>
      <c r="CN245" s="64">
        <f t="shared" si="606"/>
        <v>0</v>
      </c>
      <c r="CO245" s="64"/>
      <c r="CP245" s="64"/>
      <c r="CQ245" s="64"/>
      <c r="CR245" s="64"/>
      <c r="CS245" s="64">
        <f t="shared" si="607"/>
        <v>0</v>
      </c>
      <c r="CT245" s="64"/>
      <c r="CU245" s="64"/>
      <c r="CV245" s="64"/>
      <c r="CW245" s="64"/>
      <c r="CX245" s="64">
        <f t="shared" si="608"/>
        <v>0</v>
      </c>
      <c r="CY245" s="64">
        <f t="shared" ref="CY245:DB257" si="616">CO245-CT245</f>
        <v>0</v>
      </c>
      <c r="CZ245" s="64">
        <f t="shared" si="616"/>
        <v>0</v>
      </c>
      <c r="DA245" s="64">
        <f t="shared" si="616"/>
        <v>0</v>
      </c>
      <c r="DB245" s="64">
        <f t="shared" si="616"/>
        <v>0</v>
      </c>
      <c r="DC245" s="64"/>
      <c r="DD245" s="64"/>
      <c r="DE245" s="64"/>
      <c r="DF245" s="64">
        <f t="shared" si="609"/>
        <v>831.97366999999861</v>
      </c>
      <c r="DH245" s="64">
        <f t="shared" si="610"/>
        <v>10505.24</v>
      </c>
      <c r="DI245" s="64">
        <f t="shared" si="611"/>
        <v>9673.2663300000004</v>
      </c>
      <c r="DK245" s="77">
        <f>DI245+DI247+DI248+DI250+DI252+DI254+DI256</f>
        <v>44925.189349999993</v>
      </c>
      <c r="DL245" s="77">
        <f>DF245+DF247+DF248+DF250+DF252+DF254+DF256</f>
        <v>1405.1506499999987</v>
      </c>
      <c r="DN245" s="64">
        <f>CM245-DK245</f>
        <v>1405.1506499999959</v>
      </c>
      <c r="DQ245" s="64">
        <f t="shared" si="614"/>
        <v>9673.2663300000004</v>
      </c>
      <c r="DR245" s="64"/>
      <c r="DS245" s="64">
        <v>697.06266000000005</v>
      </c>
      <c r="DT245" s="64">
        <v>8976.2036700000008</v>
      </c>
      <c r="DU245" s="64"/>
      <c r="DV245" s="64">
        <f t="shared" si="615"/>
        <v>3999.7646799999998</v>
      </c>
      <c r="DW245" s="64"/>
      <c r="DX245" s="64">
        <v>1007.69681</v>
      </c>
      <c r="DY245" s="64">
        <v>2992.0678699999999</v>
      </c>
      <c r="DZ245" s="64"/>
      <c r="EA245" s="375"/>
      <c r="EB245" s="375"/>
      <c r="EC245" s="375"/>
      <c r="ED245" s="375"/>
      <c r="EE245" s="375"/>
      <c r="EF245" s="375"/>
      <c r="EG245" s="375"/>
      <c r="EH245" s="375"/>
      <c r="EI245" s="375"/>
      <c r="EJ245" s="375"/>
      <c r="EK245" s="375"/>
      <c r="EL245" s="375"/>
      <c r="EM245" s="375"/>
      <c r="EN245" s="375"/>
      <c r="EO245" s="375"/>
      <c r="EP245" s="375"/>
      <c r="EQ245" s="375"/>
      <c r="ER245" s="375"/>
      <c r="ES245" s="375"/>
      <c r="ET245" s="375"/>
      <c r="EU245" s="375"/>
      <c r="EV245" s="375"/>
      <c r="EW245" s="375"/>
      <c r="EX245" s="375"/>
      <c r="EY245" s="375"/>
      <c r="EZ245" s="375"/>
      <c r="FA245" s="375"/>
      <c r="FB245" s="375"/>
      <c r="FC245" s="375"/>
      <c r="FD245" s="375"/>
      <c r="FE245" s="375"/>
      <c r="FF245" s="375"/>
      <c r="FG245" s="375"/>
      <c r="FH245" s="375"/>
      <c r="FI245" s="375"/>
      <c r="FJ245" s="375"/>
      <c r="FK245" s="375"/>
      <c r="FL245" s="375"/>
      <c r="FM245" s="375"/>
      <c r="FN245" s="375"/>
      <c r="FO245" s="375"/>
      <c r="FP245" s="375"/>
      <c r="FQ245" s="375"/>
      <c r="FR245" s="375"/>
      <c r="FS245" s="375"/>
      <c r="FT245" s="375"/>
      <c r="FU245" s="375"/>
      <c r="FV245" s="375"/>
      <c r="FW245" s="375"/>
      <c r="FX245" s="375"/>
      <c r="FY245" s="375"/>
      <c r="FZ245" s="375"/>
      <c r="GA245" s="375"/>
      <c r="GB245" s="375"/>
      <c r="GC245" s="375"/>
      <c r="GD245" s="375"/>
      <c r="GE245" s="375"/>
      <c r="GF245" s="375"/>
      <c r="GG245" s="375"/>
      <c r="GH245" s="375"/>
      <c r="GI245" s="375"/>
      <c r="GJ245" s="375"/>
      <c r="GK245" s="375"/>
      <c r="GL245" s="375"/>
      <c r="GM245" s="375"/>
      <c r="GN245" s="375"/>
      <c r="GO245" s="375"/>
      <c r="GP245" s="375"/>
      <c r="GQ245" s="375"/>
      <c r="GR245" s="375"/>
    </row>
    <row r="246" spans="1:200" s="61" customFormat="1" ht="15.75" customHeight="1" x14ac:dyDescent="0.3">
      <c r="A246" s="280"/>
      <c r="B246" s="281"/>
      <c r="C246" s="282"/>
      <c r="D246" s="282">
        <v>1</v>
      </c>
      <c r="E246" s="4">
        <v>206</v>
      </c>
      <c r="F246" s="281"/>
      <c r="G246" s="282"/>
      <c r="H246" s="282">
        <v>1</v>
      </c>
      <c r="I246" s="4"/>
      <c r="J246" s="283"/>
      <c r="K246" s="283"/>
      <c r="L246" s="286"/>
      <c r="M246" s="4">
        <v>201</v>
      </c>
      <c r="N246" s="62" t="s">
        <v>152</v>
      </c>
      <c r="O246" s="62" t="s">
        <v>448</v>
      </c>
      <c r="P246" s="62" t="s">
        <v>450</v>
      </c>
      <c r="Q246" s="60">
        <f t="shared" si="482"/>
        <v>0</v>
      </c>
      <c r="R246" s="60">
        <f t="shared" si="483"/>
        <v>0</v>
      </c>
      <c r="S246" s="60">
        <f t="shared" si="484"/>
        <v>0</v>
      </c>
      <c r="T246" s="60">
        <v>1</v>
      </c>
      <c r="U246" s="60">
        <v>1</v>
      </c>
      <c r="V246" s="64">
        <f t="shared" si="593"/>
        <v>851</v>
      </c>
      <c r="W246" s="64"/>
      <c r="X246" s="65">
        <v>851</v>
      </c>
      <c r="Y246" s="64"/>
      <c r="Z246" s="73"/>
      <c r="AA246" s="64">
        <f t="shared" si="594"/>
        <v>851</v>
      </c>
      <c r="AB246" s="64"/>
      <c r="AC246" s="65">
        <v>851</v>
      </c>
      <c r="AD246" s="64"/>
      <c r="AE246" s="73"/>
      <c r="AF246" s="64">
        <f t="shared" si="595"/>
        <v>851</v>
      </c>
      <c r="AG246" s="64"/>
      <c r="AH246" s="65">
        <v>851</v>
      </c>
      <c r="AI246" s="64"/>
      <c r="AJ246" s="73"/>
      <c r="AK246" s="64">
        <f t="shared" si="596"/>
        <v>370</v>
      </c>
      <c r="AL246" s="64"/>
      <c r="AM246" s="65">
        <v>370</v>
      </c>
      <c r="AN246" s="64"/>
      <c r="AO246" s="73"/>
      <c r="AP246" s="64" t="s">
        <v>359</v>
      </c>
      <c r="AQ246" s="64">
        <f t="shared" si="597"/>
        <v>851</v>
      </c>
      <c r="AR246" s="64"/>
      <c r="AS246" s="65">
        <f>370+481</f>
        <v>851</v>
      </c>
      <c r="AT246" s="64"/>
      <c r="AU246" s="64"/>
      <c r="AV246" s="64">
        <f t="shared" si="470"/>
        <v>0</v>
      </c>
      <c r="AW246" s="64">
        <f t="shared" si="471"/>
        <v>0</v>
      </c>
      <c r="AX246" s="64">
        <f t="shared" si="472"/>
        <v>0</v>
      </c>
      <c r="AY246" s="64">
        <f t="shared" si="473"/>
        <v>0</v>
      </c>
      <c r="AZ246" s="64" t="e">
        <f>#REF!-AU246</f>
        <v>#REF!</v>
      </c>
      <c r="BA246" s="64">
        <f t="shared" si="598"/>
        <v>851</v>
      </c>
      <c r="BB246" s="64"/>
      <c r="BC246" s="65">
        <f>370+481</f>
        <v>851</v>
      </c>
      <c r="BD246" s="64"/>
      <c r="BE246" s="64"/>
      <c r="BF246" s="64">
        <f t="shared" si="599"/>
        <v>0</v>
      </c>
      <c r="BG246" s="64"/>
      <c r="BH246" s="65"/>
      <c r="BI246" s="64"/>
      <c r="BJ246" s="64"/>
      <c r="BK246" s="64">
        <f t="shared" si="600"/>
        <v>851</v>
      </c>
      <c r="BL246" s="64"/>
      <c r="BM246" s="65">
        <f>370+481</f>
        <v>851</v>
      </c>
      <c r="BN246" s="64"/>
      <c r="BO246" s="64"/>
      <c r="BP246" s="60">
        <f t="shared" si="601"/>
        <v>851</v>
      </c>
      <c r="BQ246" s="64"/>
      <c r="BR246" s="74">
        <v>851</v>
      </c>
      <c r="BS246" s="64"/>
      <c r="BT246" s="64"/>
      <c r="BU246" s="64">
        <f t="shared" si="602"/>
        <v>619</v>
      </c>
      <c r="BV246" s="64"/>
      <c r="BW246" s="64">
        <v>619</v>
      </c>
      <c r="BX246" s="64"/>
      <c r="BY246" s="64"/>
      <c r="BZ246" s="60">
        <f t="shared" si="603"/>
        <v>1470</v>
      </c>
      <c r="CA246" s="64">
        <f t="shared" si="474"/>
        <v>1470</v>
      </c>
      <c r="CB246" s="64">
        <f t="shared" si="475"/>
        <v>0</v>
      </c>
      <c r="CC246" s="64">
        <f t="shared" si="476"/>
        <v>1470</v>
      </c>
      <c r="CD246" s="64">
        <f t="shared" si="477"/>
        <v>0</v>
      </c>
      <c r="CE246" s="64">
        <f t="shared" si="604"/>
        <v>0</v>
      </c>
      <c r="CF246" s="64">
        <f t="shared" si="478"/>
        <v>0</v>
      </c>
      <c r="CG246" s="64">
        <f t="shared" si="479"/>
        <v>0</v>
      </c>
      <c r="CH246" s="64">
        <f t="shared" si="480"/>
        <v>0</v>
      </c>
      <c r="CI246" s="64">
        <f t="shared" si="481"/>
        <v>0</v>
      </c>
      <c r="CJ246" s="64">
        <f t="shared" si="605"/>
        <v>0</v>
      </c>
      <c r="CK246" s="66"/>
      <c r="CL246" s="67">
        <f>BA242-CL243-CL245</f>
        <v>3270.5999999999985</v>
      </c>
      <c r="CM246" s="67">
        <f>CL246+CN253</f>
        <v>3270.5999999999985</v>
      </c>
      <c r="CN246" s="64">
        <f t="shared" si="606"/>
        <v>0</v>
      </c>
      <c r="CO246" s="64"/>
      <c r="CP246" s="65"/>
      <c r="CQ246" s="64"/>
      <c r="CR246" s="64"/>
      <c r="CS246" s="64">
        <f t="shared" si="607"/>
        <v>0</v>
      </c>
      <c r="CT246" s="64"/>
      <c r="CU246" s="65"/>
      <c r="CV246" s="64"/>
      <c r="CW246" s="64"/>
      <c r="CX246" s="64">
        <f t="shared" si="608"/>
        <v>0</v>
      </c>
      <c r="CY246" s="64">
        <f t="shared" si="616"/>
        <v>0</v>
      </c>
      <c r="CZ246" s="64">
        <f t="shared" si="616"/>
        <v>0</v>
      </c>
      <c r="DA246" s="64">
        <f t="shared" si="616"/>
        <v>0</v>
      </c>
      <c r="DB246" s="64">
        <f t="shared" si="616"/>
        <v>0</v>
      </c>
      <c r="DC246" s="64"/>
      <c r="DD246" s="64"/>
      <c r="DE246" s="64"/>
      <c r="DF246" s="64">
        <f t="shared" si="609"/>
        <v>0</v>
      </c>
      <c r="DH246" s="64">
        <f t="shared" si="610"/>
        <v>851</v>
      </c>
      <c r="DI246" s="64">
        <f t="shared" si="611"/>
        <v>851</v>
      </c>
      <c r="DK246" s="64">
        <f>DI246+DI249+DI251+DI253+DI255+DI257</f>
        <v>3026.6377499999999</v>
      </c>
      <c r="DL246" s="64">
        <f>DF246+DF249+DF251+DF253+DF255+DF257</f>
        <v>243.96224999999998</v>
      </c>
      <c r="DN246" s="64">
        <f>CM246-DK246</f>
        <v>243.96224999999868</v>
      </c>
      <c r="DQ246" s="64">
        <f t="shared" si="614"/>
        <v>851</v>
      </c>
      <c r="DR246" s="64"/>
      <c r="DS246" s="74">
        <v>851</v>
      </c>
      <c r="DT246" s="64"/>
      <c r="DU246" s="64"/>
      <c r="DV246" s="64">
        <f t="shared" si="615"/>
        <v>0</v>
      </c>
      <c r="DW246" s="64"/>
      <c r="DX246" s="64"/>
      <c r="DY246" s="64"/>
      <c r="DZ246" s="64"/>
      <c r="EA246" s="375"/>
      <c r="EB246" s="375"/>
      <c r="EC246" s="375"/>
      <c r="ED246" s="375"/>
      <c r="EE246" s="375"/>
      <c r="EF246" s="375"/>
      <c r="EG246" s="375"/>
      <c r="EH246" s="375"/>
      <c r="EI246" s="375"/>
      <c r="EJ246" s="375"/>
      <c r="EK246" s="375"/>
      <c r="EL246" s="375"/>
      <c r="EM246" s="375"/>
      <c r="EN246" s="375"/>
      <c r="EO246" s="375"/>
      <c r="EP246" s="375"/>
      <c r="EQ246" s="375"/>
      <c r="ER246" s="375"/>
      <c r="ES246" s="375"/>
      <c r="ET246" s="375"/>
      <c r="EU246" s="375"/>
      <c r="EV246" s="375"/>
      <c r="EW246" s="375"/>
      <c r="EX246" s="375"/>
      <c r="EY246" s="375"/>
      <c r="EZ246" s="375"/>
      <c r="FA246" s="375"/>
      <c r="FB246" s="375"/>
      <c r="FC246" s="375"/>
      <c r="FD246" s="375"/>
      <c r="FE246" s="375"/>
      <c r="FF246" s="375"/>
      <c r="FG246" s="375"/>
      <c r="FH246" s="375"/>
      <c r="FI246" s="375"/>
      <c r="FJ246" s="375"/>
      <c r="FK246" s="375"/>
      <c r="FL246" s="375"/>
      <c r="FM246" s="375"/>
      <c r="FN246" s="375"/>
      <c r="FO246" s="375"/>
      <c r="FP246" s="375"/>
      <c r="FQ246" s="375"/>
      <c r="FR246" s="375"/>
      <c r="FS246" s="375"/>
      <c r="FT246" s="375"/>
      <c r="FU246" s="375"/>
      <c r="FV246" s="375"/>
      <c r="FW246" s="375"/>
      <c r="FX246" s="375"/>
      <c r="FY246" s="375"/>
      <c r="FZ246" s="375"/>
      <c r="GA246" s="375"/>
      <c r="GB246" s="375"/>
      <c r="GC246" s="375"/>
      <c r="GD246" s="375"/>
      <c r="GE246" s="375"/>
      <c r="GF246" s="375"/>
      <c r="GG246" s="375"/>
      <c r="GH246" s="375"/>
      <c r="GI246" s="375"/>
      <c r="GJ246" s="375"/>
      <c r="GK246" s="375"/>
      <c r="GL246" s="375"/>
      <c r="GM246" s="375"/>
      <c r="GN246" s="375"/>
      <c r="GO246" s="375"/>
      <c r="GP246" s="375"/>
      <c r="GQ246" s="375"/>
      <c r="GR246" s="375"/>
    </row>
    <row r="247" spans="1:200" s="61" customFormat="1" ht="15.75" customHeight="1" x14ac:dyDescent="0.3">
      <c r="A247" s="280"/>
      <c r="B247" s="281"/>
      <c r="C247" s="282">
        <v>1</v>
      </c>
      <c r="D247" s="282"/>
      <c r="E247" s="4">
        <v>207</v>
      </c>
      <c r="F247" s="281"/>
      <c r="G247" s="282">
        <v>1</v>
      </c>
      <c r="H247" s="282">
        <v>1</v>
      </c>
      <c r="I247" s="4"/>
      <c r="J247" s="283"/>
      <c r="K247" s="283"/>
      <c r="L247" s="286"/>
      <c r="M247" s="4">
        <v>202</v>
      </c>
      <c r="N247" s="62" t="s">
        <v>65</v>
      </c>
      <c r="O247" s="62" t="s">
        <v>448</v>
      </c>
      <c r="P247" s="62" t="s">
        <v>448</v>
      </c>
      <c r="Q247" s="60">
        <f t="shared" si="482"/>
        <v>0</v>
      </c>
      <c r="R247" s="60">
        <f t="shared" si="483"/>
        <v>0</v>
      </c>
      <c r="S247" s="60">
        <f t="shared" si="484"/>
        <v>0</v>
      </c>
      <c r="T247" s="60">
        <v>1</v>
      </c>
      <c r="U247" s="60">
        <v>2</v>
      </c>
      <c r="V247" s="64">
        <f t="shared" si="593"/>
        <v>28856.1</v>
      </c>
      <c r="W247" s="64">
        <v>27000</v>
      </c>
      <c r="X247" s="65">
        <v>1856.1</v>
      </c>
      <c r="Y247" s="64"/>
      <c r="Z247" s="73"/>
      <c r="AA247" s="64">
        <f t="shared" si="594"/>
        <v>28856.1</v>
      </c>
      <c r="AB247" s="64">
        <v>27000</v>
      </c>
      <c r="AC247" s="65">
        <v>1856.1</v>
      </c>
      <c r="AD247" s="64"/>
      <c r="AE247" s="73"/>
      <c r="AF247" s="64">
        <f t="shared" si="595"/>
        <v>1856.1</v>
      </c>
      <c r="AG247" s="64"/>
      <c r="AH247" s="65">
        <v>1856.1</v>
      </c>
      <c r="AI247" s="64"/>
      <c r="AJ247" s="73"/>
      <c r="AK247" s="64">
        <f t="shared" si="596"/>
        <v>807</v>
      </c>
      <c r="AL247" s="64"/>
      <c r="AM247" s="65">
        <v>807</v>
      </c>
      <c r="AN247" s="64"/>
      <c r="AO247" s="73"/>
      <c r="AP247" s="64" t="s">
        <v>402</v>
      </c>
      <c r="AQ247" s="64">
        <f t="shared" si="597"/>
        <v>28856.1</v>
      </c>
      <c r="AR247" s="64">
        <v>27000</v>
      </c>
      <c r="AS247" s="65">
        <f>807+1049.1</f>
        <v>1856.1</v>
      </c>
      <c r="AT247" s="64"/>
      <c r="AU247" s="73"/>
      <c r="AV247" s="64">
        <f t="shared" si="470"/>
        <v>0</v>
      </c>
      <c r="AW247" s="64">
        <f t="shared" si="471"/>
        <v>0</v>
      </c>
      <c r="AX247" s="64">
        <f t="shared" si="472"/>
        <v>0</v>
      </c>
      <c r="AY247" s="64">
        <f t="shared" si="473"/>
        <v>0</v>
      </c>
      <c r="AZ247" s="64" t="e">
        <f>#REF!-AU247</f>
        <v>#REF!</v>
      </c>
      <c r="BA247" s="64">
        <f t="shared" si="598"/>
        <v>28856.1</v>
      </c>
      <c r="BB247" s="64">
        <f>19396.50385+7603.49615</f>
        <v>27000</v>
      </c>
      <c r="BC247" s="65">
        <f>807+1049.1</f>
        <v>1856.1</v>
      </c>
      <c r="BD247" s="64"/>
      <c r="BE247" s="73"/>
      <c r="BF247" s="64">
        <f t="shared" si="599"/>
        <v>0</v>
      </c>
      <c r="BG247" s="64"/>
      <c r="BH247" s="65"/>
      <c r="BI247" s="64"/>
      <c r="BJ247" s="73"/>
      <c r="BK247" s="64">
        <f t="shared" si="600"/>
        <v>28856.1</v>
      </c>
      <c r="BL247" s="64">
        <f>19396.50385+7603.49615</f>
        <v>27000</v>
      </c>
      <c r="BM247" s="65">
        <f>807+1049.1</f>
        <v>1856.1</v>
      </c>
      <c r="BN247" s="64"/>
      <c r="BO247" s="74"/>
      <c r="BP247" s="60">
        <f t="shared" si="601"/>
        <v>28856.1</v>
      </c>
      <c r="BQ247" s="64">
        <f>19396.50385+7603.49615</f>
        <v>27000</v>
      </c>
      <c r="BR247" s="74">
        <f>900+956.1</f>
        <v>1856.1</v>
      </c>
      <c r="BS247" s="64"/>
      <c r="BT247" s="74"/>
      <c r="BU247" s="64">
        <f t="shared" si="602"/>
        <v>1320.9270000000001</v>
      </c>
      <c r="BV247" s="64">
        <v>500</v>
      </c>
      <c r="BW247" s="64">
        <f>452.03+265.927+102.97</f>
        <v>820.92700000000002</v>
      </c>
      <c r="BX247" s="64"/>
      <c r="BY247" s="64"/>
      <c r="BZ247" s="60">
        <f t="shared" si="603"/>
        <v>30177.027000000002</v>
      </c>
      <c r="CA247" s="64">
        <f t="shared" si="474"/>
        <v>30177.027000000002</v>
      </c>
      <c r="CB247" s="64">
        <f t="shared" si="475"/>
        <v>27500</v>
      </c>
      <c r="CC247" s="64">
        <f t="shared" si="476"/>
        <v>2677.027</v>
      </c>
      <c r="CD247" s="64">
        <f t="shared" si="477"/>
        <v>0</v>
      </c>
      <c r="CE247" s="64">
        <f t="shared" si="604"/>
        <v>0</v>
      </c>
      <c r="CF247" s="64">
        <f t="shared" si="478"/>
        <v>0</v>
      </c>
      <c r="CG247" s="64">
        <f t="shared" si="479"/>
        <v>0</v>
      </c>
      <c r="CH247" s="64">
        <f t="shared" si="480"/>
        <v>0</v>
      </c>
      <c r="CI247" s="64">
        <f t="shared" si="481"/>
        <v>0</v>
      </c>
      <c r="CJ247" s="64">
        <f t="shared" si="605"/>
        <v>0</v>
      </c>
      <c r="CK247" s="66"/>
      <c r="CL247" s="67"/>
      <c r="CM247" s="67"/>
      <c r="CN247" s="64">
        <f t="shared" si="606"/>
        <v>0</v>
      </c>
      <c r="CO247" s="64"/>
      <c r="CP247" s="65"/>
      <c r="CQ247" s="64"/>
      <c r="CR247" s="73"/>
      <c r="CS247" s="64">
        <f t="shared" si="607"/>
        <v>0</v>
      </c>
      <c r="CT247" s="64"/>
      <c r="CU247" s="65"/>
      <c r="CV247" s="64"/>
      <c r="CW247" s="73"/>
      <c r="CX247" s="64">
        <f t="shared" si="608"/>
        <v>0</v>
      </c>
      <c r="CY247" s="64">
        <f t="shared" si="616"/>
        <v>0</v>
      </c>
      <c r="CZ247" s="64">
        <f t="shared" si="616"/>
        <v>0</v>
      </c>
      <c r="DA247" s="64">
        <f t="shared" si="616"/>
        <v>0</v>
      </c>
      <c r="DB247" s="64">
        <f t="shared" si="616"/>
        <v>0</v>
      </c>
      <c r="DC247" s="64"/>
      <c r="DD247" s="64"/>
      <c r="DE247" s="64"/>
      <c r="DF247" s="64">
        <f t="shared" si="609"/>
        <v>0</v>
      </c>
      <c r="DH247" s="64">
        <f t="shared" si="610"/>
        <v>28856.1</v>
      </c>
      <c r="DI247" s="64">
        <f t="shared" si="611"/>
        <v>28856.1</v>
      </c>
      <c r="DK247" s="64"/>
      <c r="DL247" s="64"/>
      <c r="DN247" s="64"/>
      <c r="DQ247" s="64">
        <f t="shared" si="614"/>
        <v>28856.1</v>
      </c>
      <c r="DR247" s="64">
        <f>19396.50385+7603.49615</f>
        <v>27000</v>
      </c>
      <c r="DS247" s="74">
        <f>900+956.1</f>
        <v>1856.1</v>
      </c>
      <c r="DT247" s="64"/>
      <c r="DU247" s="74"/>
      <c r="DV247" s="64">
        <f t="shared" si="615"/>
        <v>6351.8779999999997</v>
      </c>
      <c r="DW247" s="64">
        <f>1870.26121+3660.68979</f>
        <v>5530.951</v>
      </c>
      <c r="DX247" s="64">
        <v>820.92700000000002</v>
      </c>
      <c r="DY247" s="64"/>
      <c r="DZ247" s="64"/>
      <c r="EA247" s="375"/>
      <c r="EB247" s="375"/>
      <c r="EC247" s="375"/>
      <c r="ED247" s="375"/>
      <c r="EE247" s="375"/>
      <c r="EF247" s="375"/>
      <c r="EG247" s="375"/>
      <c r="EH247" s="375"/>
      <c r="EI247" s="375"/>
      <c r="EJ247" s="375"/>
      <c r="EK247" s="375"/>
      <c r="EL247" s="375"/>
      <c r="EM247" s="375"/>
      <c r="EN247" s="375"/>
      <c r="EO247" s="375"/>
      <c r="EP247" s="375"/>
      <c r="EQ247" s="375"/>
      <c r="ER247" s="375"/>
      <c r="ES247" s="375"/>
      <c r="ET247" s="375"/>
      <c r="EU247" s="375"/>
      <c r="EV247" s="375"/>
      <c r="EW247" s="375"/>
      <c r="EX247" s="375"/>
      <c r="EY247" s="375"/>
      <c r="EZ247" s="375"/>
      <c r="FA247" s="375"/>
      <c r="FB247" s="375"/>
      <c r="FC247" s="375"/>
      <c r="FD247" s="375"/>
      <c r="FE247" s="375"/>
      <c r="FF247" s="375"/>
      <c r="FG247" s="375"/>
      <c r="FH247" s="375"/>
      <c r="FI247" s="375"/>
      <c r="FJ247" s="375"/>
      <c r="FK247" s="375"/>
      <c r="FL247" s="375"/>
      <c r="FM247" s="375"/>
      <c r="FN247" s="375"/>
      <c r="FO247" s="375"/>
      <c r="FP247" s="375"/>
      <c r="FQ247" s="375"/>
      <c r="FR247" s="375"/>
      <c r="FS247" s="375"/>
      <c r="FT247" s="375"/>
      <c r="FU247" s="375"/>
      <c r="FV247" s="375"/>
      <c r="FW247" s="375"/>
      <c r="FX247" s="375"/>
      <c r="FY247" s="375"/>
      <c r="FZ247" s="375"/>
      <c r="GA247" s="375"/>
      <c r="GB247" s="375"/>
      <c r="GC247" s="375"/>
      <c r="GD247" s="375"/>
      <c r="GE247" s="375"/>
      <c r="GF247" s="375"/>
      <c r="GG247" s="375"/>
      <c r="GH247" s="375"/>
      <c r="GI247" s="375"/>
      <c r="GJ247" s="375"/>
      <c r="GK247" s="375"/>
      <c r="GL247" s="375"/>
      <c r="GM247" s="375"/>
      <c r="GN247" s="375"/>
      <c r="GO247" s="375"/>
      <c r="GP247" s="375"/>
      <c r="GQ247" s="375"/>
      <c r="GR247" s="375"/>
    </row>
    <row r="248" spans="1:200" s="61" customFormat="1" ht="15.75" customHeight="1" x14ac:dyDescent="0.3">
      <c r="A248" s="280"/>
      <c r="B248" s="281"/>
      <c r="C248" s="282">
        <v>1</v>
      </c>
      <c r="D248" s="282"/>
      <c r="E248" s="4">
        <v>208</v>
      </c>
      <c r="F248" s="281"/>
      <c r="G248" s="282">
        <v>1</v>
      </c>
      <c r="H248" s="282">
        <v>1</v>
      </c>
      <c r="I248" s="4"/>
      <c r="J248" s="283"/>
      <c r="K248" s="283"/>
      <c r="L248" s="286"/>
      <c r="M248" s="4">
        <v>203</v>
      </c>
      <c r="N248" s="62" t="s">
        <v>60</v>
      </c>
      <c r="O248" s="62">
        <v>0</v>
      </c>
      <c r="P248" s="62" t="s">
        <v>448</v>
      </c>
      <c r="Q248" s="60">
        <f t="shared" si="482"/>
        <v>0</v>
      </c>
      <c r="R248" s="60">
        <f t="shared" si="483"/>
        <v>0</v>
      </c>
      <c r="S248" s="60">
        <f t="shared" si="484"/>
        <v>0</v>
      </c>
      <c r="T248" s="60"/>
      <c r="U248" s="60"/>
      <c r="V248" s="64">
        <f t="shared" si="593"/>
        <v>0</v>
      </c>
      <c r="W248" s="64"/>
      <c r="X248" s="65">
        <v>0</v>
      </c>
      <c r="Y248" s="64"/>
      <c r="Z248" s="73"/>
      <c r="AA248" s="64">
        <f t="shared" si="594"/>
        <v>593.4</v>
      </c>
      <c r="AB248" s="64"/>
      <c r="AC248" s="65">
        <v>593.4</v>
      </c>
      <c r="AD248" s="64"/>
      <c r="AE248" s="73"/>
      <c r="AF248" s="64">
        <f t="shared" si="595"/>
        <v>593.4</v>
      </c>
      <c r="AG248" s="64"/>
      <c r="AH248" s="65">
        <v>593.4</v>
      </c>
      <c r="AI248" s="64"/>
      <c r="AJ248" s="73"/>
      <c r="AK248" s="64">
        <f t="shared" si="596"/>
        <v>258</v>
      </c>
      <c r="AL248" s="64"/>
      <c r="AM248" s="65">
        <v>258</v>
      </c>
      <c r="AN248" s="64"/>
      <c r="AO248" s="73"/>
      <c r="AP248" s="64"/>
      <c r="AQ248" s="64">
        <f t="shared" si="597"/>
        <v>0</v>
      </c>
      <c r="AR248" s="64"/>
      <c r="AS248" s="65"/>
      <c r="AT248" s="64"/>
      <c r="AU248" s="73"/>
      <c r="AV248" s="64">
        <f t="shared" si="470"/>
        <v>0</v>
      </c>
      <c r="AW248" s="64">
        <f t="shared" si="471"/>
        <v>0</v>
      </c>
      <c r="AX248" s="64">
        <f t="shared" si="472"/>
        <v>0</v>
      </c>
      <c r="AY248" s="64">
        <f t="shared" si="473"/>
        <v>0</v>
      </c>
      <c r="AZ248" s="64" t="e">
        <f>#REF!-AU248</f>
        <v>#REF!</v>
      </c>
      <c r="BA248" s="64">
        <f t="shared" si="598"/>
        <v>0</v>
      </c>
      <c r="BB248" s="64"/>
      <c r="BC248" s="65"/>
      <c r="BD248" s="64"/>
      <c r="BE248" s="73"/>
      <c r="BF248" s="64">
        <f t="shared" si="599"/>
        <v>0</v>
      </c>
      <c r="BG248" s="64"/>
      <c r="BH248" s="65"/>
      <c r="BI248" s="64"/>
      <c r="BJ248" s="73"/>
      <c r="BK248" s="64">
        <f t="shared" si="600"/>
        <v>0</v>
      </c>
      <c r="BL248" s="64"/>
      <c r="BM248" s="74"/>
      <c r="BN248" s="64"/>
      <c r="BO248" s="74"/>
      <c r="BP248" s="60">
        <f t="shared" si="601"/>
        <v>0</v>
      </c>
      <c r="BQ248" s="64"/>
      <c r="BR248" s="74"/>
      <c r="BS248" s="64"/>
      <c r="BT248" s="74"/>
      <c r="BU248" s="64">
        <f t="shared" si="602"/>
        <v>0</v>
      </c>
      <c r="BV248" s="64"/>
      <c r="BW248" s="64"/>
      <c r="BX248" s="64"/>
      <c r="BY248" s="64"/>
      <c r="BZ248" s="60">
        <f t="shared" si="603"/>
        <v>0</v>
      </c>
      <c r="CA248" s="64">
        <f t="shared" si="474"/>
        <v>0</v>
      </c>
      <c r="CB248" s="64">
        <f t="shared" si="475"/>
        <v>0</v>
      </c>
      <c r="CC248" s="64">
        <f t="shared" si="476"/>
        <v>0</v>
      </c>
      <c r="CD248" s="64">
        <f t="shared" si="477"/>
        <v>0</v>
      </c>
      <c r="CE248" s="64">
        <f t="shared" si="604"/>
        <v>0</v>
      </c>
      <c r="CF248" s="64">
        <f t="shared" si="478"/>
        <v>0</v>
      </c>
      <c r="CG248" s="64">
        <f t="shared" si="479"/>
        <v>0</v>
      </c>
      <c r="CH248" s="64">
        <f t="shared" si="480"/>
        <v>0</v>
      </c>
      <c r="CI248" s="64">
        <f t="shared" si="481"/>
        <v>0</v>
      </c>
      <c r="CJ248" s="64">
        <f t="shared" si="605"/>
        <v>0</v>
      </c>
      <c r="CK248" s="66"/>
      <c r="CL248" s="67"/>
      <c r="CM248" s="67"/>
      <c r="CN248" s="64">
        <f t="shared" si="606"/>
        <v>0</v>
      </c>
      <c r="CO248" s="64"/>
      <c r="CP248" s="65"/>
      <c r="CQ248" s="64"/>
      <c r="CR248" s="73"/>
      <c r="CS248" s="64">
        <f t="shared" si="607"/>
        <v>0</v>
      </c>
      <c r="CT248" s="64"/>
      <c r="CU248" s="65"/>
      <c r="CV248" s="64"/>
      <c r="CW248" s="73"/>
      <c r="CX248" s="64">
        <f t="shared" si="608"/>
        <v>0</v>
      </c>
      <c r="CY248" s="64">
        <f t="shared" si="616"/>
        <v>0</v>
      </c>
      <c r="CZ248" s="64">
        <f t="shared" si="616"/>
        <v>0</v>
      </c>
      <c r="DA248" s="64">
        <f t="shared" si="616"/>
        <v>0</v>
      </c>
      <c r="DB248" s="64">
        <f t="shared" si="616"/>
        <v>0</v>
      </c>
      <c r="DC248" s="64"/>
      <c r="DD248" s="64"/>
      <c r="DE248" s="64"/>
      <c r="DF248" s="64">
        <f t="shared" si="609"/>
        <v>0</v>
      </c>
      <c r="DH248" s="64">
        <f t="shared" si="610"/>
        <v>0</v>
      </c>
      <c r="DI248" s="64">
        <f t="shared" si="611"/>
        <v>0</v>
      </c>
      <c r="DK248" s="64"/>
      <c r="DL248" s="64"/>
      <c r="DN248" s="64"/>
      <c r="DQ248" s="64">
        <f t="shared" si="614"/>
        <v>0</v>
      </c>
      <c r="DR248" s="64"/>
      <c r="DS248" s="74"/>
      <c r="DT248" s="64"/>
      <c r="DU248" s="74"/>
      <c r="DV248" s="64">
        <f t="shared" si="615"/>
        <v>0</v>
      </c>
      <c r="DW248" s="64"/>
      <c r="DX248" s="64"/>
      <c r="DY248" s="64"/>
      <c r="DZ248" s="64"/>
      <c r="EA248" s="375"/>
      <c r="EB248" s="375"/>
      <c r="EC248" s="375"/>
      <c r="ED248" s="375"/>
      <c r="EE248" s="375"/>
      <c r="EF248" s="375"/>
      <c r="EG248" s="375"/>
      <c r="EH248" s="375"/>
      <c r="EI248" s="375"/>
      <c r="EJ248" s="375"/>
      <c r="EK248" s="375"/>
      <c r="EL248" s="375"/>
      <c r="EM248" s="375"/>
      <c r="EN248" s="375"/>
      <c r="EO248" s="375"/>
      <c r="EP248" s="375"/>
      <c r="EQ248" s="375"/>
      <c r="ER248" s="375"/>
      <c r="ES248" s="375"/>
      <c r="ET248" s="375"/>
      <c r="EU248" s="375"/>
      <c r="EV248" s="375"/>
      <c r="EW248" s="375"/>
      <c r="EX248" s="375"/>
      <c r="EY248" s="375"/>
      <c r="EZ248" s="375"/>
      <c r="FA248" s="375"/>
      <c r="FB248" s="375"/>
      <c r="FC248" s="375"/>
      <c r="FD248" s="375"/>
      <c r="FE248" s="375"/>
      <c r="FF248" s="375"/>
      <c r="FG248" s="375"/>
      <c r="FH248" s="375"/>
      <c r="FI248" s="375"/>
      <c r="FJ248" s="375"/>
      <c r="FK248" s="375"/>
      <c r="FL248" s="375"/>
      <c r="FM248" s="375"/>
      <c r="FN248" s="375"/>
      <c r="FO248" s="375"/>
      <c r="FP248" s="375"/>
      <c r="FQ248" s="375"/>
      <c r="FR248" s="375"/>
      <c r="FS248" s="375"/>
      <c r="FT248" s="375"/>
      <c r="FU248" s="375"/>
      <c r="FV248" s="375"/>
      <c r="FW248" s="375"/>
      <c r="FX248" s="375"/>
      <c r="FY248" s="375"/>
      <c r="FZ248" s="375"/>
      <c r="GA248" s="375"/>
      <c r="GB248" s="375"/>
      <c r="GC248" s="375"/>
      <c r="GD248" s="375"/>
      <c r="GE248" s="375"/>
      <c r="GF248" s="375"/>
      <c r="GG248" s="375"/>
      <c r="GH248" s="375"/>
      <c r="GI248" s="375"/>
      <c r="GJ248" s="375"/>
      <c r="GK248" s="375"/>
      <c r="GL248" s="375"/>
      <c r="GM248" s="375"/>
      <c r="GN248" s="375"/>
      <c r="GO248" s="375"/>
      <c r="GP248" s="375"/>
      <c r="GQ248" s="375"/>
      <c r="GR248" s="375"/>
    </row>
    <row r="249" spans="1:200" s="61" customFormat="1" ht="15.75" customHeight="1" x14ac:dyDescent="0.3">
      <c r="A249" s="280"/>
      <c r="B249" s="281"/>
      <c r="C249" s="282"/>
      <c r="D249" s="282">
        <v>1</v>
      </c>
      <c r="E249" s="4">
        <v>209</v>
      </c>
      <c r="F249" s="281"/>
      <c r="G249" s="282"/>
      <c r="H249" s="282">
        <v>1</v>
      </c>
      <c r="I249" s="4"/>
      <c r="J249" s="283"/>
      <c r="K249" s="283"/>
      <c r="L249" s="286"/>
      <c r="M249" s="4">
        <v>204</v>
      </c>
      <c r="N249" s="62" t="s">
        <v>153</v>
      </c>
      <c r="O249" s="62" t="s">
        <v>448</v>
      </c>
      <c r="P249" s="62" t="s">
        <v>450</v>
      </c>
      <c r="Q249" s="60">
        <f t="shared" si="482"/>
        <v>0</v>
      </c>
      <c r="R249" s="60">
        <f t="shared" si="483"/>
        <v>12.985250000000008</v>
      </c>
      <c r="S249" s="60">
        <f t="shared" si="484"/>
        <v>0</v>
      </c>
      <c r="T249" s="60">
        <v>1</v>
      </c>
      <c r="U249" s="60">
        <v>2</v>
      </c>
      <c r="V249" s="64">
        <f t="shared" si="593"/>
        <v>384.1</v>
      </c>
      <c r="W249" s="64"/>
      <c r="X249" s="65">
        <v>384.1</v>
      </c>
      <c r="Y249" s="73"/>
      <c r="Z249" s="73"/>
      <c r="AA249" s="64">
        <f t="shared" si="594"/>
        <v>384.1</v>
      </c>
      <c r="AB249" s="64"/>
      <c r="AC249" s="65">
        <v>384.1</v>
      </c>
      <c r="AD249" s="73"/>
      <c r="AE249" s="73"/>
      <c r="AF249" s="64">
        <f t="shared" si="595"/>
        <v>384.1</v>
      </c>
      <c r="AG249" s="64"/>
      <c r="AH249" s="65">
        <v>384.1</v>
      </c>
      <c r="AI249" s="73"/>
      <c r="AJ249" s="73"/>
      <c r="AK249" s="64">
        <f t="shared" si="596"/>
        <v>167</v>
      </c>
      <c r="AL249" s="64"/>
      <c r="AM249" s="65">
        <v>167</v>
      </c>
      <c r="AN249" s="73"/>
      <c r="AO249" s="73"/>
      <c r="AP249" s="64" t="s">
        <v>469</v>
      </c>
      <c r="AQ249" s="64">
        <f t="shared" si="597"/>
        <v>384.1</v>
      </c>
      <c r="AR249" s="64"/>
      <c r="AS249" s="65">
        <f>167+217.1</f>
        <v>384.1</v>
      </c>
      <c r="AT249" s="73"/>
      <c r="AU249" s="73"/>
      <c r="AV249" s="64">
        <f t="shared" si="470"/>
        <v>0</v>
      </c>
      <c r="AW249" s="64">
        <f t="shared" si="471"/>
        <v>0</v>
      </c>
      <c r="AX249" s="64">
        <f t="shared" si="472"/>
        <v>0</v>
      </c>
      <c r="AY249" s="64">
        <f t="shared" si="473"/>
        <v>0</v>
      </c>
      <c r="AZ249" s="64" t="e">
        <f>#REF!-AU249</f>
        <v>#REF!</v>
      </c>
      <c r="BA249" s="64">
        <f t="shared" si="598"/>
        <v>384.1</v>
      </c>
      <c r="BB249" s="64"/>
      <c r="BC249" s="65">
        <f>167+217.1</f>
        <v>384.1</v>
      </c>
      <c r="BD249" s="73"/>
      <c r="BE249" s="73"/>
      <c r="BF249" s="64">
        <f t="shared" si="599"/>
        <v>0</v>
      </c>
      <c r="BG249" s="64"/>
      <c r="BH249" s="65"/>
      <c r="BI249" s="73"/>
      <c r="BJ249" s="73"/>
      <c r="BK249" s="64">
        <f t="shared" si="600"/>
        <v>384.1</v>
      </c>
      <c r="BL249" s="64"/>
      <c r="BM249" s="65">
        <f>167+217.1</f>
        <v>384.1</v>
      </c>
      <c r="BN249" s="74"/>
      <c r="BO249" s="74"/>
      <c r="BP249" s="60">
        <f t="shared" si="601"/>
        <v>371.11475000000002</v>
      </c>
      <c r="BQ249" s="64"/>
      <c r="BR249" s="74">
        <v>371.11475000000002</v>
      </c>
      <c r="BS249" s="74"/>
      <c r="BT249" s="74"/>
      <c r="BU249" s="64">
        <f t="shared" si="602"/>
        <v>172.09775000000002</v>
      </c>
      <c r="BV249" s="64"/>
      <c r="BW249" s="64">
        <f>159.1125+12.98525</f>
        <v>172.09775000000002</v>
      </c>
      <c r="BX249" s="64"/>
      <c r="BY249" s="64"/>
      <c r="BZ249" s="60">
        <f t="shared" si="603"/>
        <v>543.21250000000009</v>
      </c>
      <c r="CA249" s="64">
        <f t="shared" si="474"/>
        <v>543.21250000000009</v>
      </c>
      <c r="CB249" s="64">
        <f t="shared" si="475"/>
        <v>0</v>
      </c>
      <c r="CC249" s="64">
        <f t="shared" si="476"/>
        <v>543.21250000000009</v>
      </c>
      <c r="CD249" s="64">
        <f t="shared" si="477"/>
        <v>0</v>
      </c>
      <c r="CE249" s="64">
        <f t="shared" si="604"/>
        <v>0</v>
      </c>
      <c r="CF249" s="64">
        <f t="shared" si="478"/>
        <v>12.985250000000008</v>
      </c>
      <c r="CG249" s="64">
        <f t="shared" si="479"/>
        <v>0</v>
      </c>
      <c r="CH249" s="64">
        <f t="shared" si="480"/>
        <v>12.985250000000008</v>
      </c>
      <c r="CI249" s="64">
        <f t="shared" si="481"/>
        <v>0</v>
      </c>
      <c r="CJ249" s="64">
        <f t="shared" si="605"/>
        <v>0</v>
      </c>
      <c r="CK249" s="66"/>
      <c r="CL249" s="67"/>
      <c r="CM249" s="67"/>
      <c r="CN249" s="64">
        <f t="shared" si="606"/>
        <v>0</v>
      </c>
      <c r="CO249" s="64"/>
      <c r="CP249" s="65"/>
      <c r="CQ249" s="73"/>
      <c r="CR249" s="73"/>
      <c r="CS249" s="64">
        <f t="shared" si="607"/>
        <v>0</v>
      </c>
      <c r="CT249" s="64"/>
      <c r="CU249" s="65"/>
      <c r="CV249" s="73"/>
      <c r="CW249" s="73"/>
      <c r="CX249" s="64">
        <f t="shared" si="608"/>
        <v>0</v>
      </c>
      <c r="CY249" s="64">
        <f t="shared" si="616"/>
        <v>0</v>
      </c>
      <c r="CZ249" s="64">
        <f t="shared" si="616"/>
        <v>0</v>
      </c>
      <c r="DA249" s="64">
        <f t="shared" si="616"/>
        <v>0</v>
      </c>
      <c r="DB249" s="64">
        <f t="shared" si="616"/>
        <v>0</v>
      </c>
      <c r="DC249" s="64"/>
      <c r="DD249" s="64"/>
      <c r="DE249" s="64"/>
      <c r="DF249" s="64">
        <f t="shared" si="609"/>
        <v>12.985250000000008</v>
      </c>
      <c r="DH249" s="64">
        <f t="shared" si="610"/>
        <v>384.1</v>
      </c>
      <c r="DI249" s="64">
        <f t="shared" si="611"/>
        <v>371.11475000000002</v>
      </c>
      <c r="DK249" s="64"/>
      <c r="DL249" s="64"/>
      <c r="DN249" s="64"/>
      <c r="DQ249" s="64">
        <f t="shared" si="614"/>
        <v>371.11475000000002</v>
      </c>
      <c r="DR249" s="64"/>
      <c r="DS249" s="74">
        <v>371.11475000000002</v>
      </c>
      <c r="DT249" s="74"/>
      <c r="DU249" s="74"/>
      <c r="DV249" s="64">
        <f t="shared" si="615"/>
        <v>159.11250000000001</v>
      </c>
      <c r="DW249" s="64"/>
      <c r="DX249" s="64">
        <v>159.11250000000001</v>
      </c>
      <c r="DY249" s="64"/>
      <c r="DZ249" s="64"/>
      <c r="EA249" s="375"/>
      <c r="EB249" s="375"/>
      <c r="EC249" s="375"/>
      <c r="ED249" s="375"/>
      <c r="EE249" s="375"/>
      <c r="EF249" s="375"/>
      <c r="EG249" s="375"/>
      <c r="EH249" s="375"/>
      <c r="EI249" s="375"/>
      <c r="EJ249" s="375"/>
      <c r="EK249" s="375"/>
      <c r="EL249" s="375"/>
      <c r="EM249" s="375"/>
      <c r="EN249" s="375"/>
      <c r="EO249" s="375"/>
      <c r="EP249" s="375"/>
      <c r="EQ249" s="375"/>
      <c r="ER249" s="375"/>
      <c r="ES249" s="375"/>
      <c r="ET249" s="375"/>
      <c r="EU249" s="375"/>
      <c r="EV249" s="375"/>
      <c r="EW249" s="375"/>
      <c r="EX249" s="375"/>
      <c r="EY249" s="375"/>
      <c r="EZ249" s="375"/>
      <c r="FA249" s="375"/>
      <c r="FB249" s="375"/>
      <c r="FC249" s="375"/>
      <c r="FD249" s="375"/>
      <c r="FE249" s="375"/>
      <c r="FF249" s="375"/>
      <c r="FG249" s="375"/>
      <c r="FH249" s="375"/>
      <c r="FI249" s="375"/>
      <c r="FJ249" s="375"/>
      <c r="FK249" s="375"/>
      <c r="FL249" s="375"/>
      <c r="FM249" s="375"/>
      <c r="FN249" s="375"/>
      <c r="FO249" s="375"/>
      <c r="FP249" s="375"/>
      <c r="FQ249" s="375"/>
      <c r="FR249" s="375"/>
      <c r="FS249" s="375"/>
      <c r="FT249" s="375"/>
      <c r="FU249" s="375"/>
      <c r="FV249" s="375"/>
      <c r="FW249" s="375"/>
      <c r="FX249" s="375"/>
      <c r="FY249" s="375"/>
      <c r="FZ249" s="375"/>
      <c r="GA249" s="375"/>
      <c r="GB249" s="375"/>
      <c r="GC249" s="375"/>
      <c r="GD249" s="375"/>
      <c r="GE249" s="375"/>
      <c r="GF249" s="375"/>
      <c r="GG249" s="375"/>
      <c r="GH249" s="375"/>
      <c r="GI249" s="375"/>
      <c r="GJ249" s="375"/>
      <c r="GK249" s="375"/>
      <c r="GL249" s="375"/>
      <c r="GM249" s="375"/>
      <c r="GN249" s="375"/>
      <c r="GO249" s="375"/>
      <c r="GP249" s="375"/>
      <c r="GQ249" s="375"/>
      <c r="GR249" s="375"/>
    </row>
    <row r="250" spans="1:200" s="61" customFormat="1" ht="15.75" customHeight="1" x14ac:dyDescent="0.3">
      <c r="A250" s="280"/>
      <c r="B250" s="281"/>
      <c r="C250" s="282">
        <v>1</v>
      </c>
      <c r="D250" s="282"/>
      <c r="E250" s="4">
        <v>210</v>
      </c>
      <c r="F250" s="281"/>
      <c r="G250" s="282">
        <v>1</v>
      </c>
      <c r="H250" s="282">
        <v>1</v>
      </c>
      <c r="I250" s="280"/>
      <c r="J250" s="280"/>
      <c r="K250" s="280"/>
      <c r="L250" s="280"/>
      <c r="M250" s="4">
        <v>205</v>
      </c>
      <c r="N250" s="62" t="s">
        <v>67</v>
      </c>
      <c r="O250" s="62" t="s">
        <v>448</v>
      </c>
      <c r="P250" s="62" t="s">
        <v>450</v>
      </c>
      <c r="Q250" s="60">
        <f t="shared" si="482"/>
        <v>0</v>
      </c>
      <c r="R250" s="60">
        <f t="shared" si="483"/>
        <v>0</v>
      </c>
      <c r="S250" s="60">
        <f t="shared" si="484"/>
        <v>0</v>
      </c>
      <c r="T250" s="60">
        <v>1</v>
      </c>
      <c r="U250" s="60">
        <v>1</v>
      </c>
      <c r="V250" s="64">
        <f t="shared" si="593"/>
        <v>483</v>
      </c>
      <c r="W250" s="64"/>
      <c r="X250" s="65">
        <v>483</v>
      </c>
      <c r="Y250" s="64"/>
      <c r="Z250" s="60"/>
      <c r="AA250" s="64">
        <f t="shared" si="594"/>
        <v>483</v>
      </c>
      <c r="AB250" s="64"/>
      <c r="AC250" s="65">
        <v>483</v>
      </c>
      <c r="AD250" s="64"/>
      <c r="AE250" s="60"/>
      <c r="AF250" s="64">
        <f t="shared" si="595"/>
        <v>483</v>
      </c>
      <c r="AG250" s="64"/>
      <c r="AH250" s="65">
        <v>483</v>
      </c>
      <c r="AI250" s="64"/>
      <c r="AJ250" s="60"/>
      <c r="AK250" s="64">
        <f t="shared" si="596"/>
        <v>210</v>
      </c>
      <c r="AL250" s="64"/>
      <c r="AM250" s="65">
        <v>210</v>
      </c>
      <c r="AN250" s="64"/>
      <c r="AO250" s="64"/>
      <c r="AP250" s="64" t="s">
        <v>481</v>
      </c>
      <c r="AQ250" s="64">
        <f t="shared" si="597"/>
        <v>483</v>
      </c>
      <c r="AR250" s="64"/>
      <c r="AS250" s="65">
        <v>483</v>
      </c>
      <c r="AT250" s="64"/>
      <c r="AU250" s="64"/>
      <c r="AV250" s="64">
        <f t="shared" si="470"/>
        <v>0</v>
      </c>
      <c r="AW250" s="64">
        <f t="shared" si="471"/>
        <v>0</v>
      </c>
      <c r="AX250" s="64">
        <f t="shared" si="472"/>
        <v>0</v>
      </c>
      <c r="AY250" s="64">
        <f t="shared" si="473"/>
        <v>0</v>
      </c>
      <c r="AZ250" s="64" t="e">
        <f>#REF!-AU250</f>
        <v>#REF!</v>
      </c>
      <c r="BA250" s="64">
        <f t="shared" si="598"/>
        <v>483</v>
      </c>
      <c r="BB250" s="64"/>
      <c r="BC250" s="65">
        <v>483</v>
      </c>
      <c r="BD250" s="64"/>
      <c r="BE250" s="64"/>
      <c r="BF250" s="64">
        <f t="shared" si="599"/>
        <v>0</v>
      </c>
      <c r="BG250" s="64"/>
      <c r="BH250" s="65"/>
      <c r="BI250" s="64"/>
      <c r="BJ250" s="64"/>
      <c r="BK250" s="64">
        <f t="shared" si="600"/>
        <v>483</v>
      </c>
      <c r="BL250" s="64"/>
      <c r="BM250" s="65">
        <v>483</v>
      </c>
      <c r="BN250" s="64"/>
      <c r="BO250" s="64"/>
      <c r="BP250" s="60">
        <f t="shared" si="601"/>
        <v>483</v>
      </c>
      <c r="BQ250" s="64"/>
      <c r="BR250" s="74">
        <v>483</v>
      </c>
      <c r="BS250" s="64"/>
      <c r="BT250" s="64"/>
      <c r="BU250" s="64">
        <f t="shared" si="602"/>
        <v>259.54255999999998</v>
      </c>
      <c r="BV250" s="64"/>
      <c r="BW250" s="64">
        <v>259.54255999999998</v>
      </c>
      <c r="BX250" s="64"/>
      <c r="BY250" s="64"/>
      <c r="BZ250" s="60">
        <f t="shared" si="603"/>
        <v>742.54255999999998</v>
      </c>
      <c r="CA250" s="60">
        <f t="shared" si="474"/>
        <v>742.54255999999998</v>
      </c>
      <c r="CB250" s="64">
        <f t="shared" si="475"/>
        <v>0</v>
      </c>
      <c r="CC250" s="64">
        <f t="shared" si="476"/>
        <v>742.54255999999998</v>
      </c>
      <c r="CD250" s="64">
        <f t="shared" si="477"/>
        <v>0</v>
      </c>
      <c r="CE250" s="64">
        <f t="shared" si="604"/>
        <v>0</v>
      </c>
      <c r="CF250" s="64">
        <f t="shared" si="478"/>
        <v>0</v>
      </c>
      <c r="CG250" s="64">
        <f t="shared" si="479"/>
        <v>0</v>
      </c>
      <c r="CH250" s="64">
        <f t="shared" si="480"/>
        <v>0</v>
      </c>
      <c r="CI250" s="64">
        <f t="shared" si="481"/>
        <v>0</v>
      </c>
      <c r="CJ250" s="64">
        <f t="shared" si="605"/>
        <v>0</v>
      </c>
      <c r="CK250" s="66"/>
      <c r="CL250" s="67"/>
      <c r="CM250" s="67"/>
      <c r="CN250" s="64">
        <f t="shared" si="606"/>
        <v>0</v>
      </c>
      <c r="CO250" s="64"/>
      <c r="CP250" s="65"/>
      <c r="CQ250" s="64"/>
      <c r="CR250" s="64"/>
      <c r="CS250" s="64">
        <f t="shared" si="607"/>
        <v>0</v>
      </c>
      <c r="CT250" s="64"/>
      <c r="CU250" s="65"/>
      <c r="CV250" s="64"/>
      <c r="CW250" s="64"/>
      <c r="CX250" s="64">
        <f t="shared" si="608"/>
        <v>0</v>
      </c>
      <c r="CY250" s="64">
        <f t="shared" si="616"/>
        <v>0</v>
      </c>
      <c r="CZ250" s="64">
        <f t="shared" si="616"/>
        <v>0</v>
      </c>
      <c r="DA250" s="64">
        <f t="shared" si="616"/>
        <v>0</v>
      </c>
      <c r="DB250" s="64">
        <f t="shared" si="616"/>
        <v>0</v>
      </c>
      <c r="DC250" s="64"/>
      <c r="DD250" s="64"/>
      <c r="DE250" s="64"/>
      <c r="DF250" s="64">
        <f t="shared" si="609"/>
        <v>0</v>
      </c>
      <c r="DH250" s="64">
        <f t="shared" si="610"/>
        <v>483</v>
      </c>
      <c r="DI250" s="64">
        <f t="shared" si="611"/>
        <v>483</v>
      </c>
      <c r="DK250" s="64"/>
      <c r="DL250" s="64"/>
      <c r="DN250" s="64"/>
      <c r="DQ250" s="64">
        <f t="shared" si="614"/>
        <v>483</v>
      </c>
      <c r="DR250" s="64"/>
      <c r="DS250" s="74">
        <v>483</v>
      </c>
      <c r="DT250" s="64"/>
      <c r="DU250" s="64"/>
      <c r="DV250" s="64">
        <f t="shared" si="615"/>
        <v>259.54255999999998</v>
      </c>
      <c r="DW250" s="64"/>
      <c r="DX250" s="64">
        <v>259.54255999999998</v>
      </c>
      <c r="DY250" s="64"/>
      <c r="DZ250" s="64"/>
      <c r="EA250" s="375"/>
      <c r="EB250" s="375"/>
      <c r="EC250" s="375"/>
      <c r="ED250" s="375"/>
      <c r="EE250" s="375"/>
      <c r="EF250" s="375"/>
      <c r="EG250" s="375"/>
      <c r="EH250" s="375"/>
      <c r="EI250" s="375"/>
      <c r="EJ250" s="375"/>
      <c r="EK250" s="375"/>
      <c r="EL250" s="375"/>
      <c r="EM250" s="375"/>
      <c r="EN250" s="375"/>
      <c r="EO250" s="375"/>
      <c r="EP250" s="375"/>
      <c r="EQ250" s="375"/>
      <c r="ER250" s="375"/>
      <c r="ES250" s="375"/>
      <c r="ET250" s="375"/>
      <c r="EU250" s="375"/>
      <c r="EV250" s="375"/>
      <c r="EW250" s="375"/>
      <c r="EX250" s="375"/>
      <c r="EY250" s="375"/>
      <c r="EZ250" s="375"/>
      <c r="FA250" s="375"/>
      <c r="FB250" s="375"/>
      <c r="FC250" s="375"/>
      <c r="FD250" s="375"/>
      <c r="FE250" s="375"/>
      <c r="FF250" s="375"/>
      <c r="FG250" s="375"/>
      <c r="FH250" s="375"/>
      <c r="FI250" s="375"/>
      <c r="FJ250" s="375"/>
      <c r="FK250" s="375"/>
      <c r="FL250" s="375"/>
      <c r="FM250" s="375"/>
      <c r="FN250" s="375"/>
      <c r="FO250" s="375"/>
      <c r="FP250" s="375"/>
      <c r="FQ250" s="375"/>
      <c r="FR250" s="375"/>
      <c r="FS250" s="375"/>
      <c r="FT250" s="375"/>
      <c r="FU250" s="375"/>
      <c r="FV250" s="375"/>
      <c r="FW250" s="375"/>
      <c r="FX250" s="375"/>
      <c r="FY250" s="375"/>
      <c r="FZ250" s="375"/>
      <c r="GA250" s="375"/>
      <c r="GB250" s="375"/>
      <c r="GC250" s="375"/>
      <c r="GD250" s="375"/>
      <c r="GE250" s="375"/>
      <c r="GF250" s="375"/>
      <c r="GG250" s="375"/>
      <c r="GH250" s="375"/>
      <c r="GI250" s="375"/>
      <c r="GJ250" s="375"/>
      <c r="GK250" s="375"/>
      <c r="GL250" s="375"/>
      <c r="GM250" s="375"/>
      <c r="GN250" s="375"/>
      <c r="GO250" s="375"/>
      <c r="GP250" s="375"/>
      <c r="GQ250" s="375"/>
      <c r="GR250" s="375"/>
    </row>
    <row r="251" spans="1:200" s="61" customFormat="1" ht="15.75" customHeight="1" x14ac:dyDescent="0.3">
      <c r="A251" s="280"/>
      <c r="B251" s="281"/>
      <c r="C251" s="282"/>
      <c r="D251" s="282">
        <v>1</v>
      </c>
      <c r="E251" s="4">
        <v>211</v>
      </c>
      <c r="F251" s="281"/>
      <c r="G251" s="282"/>
      <c r="H251" s="282"/>
      <c r="I251" s="280"/>
      <c r="J251" s="280"/>
      <c r="K251" s="280"/>
      <c r="L251" s="280"/>
      <c r="M251" s="4">
        <v>206</v>
      </c>
      <c r="N251" s="62" t="s">
        <v>246</v>
      </c>
      <c r="O251" s="62">
        <v>0</v>
      </c>
      <c r="P251" s="62">
        <v>0</v>
      </c>
      <c r="Q251" s="60">
        <f t="shared" si="482"/>
        <v>0</v>
      </c>
      <c r="R251" s="60">
        <f t="shared" si="483"/>
        <v>0</v>
      </c>
      <c r="S251" s="60">
        <f t="shared" si="484"/>
        <v>0</v>
      </c>
      <c r="T251" s="60"/>
      <c r="U251" s="60"/>
      <c r="V251" s="64">
        <f t="shared" si="593"/>
        <v>0</v>
      </c>
      <c r="W251" s="64"/>
      <c r="X251" s="65">
        <v>0</v>
      </c>
      <c r="Y251" s="64"/>
      <c r="Z251" s="60"/>
      <c r="AA251" s="64">
        <f t="shared" si="594"/>
        <v>0</v>
      </c>
      <c r="AB251" s="64"/>
      <c r="AC251" s="65">
        <v>0</v>
      </c>
      <c r="AD251" s="64"/>
      <c r="AE251" s="60"/>
      <c r="AF251" s="64">
        <f t="shared" si="595"/>
        <v>0</v>
      </c>
      <c r="AG251" s="64"/>
      <c r="AH251" s="65">
        <v>0</v>
      </c>
      <c r="AI251" s="64"/>
      <c r="AJ251" s="60"/>
      <c r="AK251" s="64">
        <f t="shared" si="596"/>
        <v>171</v>
      </c>
      <c r="AL251" s="64"/>
      <c r="AM251" s="65">
        <v>171</v>
      </c>
      <c r="AN251" s="64"/>
      <c r="AO251" s="64"/>
      <c r="AP251" s="64"/>
      <c r="AQ251" s="64">
        <f t="shared" si="597"/>
        <v>0</v>
      </c>
      <c r="AR251" s="64"/>
      <c r="AS251" s="64"/>
      <c r="AT251" s="64"/>
      <c r="AU251" s="64"/>
      <c r="AV251" s="64">
        <f t="shared" si="470"/>
        <v>0</v>
      </c>
      <c r="AW251" s="64">
        <f t="shared" si="471"/>
        <v>0</v>
      </c>
      <c r="AX251" s="64">
        <f t="shared" si="472"/>
        <v>0</v>
      </c>
      <c r="AY251" s="64">
        <f t="shared" si="473"/>
        <v>0</v>
      </c>
      <c r="AZ251" s="64" t="e">
        <f>#REF!-AU251</f>
        <v>#REF!</v>
      </c>
      <c r="BA251" s="64">
        <f t="shared" si="598"/>
        <v>0</v>
      </c>
      <c r="BB251" s="64"/>
      <c r="BC251" s="64"/>
      <c r="BD251" s="64"/>
      <c r="BE251" s="64"/>
      <c r="BF251" s="64">
        <f t="shared" si="599"/>
        <v>0</v>
      </c>
      <c r="BG251" s="64"/>
      <c r="BH251" s="64"/>
      <c r="BI251" s="64"/>
      <c r="BJ251" s="64"/>
      <c r="BK251" s="64">
        <f t="shared" si="600"/>
        <v>0</v>
      </c>
      <c r="BL251" s="64"/>
      <c r="BM251" s="64"/>
      <c r="BN251" s="64"/>
      <c r="BO251" s="64"/>
      <c r="BP251" s="60">
        <f t="shared" si="601"/>
        <v>0</v>
      </c>
      <c r="BQ251" s="64"/>
      <c r="BR251" s="64"/>
      <c r="BS251" s="64"/>
      <c r="BT251" s="64"/>
      <c r="BU251" s="60">
        <f t="shared" si="602"/>
        <v>0</v>
      </c>
      <c r="BV251" s="64"/>
      <c r="BW251" s="64"/>
      <c r="BX251" s="64"/>
      <c r="BY251" s="64"/>
      <c r="BZ251" s="60">
        <f t="shared" si="603"/>
        <v>0</v>
      </c>
      <c r="CA251" s="60">
        <f t="shared" si="474"/>
        <v>0</v>
      </c>
      <c r="CB251" s="64">
        <f t="shared" si="475"/>
        <v>0</v>
      </c>
      <c r="CC251" s="64">
        <f t="shared" si="476"/>
        <v>0</v>
      </c>
      <c r="CD251" s="64">
        <f t="shared" si="477"/>
        <v>0</v>
      </c>
      <c r="CE251" s="64">
        <f t="shared" si="604"/>
        <v>0</v>
      </c>
      <c r="CF251" s="64">
        <f t="shared" si="478"/>
        <v>0</v>
      </c>
      <c r="CG251" s="64">
        <f t="shared" si="479"/>
        <v>0</v>
      </c>
      <c r="CH251" s="64">
        <f t="shared" si="480"/>
        <v>0</v>
      </c>
      <c r="CI251" s="64">
        <f t="shared" si="481"/>
        <v>0</v>
      </c>
      <c r="CJ251" s="64">
        <f t="shared" si="605"/>
        <v>0</v>
      </c>
      <c r="CK251" s="66"/>
      <c r="CL251" s="67"/>
      <c r="CM251" s="67"/>
      <c r="CN251" s="64">
        <f t="shared" si="606"/>
        <v>0</v>
      </c>
      <c r="CO251" s="64"/>
      <c r="CP251" s="64"/>
      <c r="CQ251" s="64"/>
      <c r="CR251" s="64"/>
      <c r="CS251" s="64">
        <f t="shared" si="607"/>
        <v>0</v>
      </c>
      <c r="CT251" s="64"/>
      <c r="CU251" s="64"/>
      <c r="CV251" s="64"/>
      <c r="CW251" s="64"/>
      <c r="CX251" s="64">
        <f t="shared" si="608"/>
        <v>0</v>
      </c>
      <c r="CY251" s="64">
        <f t="shared" si="616"/>
        <v>0</v>
      </c>
      <c r="CZ251" s="64">
        <f t="shared" si="616"/>
        <v>0</v>
      </c>
      <c r="DA251" s="64">
        <f t="shared" si="616"/>
        <v>0</v>
      </c>
      <c r="DB251" s="64">
        <f t="shared" si="616"/>
        <v>0</v>
      </c>
      <c r="DC251" s="64"/>
      <c r="DD251" s="64"/>
      <c r="DE251" s="64"/>
      <c r="DF251" s="64">
        <f t="shared" si="609"/>
        <v>0</v>
      </c>
      <c r="DH251" s="64">
        <f t="shared" si="610"/>
        <v>0</v>
      </c>
      <c r="DI251" s="64">
        <f t="shared" si="611"/>
        <v>0</v>
      </c>
      <c r="DK251" s="64"/>
      <c r="DL251" s="64"/>
      <c r="DN251" s="64"/>
      <c r="DQ251" s="64">
        <f t="shared" si="614"/>
        <v>0</v>
      </c>
      <c r="DR251" s="64"/>
      <c r="DS251" s="64"/>
      <c r="DT251" s="64"/>
      <c r="DU251" s="64"/>
      <c r="DV251" s="64">
        <f t="shared" si="615"/>
        <v>485.60971000000001</v>
      </c>
      <c r="DW251" s="64"/>
      <c r="DX251" s="64">
        <v>485.60971000000001</v>
      </c>
      <c r="DY251" s="64"/>
      <c r="DZ251" s="64"/>
      <c r="EA251" s="375"/>
      <c r="EB251" s="375"/>
      <c r="EC251" s="375"/>
      <c r="ED251" s="375"/>
      <c r="EE251" s="375"/>
      <c r="EF251" s="375"/>
      <c r="EG251" s="375"/>
      <c r="EH251" s="375"/>
      <c r="EI251" s="375"/>
      <c r="EJ251" s="375"/>
      <c r="EK251" s="375"/>
      <c r="EL251" s="375"/>
      <c r="EM251" s="375"/>
      <c r="EN251" s="375"/>
      <c r="EO251" s="375"/>
      <c r="EP251" s="375"/>
      <c r="EQ251" s="375"/>
      <c r="ER251" s="375"/>
      <c r="ES251" s="375"/>
      <c r="ET251" s="375"/>
      <c r="EU251" s="375"/>
      <c r="EV251" s="375"/>
      <c r="EW251" s="375"/>
      <c r="EX251" s="375"/>
      <c r="EY251" s="375"/>
      <c r="EZ251" s="375"/>
      <c r="FA251" s="375"/>
      <c r="FB251" s="375"/>
      <c r="FC251" s="375"/>
      <c r="FD251" s="375"/>
      <c r="FE251" s="375"/>
      <c r="FF251" s="375"/>
      <c r="FG251" s="375"/>
      <c r="FH251" s="375"/>
      <c r="FI251" s="375"/>
      <c r="FJ251" s="375"/>
      <c r="FK251" s="375"/>
      <c r="FL251" s="375"/>
      <c r="FM251" s="375"/>
      <c r="FN251" s="375"/>
      <c r="FO251" s="375"/>
      <c r="FP251" s="375"/>
      <c r="FQ251" s="375"/>
      <c r="FR251" s="375"/>
      <c r="FS251" s="375"/>
      <c r="FT251" s="375"/>
      <c r="FU251" s="375"/>
      <c r="FV251" s="375"/>
      <c r="FW251" s="375"/>
      <c r="FX251" s="375"/>
      <c r="FY251" s="375"/>
      <c r="FZ251" s="375"/>
      <c r="GA251" s="375"/>
      <c r="GB251" s="375"/>
      <c r="GC251" s="375"/>
      <c r="GD251" s="375"/>
      <c r="GE251" s="375"/>
      <c r="GF251" s="375"/>
      <c r="GG251" s="375"/>
      <c r="GH251" s="375"/>
      <c r="GI251" s="375"/>
      <c r="GJ251" s="375"/>
      <c r="GK251" s="375"/>
      <c r="GL251" s="375"/>
      <c r="GM251" s="375"/>
      <c r="GN251" s="375"/>
      <c r="GO251" s="375"/>
      <c r="GP251" s="375"/>
      <c r="GQ251" s="375"/>
      <c r="GR251" s="375"/>
    </row>
    <row r="252" spans="1:200" s="61" customFormat="1" ht="15.75" customHeight="1" x14ac:dyDescent="0.3">
      <c r="A252" s="280"/>
      <c r="B252" s="281"/>
      <c r="C252" s="282">
        <v>1</v>
      </c>
      <c r="D252" s="282"/>
      <c r="E252" s="4">
        <v>212</v>
      </c>
      <c r="F252" s="281"/>
      <c r="G252" s="282">
        <v>1</v>
      </c>
      <c r="H252" s="282">
        <v>1</v>
      </c>
      <c r="I252" s="4"/>
      <c r="J252" s="283"/>
      <c r="K252" s="283"/>
      <c r="L252" s="286"/>
      <c r="M252" s="4">
        <v>207</v>
      </c>
      <c r="N252" s="62" t="s">
        <v>68</v>
      </c>
      <c r="O252" s="62" t="s">
        <v>448</v>
      </c>
      <c r="P252" s="62" t="s">
        <v>450</v>
      </c>
      <c r="Q252" s="60">
        <f t="shared" si="482"/>
        <v>0</v>
      </c>
      <c r="R252" s="60">
        <f t="shared" si="483"/>
        <v>403.39400000000023</v>
      </c>
      <c r="S252" s="60">
        <f t="shared" si="484"/>
        <v>0</v>
      </c>
      <c r="T252" s="60">
        <v>1</v>
      </c>
      <c r="U252" s="60">
        <v>2</v>
      </c>
      <c r="V252" s="64">
        <f t="shared" si="593"/>
        <v>4137.7</v>
      </c>
      <c r="W252" s="73"/>
      <c r="X252" s="65">
        <v>4137.7</v>
      </c>
      <c r="Y252" s="65"/>
      <c r="Z252" s="73"/>
      <c r="AA252" s="64">
        <f t="shared" si="594"/>
        <v>4137.7</v>
      </c>
      <c r="AB252" s="73"/>
      <c r="AC252" s="65">
        <v>4137.7</v>
      </c>
      <c r="AD252" s="65"/>
      <c r="AE252" s="73"/>
      <c r="AF252" s="64">
        <f t="shared" si="595"/>
        <v>4137.7</v>
      </c>
      <c r="AG252" s="73"/>
      <c r="AH252" s="65">
        <v>4137.7</v>
      </c>
      <c r="AI252" s="65"/>
      <c r="AJ252" s="73"/>
      <c r="AK252" s="64">
        <f t="shared" si="596"/>
        <v>1628</v>
      </c>
      <c r="AL252" s="73"/>
      <c r="AM252" s="65">
        <v>1628</v>
      </c>
      <c r="AN252" s="65"/>
      <c r="AO252" s="73"/>
      <c r="AP252" s="64" t="s">
        <v>528</v>
      </c>
      <c r="AQ252" s="64">
        <f t="shared" si="597"/>
        <v>4137.7</v>
      </c>
      <c r="AR252" s="60"/>
      <c r="AS252" s="65">
        <f>1500+2637.7</f>
        <v>4137.7</v>
      </c>
      <c r="AT252" s="65"/>
      <c r="AU252" s="73"/>
      <c r="AV252" s="64">
        <f t="shared" si="470"/>
        <v>0</v>
      </c>
      <c r="AW252" s="64">
        <f t="shared" si="471"/>
        <v>0</v>
      </c>
      <c r="AX252" s="64">
        <f t="shared" si="472"/>
        <v>0</v>
      </c>
      <c r="AY252" s="64">
        <f t="shared" si="473"/>
        <v>0</v>
      </c>
      <c r="AZ252" s="64" t="e">
        <f>#REF!-AU252</f>
        <v>#REF!</v>
      </c>
      <c r="BA252" s="64">
        <f t="shared" si="598"/>
        <v>4137.7</v>
      </c>
      <c r="BB252" s="60"/>
      <c r="BC252" s="65">
        <f>1500+2637.7</f>
        <v>4137.7</v>
      </c>
      <c r="BD252" s="65"/>
      <c r="BE252" s="73"/>
      <c r="BF252" s="64">
        <f t="shared" si="599"/>
        <v>0</v>
      </c>
      <c r="BG252" s="60"/>
      <c r="BH252" s="65"/>
      <c r="BI252" s="65"/>
      <c r="BJ252" s="73"/>
      <c r="BK252" s="64">
        <f t="shared" si="600"/>
        <v>4137.7</v>
      </c>
      <c r="BL252" s="60"/>
      <c r="BM252" s="65">
        <f>1500+2637.7</f>
        <v>4137.7</v>
      </c>
      <c r="BN252" s="74"/>
      <c r="BO252" s="74"/>
      <c r="BP252" s="60">
        <f t="shared" si="601"/>
        <v>3734.3059999999996</v>
      </c>
      <c r="BQ252" s="60"/>
      <c r="BR252" s="74">
        <f>1456.829+2277.477</f>
        <v>3734.3059999999996</v>
      </c>
      <c r="BS252" s="74"/>
      <c r="BT252" s="74"/>
      <c r="BU252" s="60">
        <f t="shared" si="602"/>
        <v>1296.1953000000001</v>
      </c>
      <c r="BV252" s="60"/>
      <c r="BW252" s="60">
        <f>485.60971+810.58559</f>
        <v>1296.1953000000001</v>
      </c>
      <c r="BX252" s="60"/>
      <c r="BY252" s="60"/>
      <c r="BZ252" s="60">
        <f t="shared" si="603"/>
        <v>5030.5012999999999</v>
      </c>
      <c r="CA252" s="60">
        <f t="shared" si="474"/>
        <v>5030.5012999999999</v>
      </c>
      <c r="CB252" s="64">
        <f t="shared" si="475"/>
        <v>0</v>
      </c>
      <c r="CC252" s="64">
        <f t="shared" si="476"/>
        <v>5030.5012999999999</v>
      </c>
      <c r="CD252" s="64">
        <f t="shared" si="477"/>
        <v>0</v>
      </c>
      <c r="CE252" s="64">
        <f t="shared" si="604"/>
        <v>0</v>
      </c>
      <c r="CF252" s="64">
        <f t="shared" si="478"/>
        <v>403.39400000000023</v>
      </c>
      <c r="CG252" s="64">
        <f t="shared" si="479"/>
        <v>0</v>
      </c>
      <c r="CH252" s="64">
        <f t="shared" si="480"/>
        <v>403.39400000000023</v>
      </c>
      <c r="CI252" s="64">
        <f t="shared" si="481"/>
        <v>0</v>
      </c>
      <c r="CJ252" s="64">
        <f t="shared" si="605"/>
        <v>0</v>
      </c>
      <c r="CK252" s="66"/>
      <c r="CL252" s="67"/>
      <c r="CM252" s="67"/>
      <c r="CN252" s="64">
        <f t="shared" si="606"/>
        <v>0</v>
      </c>
      <c r="CO252" s="60"/>
      <c r="CP252" s="65"/>
      <c r="CQ252" s="65"/>
      <c r="CR252" s="73"/>
      <c r="CS252" s="64">
        <f t="shared" si="607"/>
        <v>0</v>
      </c>
      <c r="CT252" s="60"/>
      <c r="CU252" s="65"/>
      <c r="CV252" s="65"/>
      <c r="CW252" s="73"/>
      <c r="CX252" s="64">
        <f t="shared" si="608"/>
        <v>0</v>
      </c>
      <c r="CY252" s="64">
        <f t="shared" si="616"/>
        <v>0</v>
      </c>
      <c r="CZ252" s="64">
        <f t="shared" si="616"/>
        <v>0</v>
      </c>
      <c r="DA252" s="64">
        <f t="shared" si="616"/>
        <v>0</v>
      </c>
      <c r="DB252" s="64">
        <f t="shared" si="616"/>
        <v>0</v>
      </c>
      <c r="DC252" s="60"/>
      <c r="DD252" s="60"/>
      <c r="DE252" s="114"/>
      <c r="DF252" s="60">
        <f t="shared" si="609"/>
        <v>403.39400000000023</v>
      </c>
      <c r="DH252" s="64">
        <f t="shared" si="610"/>
        <v>4137.7</v>
      </c>
      <c r="DI252" s="64">
        <f t="shared" si="611"/>
        <v>3734.3059999999996</v>
      </c>
      <c r="DK252" s="60"/>
      <c r="DL252" s="60"/>
      <c r="DN252" s="60"/>
      <c r="DQ252" s="64">
        <f t="shared" si="614"/>
        <v>3734.3059999999996</v>
      </c>
      <c r="DR252" s="60"/>
      <c r="DS252" s="74">
        <f>1456.829+2277.477</f>
        <v>3734.3059999999996</v>
      </c>
      <c r="DT252" s="74"/>
      <c r="DU252" s="74"/>
      <c r="DV252" s="64">
        <f t="shared" si="615"/>
        <v>0</v>
      </c>
      <c r="DW252" s="60"/>
      <c r="DX252" s="60"/>
      <c r="DY252" s="60"/>
      <c r="DZ252" s="60"/>
      <c r="EA252" s="375"/>
      <c r="EB252" s="375"/>
      <c r="EC252" s="375"/>
      <c r="ED252" s="375"/>
      <c r="EE252" s="375"/>
      <c r="EF252" s="375"/>
      <c r="EG252" s="375"/>
      <c r="EH252" s="375"/>
      <c r="EI252" s="375"/>
      <c r="EJ252" s="375"/>
      <c r="EK252" s="375"/>
      <c r="EL252" s="375"/>
      <c r="EM252" s="375"/>
      <c r="EN252" s="375"/>
      <c r="EO252" s="375"/>
      <c r="EP252" s="375"/>
      <c r="EQ252" s="375"/>
      <c r="ER252" s="375"/>
      <c r="ES252" s="375"/>
      <c r="ET252" s="375"/>
      <c r="EU252" s="375"/>
      <c r="EV252" s="375"/>
      <c r="EW252" s="375"/>
      <c r="EX252" s="375"/>
      <c r="EY252" s="375"/>
      <c r="EZ252" s="375"/>
      <c r="FA252" s="375"/>
      <c r="FB252" s="375"/>
      <c r="FC252" s="375"/>
      <c r="FD252" s="375"/>
      <c r="FE252" s="375"/>
      <c r="FF252" s="375"/>
      <c r="FG252" s="375"/>
      <c r="FH252" s="375"/>
      <c r="FI252" s="375"/>
      <c r="FJ252" s="375"/>
      <c r="FK252" s="375"/>
      <c r="FL252" s="375"/>
      <c r="FM252" s="375"/>
      <c r="FN252" s="375"/>
      <c r="FO252" s="375"/>
      <c r="FP252" s="375"/>
      <c r="FQ252" s="375"/>
      <c r="FR252" s="375"/>
      <c r="FS252" s="375"/>
      <c r="FT252" s="375"/>
      <c r="FU252" s="375"/>
      <c r="FV252" s="375"/>
      <c r="FW252" s="375"/>
      <c r="FX252" s="375"/>
      <c r="FY252" s="375"/>
      <c r="FZ252" s="375"/>
      <c r="GA252" s="375"/>
      <c r="GB252" s="375"/>
      <c r="GC252" s="375"/>
      <c r="GD252" s="375"/>
      <c r="GE252" s="375"/>
      <c r="GF252" s="375"/>
      <c r="GG252" s="375"/>
      <c r="GH252" s="375"/>
      <c r="GI252" s="375"/>
      <c r="GJ252" s="375"/>
      <c r="GK252" s="375"/>
      <c r="GL252" s="375"/>
      <c r="GM252" s="375"/>
      <c r="GN252" s="375"/>
      <c r="GO252" s="375"/>
      <c r="GP252" s="375"/>
      <c r="GQ252" s="375"/>
      <c r="GR252" s="375"/>
    </row>
    <row r="253" spans="1:200" s="61" customFormat="1" ht="15.75" customHeight="1" x14ac:dyDescent="0.3">
      <c r="A253" s="280"/>
      <c r="B253" s="281"/>
      <c r="C253" s="282"/>
      <c r="D253" s="282">
        <v>1</v>
      </c>
      <c r="E253" s="4">
        <v>213</v>
      </c>
      <c r="F253" s="281"/>
      <c r="G253" s="282"/>
      <c r="H253" s="282">
        <v>1</v>
      </c>
      <c r="I253" s="4"/>
      <c r="J253" s="283"/>
      <c r="K253" s="283"/>
      <c r="L253" s="286"/>
      <c r="M253" s="4">
        <v>208</v>
      </c>
      <c r="N253" s="62" t="s">
        <v>154</v>
      </c>
      <c r="O253" s="62" t="s">
        <v>450</v>
      </c>
      <c r="P253" s="62" t="s">
        <v>448</v>
      </c>
      <c r="Q253" s="60">
        <f t="shared" si="482"/>
        <v>0</v>
      </c>
      <c r="R253" s="60">
        <f t="shared" si="483"/>
        <v>230.97699999999998</v>
      </c>
      <c r="S253" s="60">
        <f t="shared" si="484"/>
        <v>0</v>
      </c>
      <c r="T253" s="60">
        <v>1</v>
      </c>
      <c r="U253" s="60">
        <v>1</v>
      </c>
      <c r="V253" s="64">
        <f t="shared" si="593"/>
        <v>839.5</v>
      </c>
      <c r="W253" s="60"/>
      <c r="X253" s="65">
        <v>839.5</v>
      </c>
      <c r="Y253" s="65"/>
      <c r="Z253" s="65"/>
      <c r="AA253" s="64">
        <f t="shared" si="594"/>
        <v>839.5</v>
      </c>
      <c r="AB253" s="60"/>
      <c r="AC253" s="65">
        <v>839.5</v>
      </c>
      <c r="AD253" s="65"/>
      <c r="AE253" s="65"/>
      <c r="AF253" s="64">
        <f t="shared" si="595"/>
        <v>839.5</v>
      </c>
      <c r="AG253" s="60"/>
      <c r="AH253" s="65">
        <v>839.5</v>
      </c>
      <c r="AI253" s="65"/>
      <c r="AJ253" s="65"/>
      <c r="AK253" s="64">
        <f t="shared" si="596"/>
        <v>365</v>
      </c>
      <c r="AL253" s="60"/>
      <c r="AM253" s="65">
        <v>365</v>
      </c>
      <c r="AN253" s="65"/>
      <c r="AO253" s="65"/>
      <c r="AP253" s="64" t="s">
        <v>526</v>
      </c>
      <c r="AQ253" s="64">
        <f t="shared" si="597"/>
        <v>839.5</v>
      </c>
      <c r="AR253" s="60"/>
      <c r="AS253" s="65">
        <v>839.5</v>
      </c>
      <c r="AT253" s="115"/>
      <c r="AU253" s="65"/>
      <c r="AV253" s="60">
        <f t="shared" si="470"/>
        <v>0</v>
      </c>
      <c r="AW253" s="64">
        <f t="shared" si="471"/>
        <v>0</v>
      </c>
      <c r="AX253" s="64">
        <f t="shared" si="472"/>
        <v>0</v>
      </c>
      <c r="AY253" s="64">
        <f t="shared" si="473"/>
        <v>0</v>
      </c>
      <c r="AZ253" s="64" t="e">
        <f>#REF!-AU253</f>
        <v>#REF!</v>
      </c>
      <c r="BA253" s="64">
        <f t="shared" si="598"/>
        <v>839.5</v>
      </c>
      <c r="BB253" s="60"/>
      <c r="BC253" s="65">
        <v>839.5</v>
      </c>
      <c r="BD253" s="115"/>
      <c r="BE253" s="65"/>
      <c r="BF253" s="64">
        <f t="shared" si="599"/>
        <v>0</v>
      </c>
      <c r="BG253" s="60"/>
      <c r="BH253" s="65"/>
      <c r="BI253" s="115"/>
      <c r="BJ253" s="65"/>
      <c r="BK253" s="64">
        <f t="shared" si="600"/>
        <v>839.5</v>
      </c>
      <c r="BL253" s="60"/>
      <c r="BM253" s="65">
        <v>839.5</v>
      </c>
      <c r="BN253" s="116"/>
      <c r="BO253" s="74"/>
      <c r="BP253" s="60">
        <f t="shared" si="601"/>
        <v>608.52300000000002</v>
      </c>
      <c r="BQ253" s="60"/>
      <c r="BR253" s="74">
        <v>608.52300000000002</v>
      </c>
      <c r="BS253" s="116"/>
      <c r="BT253" s="74"/>
      <c r="BU253" s="60">
        <f t="shared" si="602"/>
        <v>202.84201999999999</v>
      </c>
      <c r="BV253" s="60"/>
      <c r="BW253" s="65">
        <v>202.84201999999999</v>
      </c>
      <c r="BX253" s="115"/>
      <c r="BY253" s="65"/>
      <c r="BZ253" s="60">
        <f t="shared" si="603"/>
        <v>811.36501999999996</v>
      </c>
      <c r="CA253" s="60">
        <f t="shared" si="474"/>
        <v>811.36501999999996</v>
      </c>
      <c r="CB253" s="64">
        <f t="shared" si="475"/>
        <v>0</v>
      </c>
      <c r="CC253" s="64">
        <f t="shared" si="476"/>
        <v>811.36501999999996</v>
      </c>
      <c r="CD253" s="64">
        <f t="shared" si="477"/>
        <v>0</v>
      </c>
      <c r="CE253" s="64">
        <f t="shared" si="604"/>
        <v>0</v>
      </c>
      <c r="CF253" s="64">
        <f t="shared" si="478"/>
        <v>230.97699999999998</v>
      </c>
      <c r="CG253" s="64">
        <f t="shared" si="479"/>
        <v>0</v>
      </c>
      <c r="CH253" s="64">
        <f t="shared" si="480"/>
        <v>230.97699999999998</v>
      </c>
      <c r="CI253" s="64">
        <f t="shared" si="481"/>
        <v>0</v>
      </c>
      <c r="CJ253" s="64">
        <f t="shared" si="605"/>
        <v>0</v>
      </c>
      <c r="CK253" s="66"/>
      <c r="CL253" s="89"/>
      <c r="CM253" s="89"/>
      <c r="CN253" s="64">
        <f t="shared" si="606"/>
        <v>0</v>
      </c>
      <c r="CO253" s="60"/>
      <c r="CP253" s="65"/>
      <c r="CQ253" s="115"/>
      <c r="CR253" s="65"/>
      <c r="CS253" s="64">
        <f t="shared" si="607"/>
        <v>0</v>
      </c>
      <c r="CT253" s="60"/>
      <c r="CU253" s="65"/>
      <c r="CV253" s="115"/>
      <c r="CW253" s="65"/>
      <c r="CX253" s="64">
        <f t="shared" si="608"/>
        <v>0</v>
      </c>
      <c r="CY253" s="64">
        <f t="shared" si="616"/>
        <v>0</v>
      </c>
      <c r="CZ253" s="64">
        <f t="shared" si="616"/>
        <v>0</v>
      </c>
      <c r="DA253" s="64">
        <f t="shared" si="616"/>
        <v>0</v>
      </c>
      <c r="DB253" s="64">
        <f t="shared" si="616"/>
        <v>0</v>
      </c>
      <c r="DC253" s="115"/>
      <c r="DD253" s="115"/>
      <c r="DE253" s="115"/>
      <c r="DF253" s="60">
        <f t="shared" si="609"/>
        <v>230.97699999999998</v>
      </c>
      <c r="DH253" s="64">
        <f t="shared" si="610"/>
        <v>839.5</v>
      </c>
      <c r="DI253" s="64">
        <f t="shared" si="611"/>
        <v>608.52300000000002</v>
      </c>
      <c r="DK253" s="60"/>
      <c r="DL253" s="60"/>
      <c r="DN253" s="60"/>
      <c r="DQ253" s="64">
        <f t="shared" si="614"/>
        <v>608.52300000000002</v>
      </c>
      <c r="DR253" s="60"/>
      <c r="DS253" s="74">
        <v>608.52300000000002</v>
      </c>
      <c r="DT253" s="116"/>
      <c r="DU253" s="74"/>
      <c r="DV253" s="64">
        <f t="shared" si="615"/>
        <v>0</v>
      </c>
      <c r="DW253" s="60"/>
      <c r="DX253" s="65"/>
      <c r="DY253" s="115"/>
      <c r="DZ253" s="65"/>
      <c r="EA253" s="375"/>
      <c r="EB253" s="375"/>
      <c r="EC253" s="375"/>
      <c r="ED253" s="375"/>
      <c r="EE253" s="375"/>
      <c r="EF253" s="375"/>
      <c r="EG253" s="375"/>
      <c r="EH253" s="375"/>
      <c r="EI253" s="375"/>
      <c r="EJ253" s="375"/>
      <c r="EK253" s="375"/>
      <c r="EL253" s="375"/>
      <c r="EM253" s="375"/>
      <c r="EN253" s="375"/>
      <c r="EO253" s="375"/>
      <c r="EP253" s="375"/>
      <c r="EQ253" s="375"/>
      <c r="ER253" s="375"/>
      <c r="ES253" s="375"/>
      <c r="ET253" s="375"/>
      <c r="EU253" s="375"/>
      <c r="EV253" s="375"/>
      <c r="EW253" s="375"/>
      <c r="EX253" s="375"/>
      <c r="EY253" s="375"/>
      <c r="EZ253" s="375"/>
      <c r="FA253" s="375"/>
      <c r="FB253" s="375"/>
      <c r="FC253" s="375"/>
      <c r="FD253" s="375"/>
      <c r="FE253" s="375"/>
      <c r="FF253" s="375"/>
      <c r="FG253" s="375"/>
      <c r="FH253" s="375"/>
      <c r="FI253" s="375"/>
      <c r="FJ253" s="375"/>
      <c r="FK253" s="375"/>
      <c r="FL253" s="375"/>
      <c r="FM253" s="375"/>
      <c r="FN253" s="375"/>
      <c r="FO253" s="375"/>
      <c r="FP253" s="375"/>
      <c r="FQ253" s="375"/>
      <c r="FR253" s="375"/>
      <c r="FS253" s="375"/>
      <c r="FT253" s="375"/>
      <c r="FU253" s="375"/>
      <c r="FV253" s="375"/>
      <c r="FW253" s="375"/>
      <c r="FX253" s="375"/>
      <c r="FY253" s="375"/>
      <c r="FZ253" s="375"/>
      <c r="GA253" s="375"/>
      <c r="GB253" s="375"/>
      <c r="GC253" s="375"/>
      <c r="GD253" s="375"/>
      <c r="GE253" s="375"/>
      <c r="GF253" s="375"/>
      <c r="GG253" s="375"/>
      <c r="GH253" s="375"/>
      <c r="GI253" s="375"/>
      <c r="GJ253" s="375"/>
      <c r="GK253" s="375"/>
      <c r="GL253" s="375"/>
      <c r="GM253" s="375"/>
      <c r="GN253" s="375"/>
      <c r="GO253" s="375"/>
      <c r="GP253" s="375"/>
      <c r="GQ253" s="375"/>
      <c r="GR253" s="375"/>
    </row>
    <row r="254" spans="1:200" s="61" customFormat="1" ht="15.75" customHeight="1" x14ac:dyDescent="0.3">
      <c r="A254" s="280"/>
      <c r="B254" s="281"/>
      <c r="C254" s="282">
        <v>1</v>
      </c>
      <c r="D254" s="282"/>
      <c r="E254" s="4">
        <v>214</v>
      </c>
      <c r="F254" s="281"/>
      <c r="G254" s="282">
        <v>1</v>
      </c>
      <c r="H254" s="282"/>
      <c r="I254" s="4"/>
      <c r="J254" s="283"/>
      <c r="K254" s="283"/>
      <c r="L254" s="286"/>
      <c r="M254" s="4">
        <v>209</v>
      </c>
      <c r="N254" s="62" t="s">
        <v>247</v>
      </c>
      <c r="O254" s="62" t="s">
        <v>523</v>
      </c>
      <c r="P254" s="62" t="s">
        <v>449</v>
      </c>
      <c r="Q254" s="60">
        <f t="shared" si="482"/>
        <v>0</v>
      </c>
      <c r="R254" s="60">
        <f t="shared" si="483"/>
        <v>169.78297999999995</v>
      </c>
      <c r="S254" s="60">
        <f t="shared" si="484"/>
        <v>0</v>
      </c>
      <c r="T254" s="60">
        <v>1</v>
      </c>
      <c r="U254" s="60"/>
      <c r="V254" s="64">
        <f t="shared" si="593"/>
        <v>2010.2</v>
      </c>
      <c r="W254" s="60"/>
      <c r="X254" s="65">
        <v>2010.2</v>
      </c>
      <c r="Y254" s="65"/>
      <c r="Z254" s="73"/>
      <c r="AA254" s="64">
        <f t="shared" si="594"/>
        <v>2010.2</v>
      </c>
      <c r="AB254" s="60"/>
      <c r="AC254" s="65">
        <v>2010.2</v>
      </c>
      <c r="AD254" s="65"/>
      <c r="AE254" s="73"/>
      <c r="AF254" s="64">
        <f t="shared" si="595"/>
        <v>2010.2</v>
      </c>
      <c r="AG254" s="60"/>
      <c r="AH254" s="65">
        <v>2010.2</v>
      </c>
      <c r="AI254" s="65"/>
      <c r="AJ254" s="73"/>
      <c r="AK254" s="64">
        <f t="shared" si="596"/>
        <v>874</v>
      </c>
      <c r="AL254" s="60"/>
      <c r="AM254" s="65">
        <v>874</v>
      </c>
      <c r="AN254" s="65"/>
      <c r="AO254" s="73"/>
      <c r="AP254" s="64" t="s">
        <v>356</v>
      </c>
      <c r="AQ254" s="64">
        <f t="shared" si="597"/>
        <v>2010.2</v>
      </c>
      <c r="AR254" s="60"/>
      <c r="AS254" s="65">
        <v>2010.2</v>
      </c>
      <c r="AT254" s="115"/>
      <c r="AU254" s="115"/>
      <c r="AV254" s="60">
        <f t="shared" si="470"/>
        <v>0</v>
      </c>
      <c r="AW254" s="64">
        <f t="shared" si="471"/>
        <v>0</v>
      </c>
      <c r="AX254" s="64">
        <f t="shared" si="472"/>
        <v>0</v>
      </c>
      <c r="AY254" s="64">
        <f t="shared" si="473"/>
        <v>0</v>
      </c>
      <c r="AZ254" s="64" t="e">
        <f>#REF!-AU254</f>
        <v>#REF!</v>
      </c>
      <c r="BA254" s="60">
        <f t="shared" si="598"/>
        <v>2010.2</v>
      </c>
      <c r="BB254" s="60"/>
      <c r="BC254" s="65">
        <v>2010.2</v>
      </c>
      <c r="BD254" s="115"/>
      <c r="BE254" s="115"/>
      <c r="BF254" s="64">
        <f t="shared" si="599"/>
        <v>0</v>
      </c>
      <c r="BG254" s="60"/>
      <c r="BH254" s="65"/>
      <c r="BI254" s="115"/>
      <c r="BJ254" s="115"/>
      <c r="BK254" s="60">
        <f t="shared" si="600"/>
        <v>2010.2</v>
      </c>
      <c r="BL254" s="60"/>
      <c r="BM254" s="65">
        <v>2010.2</v>
      </c>
      <c r="BN254" s="116"/>
      <c r="BO254" s="116"/>
      <c r="BP254" s="60">
        <f t="shared" si="601"/>
        <v>1840.4170200000001</v>
      </c>
      <c r="BQ254" s="60"/>
      <c r="BR254" s="74">
        <v>1840.4170200000001</v>
      </c>
      <c r="BS254" s="116"/>
      <c r="BT254" s="116"/>
      <c r="BU254" s="60">
        <f t="shared" si="602"/>
        <v>0</v>
      </c>
      <c r="BV254" s="60"/>
      <c r="BW254" s="65"/>
      <c r="BX254" s="115"/>
      <c r="BY254" s="65"/>
      <c r="BZ254" s="60">
        <f t="shared" si="603"/>
        <v>1840.4170200000001</v>
      </c>
      <c r="CA254" s="60">
        <f t="shared" si="474"/>
        <v>1840.4170200000001</v>
      </c>
      <c r="CB254" s="64">
        <f t="shared" si="475"/>
        <v>0</v>
      </c>
      <c r="CC254" s="64">
        <f t="shared" si="476"/>
        <v>1840.4170200000001</v>
      </c>
      <c r="CD254" s="64">
        <f t="shared" si="477"/>
        <v>0</v>
      </c>
      <c r="CE254" s="64">
        <f t="shared" si="604"/>
        <v>0</v>
      </c>
      <c r="CF254" s="64">
        <f t="shared" si="478"/>
        <v>169.78297999999995</v>
      </c>
      <c r="CG254" s="64">
        <f t="shared" si="479"/>
        <v>0</v>
      </c>
      <c r="CH254" s="64">
        <f t="shared" si="480"/>
        <v>169.78297999999995</v>
      </c>
      <c r="CI254" s="64">
        <f t="shared" si="481"/>
        <v>0</v>
      </c>
      <c r="CJ254" s="64">
        <f t="shared" si="605"/>
        <v>0</v>
      </c>
      <c r="CK254" s="66"/>
      <c r="CL254" s="89"/>
      <c r="CM254" s="89"/>
      <c r="CN254" s="64">
        <f t="shared" si="606"/>
        <v>0</v>
      </c>
      <c r="CO254" s="60"/>
      <c r="CP254" s="65"/>
      <c r="CQ254" s="115"/>
      <c r="CR254" s="115"/>
      <c r="CS254" s="64">
        <f t="shared" si="607"/>
        <v>0</v>
      </c>
      <c r="CT254" s="60"/>
      <c r="CU254" s="65"/>
      <c r="CV254" s="115"/>
      <c r="CW254" s="115"/>
      <c r="CX254" s="60">
        <f t="shared" si="608"/>
        <v>0</v>
      </c>
      <c r="CY254" s="64">
        <f t="shared" si="616"/>
        <v>0</v>
      </c>
      <c r="CZ254" s="64">
        <f t="shared" si="616"/>
        <v>0</v>
      </c>
      <c r="DA254" s="64">
        <f t="shared" si="616"/>
        <v>0</v>
      </c>
      <c r="DB254" s="64">
        <f t="shared" si="616"/>
        <v>0</v>
      </c>
      <c r="DC254" s="115"/>
      <c r="DD254" s="115"/>
      <c r="DE254" s="115"/>
      <c r="DF254" s="60">
        <f t="shared" si="609"/>
        <v>169.78297999999995</v>
      </c>
      <c r="DH254" s="64">
        <f t="shared" si="610"/>
        <v>2010.2</v>
      </c>
      <c r="DI254" s="64">
        <f t="shared" si="611"/>
        <v>1840.4170200000001</v>
      </c>
      <c r="DK254" s="60"/>
      <c r="DL254" s="60"/>
      <c r="DN254" s="60"/>
      <c r="DQ254" s="64">
        <f t="shared" si="614"/>
        <v>1840.4170200000001</v>
      </c>
      <c r="DR254" s="60"/>
      <c r="DS254" s="74">
        <v>1840.4170200000001</v>
      </c>
      <c r="DT254" s="116"/>
      <c r="DU254" s="74"/>
      <c r="DV254" s="64">
        <f t="shared" si="615"/>
        <v>0</v>
      </c>
      <c r="DW254" s="60"/>
      <c r="DX254" s="65"/>
      <c r="DY254" s="115"/>
      <c r="DZ254" s="65"/>
      <c r="EA254" s="375"/>
      <c r="EB254" s="375"/>
      <c r="EC254" s="375"/>
      <c r="ED254" s="375"/>
      <c r="EE254" s="375"/>
      <c r="EF254" s="375"/>
      <c r="EG254" s="375"/>
      <c r="EH254" s="375"/>
      <c r="EI254" s="375"/>
      <c r="EJ254" s="375"/>
      <c r="EK254" s="375"/>
      <c r="EL254" s="375"/>
      <c r="EM254" s="375"/>
      <c r="EN254" s="375"/>
      <c r="EO254" s="375"/>
      <c r="EP254" s="375"/>
      <c r="EQ254" s="375"/>
      <c r="ER254" s="375"/>
      <c r="ES254" s="375"/>
      <c r="ET254" s="375"/>
      <c r="EU254" s="375"/>
      <c r="EV254" s="375"/>
      <c r="EW254" s="375"/>
      <c r="EX254" s="375"/>
      <c r="EY254" s="375"/>
      <c r="EZ254" s="375"/>
      <c r="FA254" s="375"/>
      <c r="FB254" s="375"/>
      <c r="FC254" s="375"/>
      <c r="FD254" s="375"/>
      <c r="FE254" s="375"/>
      <c r="FF254" s="375"/>
      <c r="FG254" s="375"/>
      <c r="FH254" s="375"/>
      <c r="FI254" s="375"/>
      <c r="FJ254" s="375"/>
      <c r="FK254" s="375"/>
      <c r="FL254" s="375"/>
      <c r="FM254" s="375"/>
      <c r="FN254" s="375"/>
      <c r="FO254" s="375"/>
      <c r="FP254" s="375"/>
      <c r="FQ254" s="375"/>
      <c r="FR254" s="375"/>
      <c r="FS254" s="375"/>
      <c r="FT254" s="375"/>
      <c r="FU254" s="375"/>
      <c r="FV254" s="375"/>
      <c r="FW254" s="375"/>
      <c r="FX254" s="375"/>
      <c r="FY254" s="375"/>
      <c r="FZ254" s="375"/>
      <c r="GA254" s="375"/>
      <c r="GB254" s="375"/>
      <c r="GC254" s="375"/>
      <c r="GD254" s="375"/>
      <c r="GE254" s="375"/>
      <c r="GF254" s="375"/>
      <c r="GG254" s="375"/>
      <c r="GH254" s="375"/>
      <c r="GI254" s="375"/>
      <c r="GJ254" s="375"/>
      <c r="GK254" s="375"/>
      <c r="GL254" s="375"/>
      <c r="GM254" s="375"/>
      <c r="GN254" s="375"/>
      <c r="GO254" s="375"/>
      <c r="GP254" s="375"/>
      <c r="GQ254" s="375"/>
      <c r="GR254" s="375"/>
    </row>
    <row r="255" spans="1:200" s="61" customFormat="1" ht="15.75" customHeight="1" x14ac:dyDescent="0.3">
      <c r="A255" s="280"/>
      <c r="B255" s="281"/>
      <c r="C255" s="282"/>
      <c r="D255" s="282">
        <v>1</v>
      </c>
      <c r="E255" s="4">
        <v>215</v>
      </c>
      <c r="F255" s="281"/>
      <c r="G255" s="282"/>
      <c r="H255" s="282"/>
      <c r="I255" s="4"/>
      <c r="J255" s="283"/>
      <c r="K255" s="283"/>
      <c r="L255" s="286"/>
      <c r="M255" s="4">
        <v>210</v>
      </c>
      <c r="N255" s="62" t="s">
        <v>155</v>
      </c>
      <c r="O255" s="62" t="s">
        <v>448</v>
      </c>
      <c r="P255" s="62" t="s">
        <v>450</v>
      </c>
      <c r="Q255" s="60">
        <f t="shared" si="482"/>
        <v>0</v>
      </c>
      <c r="R255" s="60">
        <f t="shared" si="483"/>
        <v>0</v>
      </c>
      <c r="S255" s="60">
        <f t="shared" si="484"/>
        <v>0</v>
      </c>
      <c r="T255" s="60">
        <v>1</v>
      </c>
      <c r="U255" s="60">
        <v>1</v>
      </c>
      <c r="V255" s="64">
        <f t="shared" si="593"/>
        <v>524.4</v>
      </c>
      <c r="W255" s="60"/>
      <c r="X255" s="65">
        <v>524.4</v>
      </c>
      <c r="Y255" s="65"/>
      <c r="Z255" s="73"/>
      <c r="AA255" s="64">
        <f t="shared" si="594"/>
        <v>524.4</v>
      </c>
      <c r="AB255" s="60"/>
      <c r="AC255" s="65">
        <v>524.4</v>
      </c>
      <c r="AD255" s="65"/>
      <c r="AE255" s="73"/>
      <c r="AF255" s="64">
        <f t="shared" si="595"/>
        <v>524.4</v>
      </c>
      <c r="AG255" s="60"/>
      <c r="AH255" s="65">
        <v>524.4</v>
      </c>
      <c r="AI255" s="65"/>
      <c r="AJ255" s="73"/>
      <c r="AK255" s="64">
        <f t="shared" si="596"/>
        <v>228</v>
      </c>
      <c r="AL255" s="60"/>
      <c r="AM255" s="65">
        <v>228</v>
      </c>
      <c r="AN255" s="65"/>
      <c r="AO255" s="73"/>
      <c r="AP255" s="105" t="s">
        <v>370</v>
      </c>
      <c r="AQ255" s="64">
        <f t="shared" si="597"/>
        <v>524.4</v>
      </c>
      <c r="AR255" s="60"/>
      <c r="AS255" s="65">
        <f>228+296.4</f>
        <v>524.4</v>
      </c>
      <c r="AT255" s="115"/>
      <c r="AU255" s="65"/>
      <c r="AV255" s="60">
        <f t="shared" si="470"/>
        <v>0</v>
      </c>
      <c r="AW255" s="64">
        <f t="shared" si="471"/>
        <v>0</v>
      </c>
      <c r="AX255" s="64">
        <f t="shared" si="472"/>
        <v>0</v>
      </c>
      <c r="AY255" s="64">
        <f t="shared" si="473"/>
        <v>0</v>
      </c>
      <c r="AZ255" s="64" t="e">
        <f>#REF!-AU255</f>
        <v>#REF!</v>
      </c>
      <c r="BA255" s="64">
        <f t="shared" si="598"/>
        <v>524.4</v>
      </c>
      <c r="BB255" s="60"/>
      <c r="BC255" s="65">
        <f>228+296.4</f>
        <v>524.4</v>
      </c>
      <c r="BD255" s="115"/>
      <c r="BE255" s="65"/>
      <c r="BF255" s="64">
        <f t="shared" si="599"/>
        <v>0</v>
      </c>
      <c r="BG255" s="60"/>
      <c r="BH255" s="65"/>
      <c r="BI255" s="115"/>
      <c r="BJ255" s="65"/>
      <c r="BK255" s="64">
        <f t="shared" si="600"/>
        <v>524.4</v>
      </c>
      <c r="BL255" s="60"/>
      <c r="BM255" s="65">
        <f>228+296.4</f>
        <v>524.4</v>
      </c>
      <c r="BN255" s="116"/>
      <c r="BO255" s="74"/>
      <c r="BP255" s="60">
        <f t="shared" si="601"/>
        <v>524.4</v>
      </c>
      <c r="BQ255" s="60"/>
      <c r="BR255" s="74">
        <f>296.4+228</f>
        <v>524.4</v>
      </c>
      <c r="BS255" s="116"/>
      <c r="BT255" s="74"/>
      <c r="BU255" s="60">
        <f t="shared" si="602"/>
        <v>185.65676000000002</v>
      </c>
      <c r="BV255" s="60"/>
      <c r="BW255" s="65">
        <f>98.81976+86.837</f>
        <v>185.65676000000002</v>
      </c>
      <c r="BX255" s="115"/>
      <c r="BY255" s="65"/>
      <c r="BZ255" s="60">
        <f t="shared" si="603"/>
        <v>710.05675999999994</v>
      </c>
      <c r="CA255" s="60">
        <f t="shared" si="474"/>
        <v>710.05675999999994</v>
      </c>
      <c r="CB255" s="64">
        <f t="shared" si="475"/>
        <v>0</v>
      </c>
      <c r="CC255" s="64">
        <f t="shared" si="476"/>
        <v>710.05675999999994</v>
      </c>
      <c r="CD255" s="64">
        <f t="shared" si="477"/>
        <v>0</v>
      </c>
      <c r="CE255" s="64">
        <f t="shared" si="604"/>
        <v>0</v>
      </c>
      <c r="CF255" s="64">
        <f t="shared" si="478"/>
        <v>0</v>
      </c>
      <c r="CG255" s="64">
        <f t="shared" si="479"/>
        <v>0</v>
      </c>
      <c r="CH255" s="64">
        <f t="shared" si="480"/>
        <v>0</v>
      </c>
      <c r="CI255" s="64">
        <f t="shared" si="481"/>
        <v>0</v>
      </c>
      <c r="CJ255" s="64">
        <f t="shared" si="605"/>
        <v>0</v>
      </c>
      <c r="CK255" s="66"/>
      <c r="CL255" s="89"/>
      <c r="CM255" s="89"/>
      <c r="CN255" s="64">
        <f t="shared" si="606"/>
        <v>0</v>
      </c>
      <c r="CO255" s="60"/>
      <c r="CP255" s="65"/>
      <c r="CQ255" s="115"/>
      <c r="CR255" s="65"/>
      <c r="CS255" s="64">
        <f t="shared" si="607"/>
        <v>0</v>
      </c>
      <c r="CT255" s="60"/>
      <c r="CU255" s="65"/>
      <c r="CV255" s="115"/>
      <c r="CW255" s="65"/>
      <c r="CX255" s="60">
        <f t="shared" si="608"/>
        <v>0</v>
      </c>
      <c r="CY255" s="64">
        <f t="shared" si="616"/>
        <v>0</v>
      </c>
      <c r="CZ255" s="64">
        <f t="shared" si="616"/>
        <v>0</v>
      </c>
      <c r="DA255" s="64">
        <f t="shared" si="616"/>
        <v>0</v>
      </c>
      <c r="DB255" s="64">
        <f t="shared" si="616"/>
        <v>0</v>
      </c>
      <c r="DC255" s="115"/>
      <c r="DD255" s="115"/>
      <c r="DE255" s="115"/>
      <c r="DF255" s="60">
        <f t="shared" si="609"/>
        <v>0</v>
      </c>
      <c r="DH255" s="64">
        <f t="shared" si="610"/>
        <v>524.4</v>
      </c>
      <c r="DI255" s="64">
        <f t="shared" si="611"/>
        <v>524.4</v>
      </c>
      <c r="DK255" s="60"/>
      <c r="DL255" s="60"/>
      <c r="DN255" s="60"/>
      <c r="DQ255" s="64">
        <f t="shared" si="614"/>
        <v>524.4</v>
      </c>
      <c r="DR255" s="60"/>
      <c r="DS255" s="74">
        <f>296.4+228</f>
        <v>524.4</v>
      </c>
      <c r="DT255" s="116"/>
      <c r="DU255" s="74"/>
      <c r="DV255" s="64">
        <f t="shared" si="615"/>
        <v>185.65675999999999</v>
      </c>
      <c r="DW255" s="60"/>
      <c r="DX255" s="65">
        <v>185.65675999999999</v>
      </c>
      <c r="DY255" s="115"/>
      <c r="DZ255" s="65"/>
      <c r="EA255" s="375"/>
      <c r="EB255" s="375"/>
      <c r="EC255" s="375"/>
      <c r="ED255" s="375"/>
      <c r="EE255" s="375"/>
      <c r="EF255" s="375"/>
      <c r="EG255" s="375"/>
      <c r="EH255" s="375"/>
      <c r="EI255" s="375"/>
      <c r="EJ255" s="375"/>
      <c r="EK255" s="375"/>
      <c r="EL255" s="375"/>
      <c r="EM255" s="375"/>
      <c r="EN255" s="375"/>
      <c r="EO255" s="375"/>
      <c r="EP255" s="375"/>
      <c r="EQ255" s="375"/>
      <c r="ER255" s="375"/>
      <c r="ES255" s="375"/>
      <c r="ET255" s="375"/>
      <c r="EU255" s="375"/>
      <c r="EV255" s="375"/>
      <c r="EW255" s="375"/>
      <c r="EX255" s="375"/>
      <c r="EY255" s="375"/>
      <c r="EZ255" s="375"/>
      <c r="FA255" s="375"/>
      <c r="FB255" s="375"/>
      <c r="FC255" s="375"/>
      <c r="FD255" s="375"/>
      <c r="FE255" s="375"/>
      <c r="FF255" s="375"/>
      <c r="FG255" s="375"/>
      <c r="FH255" s="375"/>
      <c r="FI255" s="375"/>
      <c r="FJ255" s="375"/>
      <c r="FK255" s="375"/>
      <c r="FL255" s="375"/>
      <c r="FM255" s="375"/>
      <c r="FN255" s="375"/>
      <c r="FO255" s="375"/>
      <c r="FP255" s="375"/>
      <c r="FQ255" s="375"/>
      <c r="FR255" s="375"/>
      <c r="FS255" s="375"/>
      <c r="FT255" s="375"/>
      <c r="FU255" s="375"/>
      <c r="FV255" s="375"/>
      <c r="FW255" s="375"/>
      <c r="FX255" s="375"/>
      <c r="FY255" s="375"/>
      <c r="FZ255" s="375"/>
      <c r="GA255" s="375"/>
      <c r="GB255" s="375"/>
      <c r="GC255" s="375"/>
      <c r="GD255" s="375"/>
      <c r="GE255" s="375"/>
      <c r="GF255" s="375"/>
      <c r="GG255" s="375"/>
      <c r="GH255" s="375"/>
      <c r="GI255" s="375"/>
      <c r="GJ255" s="375"/>
      <c r="GK255" s="375"/>
      <c r="GL255" s="375"/>
      <c r="GM255" s="375"/>
      <c r="GN255" s="375"/>
      <c r="GO255" s="375"/>
      <c r="GP255" s="375"/>
      <c r="GQ255" s="375"/>
      <c r="GR255" s="375"/>
    </row>
    <row r="256" spans="1:200" s="61" customFormat="1" ht="15.75" customHeight="1" x14ac:dyDescent="0.3">
      <c r="A256" s="280"/>
      <c r="B256" s="281"/>
      <c r="C256" s="282">
        <v>1</v>
      </c>
      <c r="D256" s="282"/>
      <c r="E256" s="4">
        <v>216</v>
      </c>
      <c r="F256" s="281"/>
      <c r="G256" s="282">
        <v>1</v>
      </c>
      <c r="H256" s="282">
        <v>1</v>
      </c>
      <c r="I256" s="4"/>
      <c r="J256" s="283"/>
      <c r="K256" s="283"/>
      <c r="L256" s="286"/>
      <c r="M256" s="4">
        <v>211</v>
      </c>
      <c r="N256" s="62" t="s">
        <v>69</v>
      </c>
      <c r="O256" s="62" t="s">
        <v>448</v>
      </c>
      <c r="P256" s="62" t="s">
        <v>450</v>
      </c>
      <c r="Q256" s="60">
        <f t="shared" si="482"/>
        <v>0</v>
      </c>
      <c r="R256" s="60">
        <f t="shared" si="483"/>
        <v>0</v>
      </c>
      <c r="S256" s="60">
        <f t="shared" si="484"/>
        <v>0</v>
      </c>
      <c r="T256" s="60">
        <v>1</v>
      </c>
      <c r="U256" s="60">
        <v>1</v>
      </c>
      <c r="V256" s="64">
        <f t="shared" si="593"/>
        <v>338.1</v>
      </c>
      <c r="W256" s="60"/>
      <c r="X256" s="65">
        <v>338.1</v>
      </c>
      <c r="Y256" s="65"/>
      <c r="Z256" s="73"/>
      <c r="AA256" s="64">
        <f t="shared" si="594"/>
        <v>338.1</v>
      </c>
      <c r="AB256" s="60"/>
      <c r="AC256" s="65">
        <v>338.1</v>
      </c>
      <c r="AD256" s="65"/>
      <c r="AE256" s="73"/>
      <c r="AF256" s="64">
        <f t="shared" si="595"/>
        <v>338.1</v>
      </c>
      <c r="AG256" s="60"/>
      <c r="AH256" s="65">
        <v>338.1</v>
      </c>
      <c r="AI256" s="65"/>
      <c r="AJ256" s="73"/>
      <c r="AK256" s="64">
        <f t="shared" si="596"/>
        <v>147</v>
      </c>
      <c r="AL256" s="60"/>
      <c r="AM256" s="65">
        <v>147</v>
      </c>
      <c r="AN256" s="65"/>
      <c r="AO256" s="73"/>
      <c r="AP256" s="105" t="s">
        <v>389</v>
      </c>
      <c r="AQ256" s="64">
        <f t="shared" si="597"/>
        <v>338.1</v>
      </c>
      <c r="AR256" s="60"/>
      <c r="AS256" s="65">
        <f>142+196.1</f>
        <v>338.1</v>
      </c>
      <c r="AT256" s="115"/>
      <c r="AU256" s="65"/>
      <c r="AV256" s="60">
        <f t="shared" si="470"/>
        <v>0</v>
      </c>
      <c r="AW256" s="64">
        <f t="shared" si="471"/>
        <v>0</v>
      </c>
      <c r="AX256" s="64">
        <f t="shared" si="472"/>
        <v>0</v>
      </c>
      <c r="AY256" s="64">
        <f t="shared" si="473"/>
        <v>0</v>
      </c>
      <c r="AZ256" s="64" t="e">
        <f>#REF!-AU256</f>
        <v>#REF!</v>
      </c>
      <c r="BA256" s="64">
        <f t="shared" si="598"/>
        <v>338.1</v>
      </c>
      <c r="BB256" s="60"/>
      <c r="BC256" s="65">
        <f>142+196.1</f>
        <v>338.1</v>
      </c>
      <c r="BD256" s="115"/>
      <c r="BE256" s="65"/>
      <c r="BF256" s="64">
        <f t="shared" si="599"/>
        <v>0</v>
      </c>
      <c r="BG256" s="60"/>
      <c r="BH256" s="65"/>
      <c r="BI256" s="115"/>
      <c r="BJ256" s="65"/>
      <c r="BK256" s="64">
        <f t="shared" si="600"/>
        <v>338.1</v>
      </c>
      <c r="BL256" s="60"/>
      <c r="BM256" s="65">
        <f>142+196.1</f>
        <v>338.1</v>
      </c>
      <c r="BN256" s="116"/>
      <c r="BO256" s="74"/>
      <c r="BP256" s="60">
        <f t="shared" si="601"/>
        <v>338.1</v>
      </c>
      <c r="BQ256" s="60"/>
      <c r="BR256" s="74">
        <f>142+196.1</f>
        <v>338.1</v>
      </c>
      <c r="BS256" s="116"/>
      <c r="BT256" s="74"/>
      <c r="BU256" s="60">
        <f t="shared" si="602"/>
        <v>128.62133</v>
      </c>
      <c r="BV256" s="60"/>
      <c r="BW256" s="65">
        <f>78.25533+50.366</f>
        <v>128.62133</v>
      </c>
      <c r="BX256" s="115"/>
      <c r="BY256" s="65"/>
      <c r="BZ256" s="60">
        <f t="shared" si="603"/>
        <v>466.72133000000002</v>
      </c>
      <c r="CA256" s="60">
        <f t="shared" si="474"/>
        <v>466.72133000000002</v>
      </c>
      <c r="CB256" s="64">
        <f t="shared" si="475"/>
        <v>0</v>
      </c>
      <c r="CC256" s="64">
        <f t="shared" si="476"/>
        <v>466.72133000000002</v>
      </c>
      <c r="CD256" s="64">
        <f t="shared" si="477"/>
        <v>0</v>
      </c>
      <c r="CE256" s="64">
        <f t="shared" si="604"/>
        <v>0</v>
      </c>
      <c r="CF256" s="64">
        <f t="shared" si="478"/>
        <v>0</v>
      </c>
      <c r="CG256" s="64">
        <f t="shared" si="479"/>
        <v>0</v>
      </c>
      <c r="CH256" s="64">
        <f t="shared" si="480"/>
        <v>0</v>
      </c>
      <c r="CI256" s="64">
        <f t="shared" si="481"/>
        <v>0</v>
      </c>
      <c r="CJ256" s="64">
        <f t="shared" si="605"/>
        <v>0</v>
      </c>
      <c r="CK256" s="66"/>
      <c r="CL256" s="89"/>
      <c r="CM256" s="89"/>
      <c r="CN256" s="64">
        <f t="shared" si="606"/>
        <v>0</v>
      </c>
      <c r="CO256" s="60"/>
      <c r="CP256" s="65"/>
      <c r="CQ256" s="115"/>
      <c r="CR256" s="65"/>
      <c r="CS256" s="64">
        <f t="shared" si="607"/>
        <v>0</v>
      </c>
      <c r="CT256" s="60"/>
      <c r="CU256" s="65"/>
      <c r="CV256" s="115"/>
      <c r="CW256" s="65"/>
      <c r="CX256" s="60">
        <f t="shared" si="608"/>
        <v>0</v>
      </c>
      <c r="CY256" s="64">
        <f t="shared" si="616"/>
        <v>0</v>
      </c>
      <c r="CZ256" s="64">
        <f t="shared" si="616"/>
        <v>0</v>
      </c>
      <c r="DA256" s="64">
        <f t="shared" si="616"/>
        <v>0</v>
      </c>
      <c r="DB256" s="64">
        <f t="shared" si="616"/>
        <v>0</v>
      </c>
      <c r="DC256" s="115"/>
      <c r="DD256" s="115"/>
      <c r="DE256" s="115"/>
      <c r="DF256" s="60">
        <f t="shared" si="609"/>
        <v>0</v>
      </c>
      <c r="DH256" s="64">
        <f t="shared" si="610"/>
        <v>338.1</v>
      </c>
      <c r="DI256" s="64">
        <f t="shared" si="611"/>
        <v>338.1</v>
      </c>
      <c r="DK256" s="60"/>
      <c r="DL256" s="60"/>
      <c r="DN256" s="60"/>
      <c r="DQ256" s="64">
        <f t="shared" si="614"/>
        <v>338.1</v>
      </c>
      <c r="DR256" s="60"/>
      <c r="DS256" s="74">
        <f>142+196.1</f>
        <v>338.1</v>
      </c>
      <c r="DT256" s="116"/>
      <c r="DU256" s="74"/>
      <c r="DV256" s="64">
        <f t="shared" si="615"/>
        <v>0</v>
      </c>
      <c r="DW256" s="60"/>
      <c r="DX256" s="65"/>
      <c r="DY256" s="115"/>
      <c r="DZ256" s="65"/>
      <c r="EA256" s="375"/>
      <c r="EB256" s="375"/>
      <c r="EC256" s="375"/>
      <c r="ED256" s="375"/>
      <c r="EE256" s="375"/>
      <c r="EF256" s="375"/>
      <c r="EG256" s="375"/>
      <c r="EH256" s="375"/>
      <c r="EI256" s="375"/>
      <c r="EJ256" s="375"/>
      <c r="EK256" s="375"/>
      <c r="EL256" s="375"/>
      <c r="EM256" s="375"/>
      <c r="EN256" s="375"/>
      <c r="EO256" s="375"/>
      <c r="EP256" s="375"/>
      <c r="EQ256" s="375"/>
      <c r="ER256" s="375"/>
      <c r="ES256" s="375"/>
      <c r="ET256" s="375"/>
      <c r="EU256" s="375"/>
      <c r="EV256" s="375"/>
      <c r="EW256" s="375"/>
      <c r="EX256" s="375"/>
      <c r="EY256" s="375"/>
      <c r="EZ256" s="375"/>
      <c r="FA256" s="375"/>
      <c r="FB256" s="375"/>
      <c r="FC256" s="375"/>
      <c r="FD256" s="375"/>
      <c r="FE256" s="375"/>
      <c r="FF256" s="375"/>
      <c r="FG256" s="375"/>
      <c r="FH256" s="375"/>
      <c r="FI256" s="375"/>
      <c r="FJ256" s="375"/>
      <c r="FK256" s="375"/>
      <c r="FL256" s="375"/>
      <c r="FM256" s="375"/>
      <c r="FN256" s="375"/>
      <c r="FO256" s="375"/>
      <c r="FP256" s="375"/>
      <c r="FQ256" s="375"/>
      <c r="FR256" s="375"/>
      <c r="FS256" s="375"/>
      <c r="FT256" s="375"/>
      <c r="FU256" s="375"/>
      <c r="FV256" s="375"/>
      <c r="FW256" s="375"/>
      <c r="FX256" s="375"/>
      <c r="FY256" s="375"/>
      <c r="FZ256" s="375"/>
      <c r="GA256" s="375"/>
      <c r="GB256" s="375"/>
      <c r="GC256" s="375"/>
      <c r="GD256" s="375"/>
      <c r="GE256" s="375"/>
      <c r="GF256" s="375"/>
      <c r="GG256" s="375"/>
      <c r="GH256" s="375"/>
      <c r="GI256" s="375"/>
      <c r="GJ256" s="375"/>
      <c r="GK256" s="375"/>
      <c r="GL256" s="375"/>
      <c r="GM256" s="375"/>
      <c r="GN256" s="375"/>
      <c r="GO256" s="375"/>
      <c r="GP256" s="375"/>
      <c r="GQ256" s="375"/>
      <c r="GR256" s="375"/>
    </row>
    <row r="257" spans="1:200" s="61" customFormat="1" ht="15.75" customHeight="1" x14ac:dyDescent="0.3">
      <c r="A257" s="280"/>
      <c r="B257" s="281"/>
      <c r="C257" s="282"/>
      <c r="D257" s="282">
        <v>1</v>
      </c>
      <c r="E257" s="4">
        <v>217</v>
      </c>
      <c r="F257" s="281"/>
      <c r="G257" s="282"/>
      <c r="H257" s="282">
        <v>1</v>
      </c>
      <c r="I257" s="4"/>
      <c r="J257" s="283"/>
      <c r="K257" s="283"/>
      <c r="L257" s="286"/>
      <c r="M257" s="4">
        <v>212</v>
      </c>
      <c r="N257" s="62" t="s">
        <v>156</v>
      </c>
      <c r="O257" s="62" t="s">
        <v>448</v>
      </c>
      <c r="P257" s="62" t="s">
        <v>448</v>
      </c>
      <c r="Q257" s="60">
        <f t="shared" si="482"/>
        <v>0</v>
      </c>
      <c r="R257" s="60">
        <f t="shared" si="483"/>
        <v>0</v>
      </c>
      <c r="S257" s="60">
        <f t="shared" si="484"/>
        <v>0</v>
      </c>
      <c r="T257" s="60">
        <v>1</v>
      </c>
      <c r="U257" s="60">
        <v>2</v>
      </c>
      <c r="V257" s="64">
        <f t="shared" si="593"/>
        <v>671.6</v>
      </c>
      <c r="W257" s="60"/>
      <c r="X257" s="65">
        <v>671.6</v>
      </c>
      <c r="Y257" s="65"/>
      <c r="Z257" s="73"/>
      <c r="AA257" s="64">
        <f t="shared" si="594"/>
        <v>671.6</v>
      </c>
      <c r="AB257" s="60"/>
      <c r="AC257" s="65">
        <v>671.6</v>
      </c>
      <c r="AD257" s="65"/>
      <c r="AE257" s="73"/>
      <c r="AF257" s="64">
        <f t="shared" si="595"/>
        <v>671.6</v>
      </c>
      <c r="AG257" s="60"/>
      <c r="AH257" s="65">
        <v>671.6</v>
      </c>
      <c r="AI257" s="65"/>
      <c r="AJ257" s="73"/>
      <c r="AK257" s="64">
        <f t="shared" si="596"/>
        <v>292</v>
      </c>
      <c r="AL257" s="60"/>
      <c r="AM257" s="65">
        <v>292</v>
      </c>
      <c r="AN257" s="65"/>
      <c r="AO257" s="73"/>
      <c r="AP257" s="64" t="s">
        <v>517</v>
      </c>
      <c r="AQ257" s="64">
        <f t="shared" si="597"/>
        <v>671.6</v>
      </c>
      <c r="AR257" s="60"/>
      <c r="AS257" s="65">
        <f>292+379.6</f>
        <v>671.6</v>
      </c>
      <c r="AT257" s="65"/>
      <c r="AU257" s="73"/>
      <c r="AV257" s="60">
        <f t="shared" si="470"/>
        <v>0</v>
      </c>
      <c r="AW257" s="64">
        <f t="shared" si="471"/>
        <v>0</v>
      </c>
      <c r="AX257" s="64">
        <f t="shared" si="472"/>
        <v>0</v>
      </c>
      <c r="AY257" s="64">
        <f t="shared" si="473"/>
        <v>0</v>
      </c>
      <c r="AZ257" s="64" t="e">
        <f>#REF!-AU257</f>
        <v>#REF!</v>
      </c>
      <c r="BA257" s="64">
        <f t="shared" si="598"/>
        <v>671.6</v>
      </c>
      <c r="BB257" s="60"/>
      <c r="BC257" s="65">
        <f>292+379.6</f>
        <v>671.6</v>
      </c>
      <c r="BD257" s="65"/>
      <c r="BE257" s="73"/>
      <c r="BF257" s="64">
        <f t="shared" si="599"/>
        <v>0</v>
      </c>
      <c r="BG257" s="60"/>
      <c r="BH257" s="65"/>
      <c r="BI257" s="65"/>
      <c r="BJ257" s="73"/>
      <c r="BK257" s="64">
        <f t="shared" si="600"/>
        <v>671.6</v>
      </c>
      <c r="BL257" s="60"/>
      <c r="BM257" s="65">
        <f>292+379.6</f>
        <v>671.6</v>
      </c>
      <c r="BN257" s="74"/>
      <c r="BO257" s="74"/>
      <c r="BP257" s="60">
        <f t="shared" si="601"/>
        <v>671.6</v>
      </c>
      <c r="BQ257" s="60"/>
      <c r="BR257" s="74">
        <f>124.073+46.44+118.655+366.557+15.875</f>
        <v>671.6</v>
      </c>
      <c r="BS257" s="74"/>
      <c r="BT257" s="74"/>
      <c r="BU257" s="60">
        <f t="shared" si="602"/>
        <v>530.4896</v>
      </c>
      <c r="BV257" s="60"/>
      <c r="BW257" s="65">
        <f>9.22961+213.12895+68.99055+27.00175+72.14014+25.86366+9.68065+24.73445+76.41085+3.30899</f>
        <v>530.4896</v>
      </c>
      <c r="BX257" s="115"/>
      <c r="BY257" s="65"/>
      <c r="BZ257" s="60">
        <f t="shared" si="603"/>
        <v>1202.0896</v>
      </c>
      <c r="CA257" s="60">
        <f t="shared" si="474"/>
        <v>1202.0896</v>
      </c>
      <c r="CB257" s="64">
        <f t="shared" si="475"/>
        <v>0</v>
      </c>
      <c r="CC257" s="64">
        <f t="shared" si="476"/>
        <v>1202.0896</v>
      </c>
      <c r="CD257" s="64">
        <f t="shared" si="477"/>
        <v>0</v>
      </c>
      <c r="CE257" s="64">
        <f t="shared" si="604"/>
        <v>0</v>
      </c>
      <c r="CF257" s="64">
        <f t="shared" si="478"/>
        <v>0</v>
      </c>
      <c r="CG257" s="64">
        <f t="shared" si="479"/>
        <v>0</v>
      </c>
      <c r="CH257" s="64">
        <f t="shared" si="480"/>
        <v>0</v>
      </c>
      <c r="CI257" s="64">
        <f t="shared" si="481"/>
        <v>0</v>
      </c>
      <c r="CJ257" s="64">
        <f t="shared" si="605"/>
        <v>0</v>
      </c>
      <c r="CK257" s="66"/>
      <c r="CL257" s="89"/>
      <c r="CM257" s="89"/>
      <c r="CN257" s="64">
        <f t="shared" si="606"/>
        <v>0</v>
      </c>
      <c r="CO257" s="60"/>
      <c r="CP257" s="65"/>
      <c r="CQ257" s="65"/>
      <c r="CR257" s="73"/>
      <c r="CS257" s="64">
        <f t="shared" si="607"/>
        <v>0</v>
      </c>
      <c r="CT257" s="60"/>
      <c r="CU257" s="65"/>
      <c r="CV257" s="65"/>
      <c r="CW257" s="73"/>
      <c r="CX257" s="60">
        <f t="shared" si="608"/>
        <v>0</v>
      </c>
      <c r="CY257" s="64">
        <f t="shared" si="616"/>
        <v>0</v>
      </c>
      <c r="CZ257" s="64">
        <f t="shared" si="616"/>
        <v>0</v>
      </c>
      <c r="DA257" s="64">
        <f t="shared" si="616"/>
        <v>0</v>
      </c>
      <c r="DB257" s="64">
        <f t="shared" si="616"/>
        <v>0</v>
      </c>
      <c r="DC257" s="115"/>
      <c r="DD257" s="115"/>
      <c r="DE257" s="115"/>
      <c r="DF257" s="60">
        <f t="shared" si="609"/>
        <v>0</v>
      </c>
      <c r="DH257" s="64">
        <f t="shared" si="610"/>
        <v>671.6</v>
      </c>
      <c r="DI257" s="64">
        <f t="shared" si="611"/>
        <v>671.6</v>
      </c>
      <c r="DK257" s="60"/>
      <c r="DL257" s="60"/>
      <c r="DN257" s="60"/>
      <c r="DQ257" s="64">
        <f t="shared" si="614"/>
        <v>671.6</v>
      </c>
      <c r="DR257" s="60"/>
      <c r="DS257" s="74">
        <f>124.073+46.44+118.655+366.557+15.875</f>
        <v>671.6</v>
      </c>
      <c r="DT257" s="74"/>
      <c r="DU257" s="74"/>
      <c r="DV257" s="64">
        <f t="shared" si="615"/>
        <v>0</v>
      </c>
      <c r="DW257" s="60"/>
      <c r="DX257" s="65"/>
      <c r="DY257" s="115"/>
      <c r="DZ257" s="65"/>
      <c r="EA257" s="375"/>
      <c r="EB257" s="375"/>
      <c r="EC257" s="375"/>
      <c r="ED257" s="375"/>
      <c r="EE257" s="375"/>
      <c r="EF257" s="375"/>
      <c r="EG257" s="375"/>
      <c r="EH257" s="375"/>
      <c r="EI257" s="375"/>
      <c r="EJ257" s="375"/>
      <c r="EK257" s="375"/>
      <c r="EL257" s="375"/>
      <c r="EM257" s="375"/>
      <c r="EN257" s="375"/>
      <c r="EO257" s="375"/>
      <c r="EP257" s="375"/>
      <c r="EQ257" s="375"/>
      <c r="ER257" s="375"/>
      <c r="ES257" s="375"/>
      <c r="ET257" s="375"/>
      <c r="EU257" s="375"/>
      <c r="EV257" s="375"/>
      <c r="EW257" s="375"/>
      <c r="EX257" s="375"/>
      <c r="EY257" s="375"/>
      <c r="EZ257" s="375"/>
      <c r="FA257" s="375"/>
      <c r="FB257" s="375"/>
      <c r="FC257" s="375"/>
      <c r="FD257" s="375"/>
      <c r="FE257" s="375"/>
      <c r="FF257" s="375"/>
      <c r="FG257" s="375"/>
      <c r="FH257" s="375"/>
      <c r="FI257" s="375"/>
      <c r="FJ257" s="375"/>
      <c r="FK257" s="375"/>
      <c r="FL257" s="375"/>
      <c r="FM257" s="375"/>
      <c r="FN257" s="375"/>
      <c r="FO257" s="375"/>
      <c r="FP257" s="375"/>
      <c r="FQ257" s="375"/>
      <c r="FR257" s="375"/>
      <c r="FS257" s="375"/>
      <c r="FT257" s="375"/>
      <c r="FU257" s="375"/>
      <c r="FV257" s="375"/>
      <c r="FW257" s="375"/>
      <c r="FX257" s="375"/>
      <c r="FY257" s="375"/>
      <c r="FZ257" s="375"/>
      <c r="GA257" s="375"/>
      <c r="GB257" s="375"/>
      <c r="GC257" s="375"/>
      <c r="GD257" s="375"/>
      <c r="GE257" s="375"/>
      <c r="GF257" s="375"/>
      <c r="GG257" s="375"/>
      <c r="GH257" s="375"/>
      <c r="GI257" s="375"/>
      <c r="GJ257" s="375"/>
      <c r="GK257" s="375"/>
      <c r="GL257" s="375"/>
      <c r="GM257" s="375"/>
      <c r="GN257" s="375"/>
      <c r="GO257" s="375"/>
      <c r="GP257" s="375"/>
      <c r="GQ257" s="375"/>
      <c r="GR257" s="375"/>
    </row>
    <row r="258" spans="1:200" s="48" customFormat="1" ht="15.75" customHeight="1" thickBot="1" x14ac:dyDescent="0.35">
      <c r="A258" s="276"/>
      <c r="B258" s="279">
        <f>SUM(B6:B257)</f>
        <v>18</v>
      </c>
      <c r="C258" s="279">
        <f>SUM(C6:C257)</f>
        <v>60</v>
      </c>
      <c r="D258" s="279">
        <f>SUM(D6:D257)</f>
        <v>139</v>
      </c>
      <c r="E258" s="301"/>
      <c r="F258" s="279">
        <f>SUM(F6:F257)</f>
        <v>8</v>
      </c>
      <c r="G258" s="279">
        <f>SUM(G6:G257)</f>
        <v>53</v>
      </c>
      <c r="H258" s="279">
        <f>SUM(H6:H257)</f>
        <v>165</v>
      </c>
      <c r="I258" s="302"/>
      <c r="J258" s="287"/>
      <c r="K258" s="287"/>
      <c r="L258" s="287"/>
      <c r="M258" s="301"/>
      <c r="N258" s="42" t="s">
        <v>253</v>
      </c>
      <c r="O258" s="42"/>
      <c r="P258" s="42"/>
      <c r="Q258" s="43">
        <f t="shared" si="482"/>
        <v>0</v>
      </c>
      <c r="R258" s="43">
        <f t="shared" si="483"/>
        <v>11349.830850000028</v>
      </c>
      <c r="S258" s="43">
        <f t="shared" si="484"/>
        <v>16342.673830000043</v>
      </c>
      <c r="T258" s="43">
        <f>T6+T8+T20+T39+T57+T79+T94+T114+T128+T137+T151+T159+T177+T195+T203+T220+T230+T242</f>
        <v>181</v>
      </c>
      <c r="U258" s="43">
        <f>U6+U8+U20+U39+U57+U79+U94+U114+U128+U137+U151+U159+U177+U195+U203+U220+U230+U242</f>
        <v>262</v>
      </c>
      <c r="V258" s="43">
        <f t="shared" ref="V258:Z258" si="617">V6+V8+V20+V39+V57+V79+V94+V114+V128+V137+V151+V159+V177+V195+V203+V220+V230+V242</f>
        <v>719439.62599999993</v>
      </c>
      <c r="W258" s="43">
        <f t="shared" si="617"/>
        <v>240790.99799999999</v>
      </c>
      <c r="X258" s="43">
        <f t="shared" si="617"/>
        <v>223922.57699999999</v>
      </c>
      <c r="Y258" s="43">
        <f t="shared" si="617"/>
        <v>254726.05100000004</v>
      </c>
      <c r="Z258" s="43">
        <f t="shared" si="617"/>
        <v>0</v>
      </c>
      <c r="AA258" s="43">
        <f t="shared" ref="AA258:AE258" si="618">AA6+AA8+AA20+AA39+AA57+AA79+AA94+AA114+AA128+AA137+AA151+AA159+AA177+AA195+AA203+AA220+AA230+AA242</f>
        <v>725517.049</v>
      </c>
      <c r="AB258" s="43">
        <f t="shared" si="618"/>
        <v>240790.99799999999</v>
      </c>
      <c r="AC258" s="43">
        <f t="shared" si="618"/>
        <v>230000.00000000003</v>
      </c>
      <c r="AD258" s="43">
        <f t="shared" si="618"/>
        <v>254726.05099999998</v>
      </c>
      <c r="AE258" s="43">
        <f t="shared" si="618"/>
        <v>0</v>
      </c>
      <c r="AF258" s="43">
        <f t="shared" ref="AF258:AJ258" si="619">AF6+AF8+AF20+AF39+AF57+AF79+AF94+AF114+AF128+AF137+AF151+AF159+AF177+AF195+AF203+AF220+AF230+AF242</f>
        <v>564246.39999999979</v>
      </c>
      <c r="AG258" s="43">
        <f t="shared" si="619"/>
        <v>172677.7</v>
      </c>
      <c r="AH258" s="43">
        <f t="shared" si="619"/>
        <v>230000.00000000003</v>
      </c>
      <c r="AI258" s="43">
        <f t="shared" si="619"/>
        <v>161568.70000000001</v>
      </c>
      <c r="AJ258" s="43">
        <f t="shared" si="619"/>
        <v>0</v>
      </c>
      <c r="AK258" s="45">
        <f t="shared" ref="AK258:AO258" si="620">AK6+AK8+AK20+AK39+AK57+AK79+AK94+AK114+AK128+AK137+AK151+AK159+AK177+AK195+AK203+AK220+AK230+AK242</f>
        <v>434246.39999999997</v>
      </c>
      <c r="AL258" s="43">
        <f t="shared" si="620"/>
        <v>172677.7</v>
      </c>
      <c r="AM258" s="43">
        <f t="shared" si="620"/>
        <v>100000</v>
      </c>
      <c r="AN258" s="43">
        <f t="shared" si="620"/>
        <v>161568.70000000001</v>
      </c>
      <c r="AO258" s="43">
        <f t="shared" si="620"/>
        <v>0</v>
      </c>
      <c r="AP258" s="43"/>
      <c r="AQ258" s="43">
        <f>AQ6+AQ8+AQ20+AQ39+AQ57+AQ79+AQ94+AQ114+AQ128+AQ137+AQ151+AQ159+AQ177+AQ195+AQ203+AQ220+AQ230+AQ242</f>
        <v>719439.62599999993</v>
      </c>
      <c r="AR258" s="43">
        <f>AR6+AR8+AR20+AR39+AR57+AR79+AR94+AR114+AR128+AR137+AR151+AR159+AR177+AR195+AR203+AR220+AR230+AR242</f>
        <v>240790.99799999999</v>
      </c>
      <c r="AS258" s="43">
        <f>AS6+AS8+AS20+AS39+AS57+AS79+AS94+AS114+AS128+AS137+AS151+AS159+AS177+AS195+AS203+AS220+AS230+AS242</f>
        <v>223922.57699999999</v>
      </c>
      <c r="AT258" s="43">
        <f>AT6+AT8+AT20+AT39+AT57+AT79+AT94+AT114+AT128+AT137+AT151+AT159+AT177+AT195+AT203+AT220+AT230+AT242</f>
        <v>254726.05100000004</v>
      </c>
      <c r="AU258" s="43">
        <f>AU6+AU8+AU20+AU39+AU57+AU79+AU94+AU114+AU128+AU137+AU151+AU159+AU177+AU195+AU203+AU220+AU230+AU242</f>
        <v>0</v>
      </c>
      <c r="AV258" s="43">
        <f t="shared" si="470"/>
        <v>0</v>
      </c>
      <c r="AW258" s="43">
        <f t="shared" si="471"/>
        <v>0</v>
      </c>
      <c r="AX258" s="43">
        <f t="shared" si="472"/>
        <v>0</v>
      </c>
      <c r="AY258" s="43">
        <f t="shared" si="473"/>
        <v>0</v>
      </c>
      <c r="AZ258" s="43" t="e">
        <f t="shared" ref="AZ258:BY258" si="621">AZ6+AZ8+AZ20+AZ39+AZ57+AZ79+AZ94+AZ114+AZ128+AZ137+AZ151+AZ159+AZ177+AZ195+AZ203+AZ220+AZ230+AZ242</f>
        <v>#REF!</v>
      </c>
      <c r="BA258" s="43">
        <f t="shared" si="621"/>
        <v>642445.59033999988</v>
      </c>
      <c r="BB258" s="43">
        <f t="shared" si="621"/>
        <v>163796.96234</v>
      </c>
      <c r="BC258" s="43">
        <f t="shared" si="621"/>
        <v>223922.57699999999</v>
      </c>
      <c r="BD258" s="43">
        <f t="shared" si="621"/>
        <v>254726.05100000004</v>
      </c>
      <c r="BE258" s="43">
        <f t="shared" si="621"/>
        <v>0</v>
      </c>
      <c r="BF258" s="43">
        <f t="shared" si="621"/>
        <v>0</v>
      </c>
      <c r="BG258" s="43">
        <f t="shared" si="621"/>
        <v>0</v>
      </c>
      <c r="BH258" s="43">
        <f t="shared" si="621"/>
        <v>0</v>
      </c>
      <c r="BI258" s="43">
        <f t="shared" si="621"/>
        <v>0</v>
      </c>
      <c r="BJ258" s="43">
        <f t="shared" si="621"/>
        <v>0</v>
      </c>
      <c r="BK258" s="43">
        <f t="shared" si="621"/>
        <v>642445.59033999988</v>
      </c>
      <c r="BL258" s="43">
        <f t="shared" si="621"/>
        <v>163796.96234</v>
      </c>
      <c r="BM258" s="43">
        <f t="shared" si="621"/>
        <v>223922.57699999999</v>
      </c>
      <c r="BN258" s="43">
        <f t="shared" si="621"/>
        <v>254726.05100000004</v>
      </c>
      <c r="BO258" s="43">
        <f t="shared" si="621"/>
        <v>0</v>
      </c>
      <c r="BP258" s="43">
        <f t="shared" si="621"/>
        <v>614753.08565999998</v>
      </c>
      <c r="BQ258" s="43">
        <f t="shared" si="621"/>
        <v>163796.96234</v>
      </c>
      <c r="BR258" s="43">
        <f t="shared" si="621"/>
        <v>212572.74614999996</v>
      </c>
      <c r="BS258" s="43">
        <f t="shared" si="621"/>
        <v>238383.37716999999</v>
      </c>
      <c r="BT258" s="43">
        <f t="shared" si="621"/>
        <v>0</v>
      </c>
      <c r="BU258" s="43">
        <f t="shared" si="621"/>
        <v>263398.30674999999</v>
      </c>
      <c r="BV258" s="43">
        <f t="shared" si="621"/>
        <v>51118.082119999999</v>
      </c>
      <c r="BW258" s="43">
        <f t="shared" si="621"/>
        <v>128148.25510000001</v>
      </c>
      <c r="BX258" s="43">
        <f t="shared" si="621"/>
        <v>84131.969530000017</v>
      </c>
      <c r="BY258" s="43">
        <f t="shared" si="621"/>
        <v>0</v>
      </c>
      <c r="BZ258" s="43"/>
      <c r="CA258" s="43">
        <f t="shared" si="474"/>
        <v>878151.39240999997</v>
      </c>
      <c r="CB258" s="43">
        <f t="shared" si="475"/>
        <v>214915.04446</v>
      </c>
      <c r="CC258" s="43">
        <f t="shared" si="476"/>
        <v>340721.00124999997</v>
      </c>
      <c r="CD258" s="43">
        <f t="shared" si="477"/>
        <v>322515.34669999999</v>
      </c>
      <c r="CE258" s="43">
        <f t="shared" ref="CE258:CJ258" si="622">CE6+CE8+CE20+CE39+CE57+CE79+CE94+CE114+CE128+CE137+CE151+CE159+CE177+CE195+CE203+CE220+CE230+CE242</f>
        <v>0</v>
      </c>
      <c r="CF258" s="43">
        <f t="shared" si="478"/>
        <v>27692.504680000071</v>
      </c>
      <c r="CG258" s="43">
        <f t="shared" si="479"/>
        <v>0</v>
      </c>
      <c r="CH258" s="43">
        <f t="shared" si="480"/>
        <v>11349.830850000028</v>
      </c>
      <c r="CI258" s="43">
        <f t="shared" si="481"/>
        <v>16342.673830000043</v>
      </c>
      <c r="CJ258" s="43">
        <f t="shared" si="622"/>
        <v>0</v>
      </c>
      <c r="CK258" s="46"/>
      <c r="CL258" s="47">
        <f t="shared" ref="CL258:DF258" si="623">CL6+CL8+CL20+CL39+CL57+CL79+CL94+CL114+CL128+CL137+CL151+CL159+CL177+CL195+CL203+CL220+CL230+CL242</f>
        <v>648165.69640000002</v>
      </c>
      <c r="CM258" s="47">
        <f t="shared" si="623"/>
        <v>636272.99639999983</v>
      </c>
      <c r="CN258" s="43">
        <f t="shared" si="623"/>
        <v>0</v>
      </c>
      <c r="CO258" s="43">
        <f t="shared" si="623"/>
        <v>0</v>
      </c>
      <c r="CP258" s="43">
        <f t="shared" si="623"/>
        <v>0</v>
      </c>
      <c r="CQ258" s="43">
        <f t="shared" si="623"/>
        <v>0</v>
      </c>
      <c r="CR258" s="43">
        <f t="shared" si="623"/>
        <v>0</v>
      </c>
      <c r="CS258" s="43">
        <f t="shared" si="623"/>
        <v>0</v>
      </c>
      <c r="CT258" s="43">
        <f t="shared" si="623"/>
        <v>0</v>
      </c>
      <c r="CU258" s="43">
        <f t="shared" si="623"/>
        <v>0</v>
      </c>
      <c r="CV258" s="43">
        <f t="shared" si="623"/>
        <v>0</v>
      </c>
      <c r="CW258" s="43">
        <f t="shared" si="623"/>
        <v>0</v>
      </c>
      <c r="CX258" s="119">
        <f t="shared" si="623"/>
        <v>0</v>
      </c>
      <c r="CY258" s="119">
        <f t="shared" si="623"/>
        <v>0</v>
      </c>
      <c r="CZ258" s="119">
        <f t="shared" si="623"/>
        <v>0</v>
      </c>
      <c r="DA258" s="119">
        <f t="shared" si="623"/>
        <v>0</v>
      </c>
      <c r="DB258" s="119">
        <f t="shared" si="623"/>
        <v>0</v>
      </c>
      <c r="DC258" s="119">
        <f t="shared" si="623"/>
        <v>0</v>
      </c>
      <c r="DD258" s="119">
        <f t="shared" si="623"/>
        <v>0</v>
      </c>
      <c r="DE258" s="119">
        <f t="shared" si="623"/>
        <v>0</v>
      </c>
      <c r="DF258" s="43">
        <f t="shared" si="623"/>
        <v>27692.504680000013</v>
      </c>
      <c r="DH258" s="43">
        <f>DH6+DH8+DH20+DH39+DH57+DH79+DH94+DH114+DH128+DH137+DH151+DH159+DH177+DH195+DH203+DH220+DH230+DH242</f>
        <v>642445.59033999988</v>
      </c>
      <c r="DI258" s="43">
        <f>DI6+DI8+DI20+DI39+DI57+DI79+DI94+DI114+DI128+DI137+DI151+DI159+DI177+DI195+DI203+DI220+DI230+DI242</f>
        <v>614753.08565999998</v>
      </c>
      <c r="DK258" s="43">
        <f>DK6+DK8+DK20+DK39+DK57+DK79+DK94+DK114+DK128+DK137+DK151+DK159+DK177+DK195+DK203+DK220+DK230+DK242</f>
        <v>614753.08565999998</v>
      </c>
      <c r="DL258" s="43">
        <f>DL6+DL8+DL20+DL39+DL57+DL79+DL94+DL114+DL128+DL137+DL151+DL159+DL177+DL195+DL203+DL220+DL230+DL242</f>
        <v>27996.586680000019</v>
      </c>
      <c r="DN258" s="43">
        <f>DN6+DN8+DN20+DN39+DN57+DN79+DN94+DN114+DN128+DN137+DN151+DN159+DN177+DN195+DN203+DN220+DN230+DN242</f>
        <v>21519.910739999999</v>
      </c>
      <c r="DO258" s="49"/>
      <c r="DP258" s="49"/>
      <c r="DQ258" s="43">
        <f t="shared" ref="DQ258:DZ258" si="624">DQ6+DQ8+DQ20+DQ39+DQ57+DQ79+DQ94+DQ114+DQ128+DQ137+DQ151+DQ159+DQ177+DQ195+DQ203+DQ220+DQ230+DQ242</f>
        <v>564140.20516999997</v>
      </c>
      <c r="DR258" s="43">
        <f t="shared" si="624"/>
        <v>150822.54138000001</v>
      </c>
      <c r="DS258" s="43">
        <f t="shared" si="624"/>
        <v>212572.74614999996</v>
      </c>
      <c r="DT258" s="43">
        <f t="shared" si="624"/>
        <v>200744.91764</v>
      </c>
      <c r="DU258" s="120">
        <f t="shared" si="624"/>
        <v>0</v>
      </c>
      <c r="DV258" s="43">
        <f t="shared" si="624"/>
        <v>197719.40171000001</v>
      </c>
      <c r="DW258" s="43">
        <f t="shared" si="624"/>
        <v>55466.168699999995</v>
      </c>
      <c r="DX258" s="43">
        <f t="shared" si="624"/>
        <v>72908.370759999976</v>
      </c>
      <c r="DY258" s="43">
        <f t="shared" si="624"/>
        <v>69344.862249999991</v>
      </c>
      <c r="DZ258" s="43">
        <f t="shared" si="624"/>
        <v>0</v>
      </c>
      <c r="EA258" s="372"/>
      <c r="EB258" s="372"/>
      <c r="EC258" s="372"/>
      <c r="ED258" s="372"/>
      <c r="EE258" s="372"/>
      <c r="EF258" s="372"/>
      <c r="EG258" s="372"/>
      <c r="EH258" s="372"/>
      <c r="EI258" s="372"/>
      <c r="EJ258" s="372"/>
      <c r="EK258" s="372"/>
      <c r="EL258" s="372"/>
      <c r="EM258" s="372"/>
      <c r="EN258" s="372"/>
      <c r="EO258" s="372"/>
      <c r="EP258" s="372"/>
      <c r="EQ258" s="372"/>
      <c r="ER258" s="372"/>
      <c r="ES258" s="372"/>
      <c r="ET258" s="372"/>
      <c r="EU258" s="372"/>
      <c r="EV258" s="372"/>
      <c r="EW258" s="372"/>
      <c r="EX258" s="372"/>
      <c r="EY258" s="372"/>
      <c r="EZ258" s="372"/>
      <c r="FA258" s="372"/>
      <c r="FB258" s="372"/>
      <c r="FC258" s="372"/>
      <c r="FD258" s="372"/>
      <c r="FE258" s="372"/>
      <c r="FF258" s="372"/>
      <c r="FG258" s="372"/>
      <c r="FH258" s="372"/>
      <c r="FI258" s="372"/>
      <c r="FJ258" s="372"/>
      <c r="FK258" s="372"/>
      <c r="FL258" s="372"/>
      <c r="FM258" s="372"/>
      <c r="FN258" s="372"/>
      <c r="FO258" s="372"/>
      <c r="FP258" s="372"/>
      <c r="FQ258" s="372"/>
      <c r="FR258" s="372"/>
      <c r="FS258" s="372"/>
      <c r="FT258" s="372"/>
      <c r="FU258" s="372"/>
      <c r="FV258" s="372"/>
      <c r="FW258" s="372"/>
      <c r="FX258" s="372"/>
      <c r="FY258" s="372"/>
      <c r="FZ258" s="372"/>
      <c r="GA258" s="372"/>
      <c r="GB258" s="372"/>
      <c r="GC258" s="372"/>
      <c r="GD258" s="372"/>
      <c r="GE258" s="372"/>
      <c r="GF258" s="372"/>
      <c r="GG258" s="372"/>
      <c r="GH258" s="372"/>
      <c r="GI258" s="372"/>
      <c r="GJ258" s="372"/>
      <c r="GK258" s="372"/>
      <c r="GL258" s="372"/>
      <c r="GM258" s="372"/>
      <c r="GN258" s="372"/>
      <c r="GO258" s="372"/>
      <c r="GP258" s="372"/>
      <c r="GQ258" s="372"/>
      <c r="GR258" s="372"/>
    </row>
    <row r="259" spans="1:200" s="137" customFormat="1" ht="18.600000000000001" hidden="1" customHeight="1" thickTop="1" thickBot="1" x14ac:dyDescent="0.3">
      <c r="B259" s="121"/>
      <c r="C259" s="122"/>
      <c r="D259" s="121"/>
      <c r="E259" s="123"/>
      <c r="F259" s="121"/>
      <c r="G259" s="122"/>
      <c r="H259" s="121"/>
      <c r="I259" s="124"/>
      <c r="J259" s="125"/>
      <c r="K259" s="125"/>
      <c r="L259" s="126"/>
      <c r="M259" s="127"/>
      <c r="N259" s="128" t="s">
        <v>254</v>
      </c>
      <c r="O259" s="128"/>
      <c r="P259" s="128"/>
      <c r="Q259" s="128"/>
      <c r="R259" s="128"/>
      <c r="S259" s="128"/>
      <c r="T259" s="128"/>
      <c r="U259" s="128"/>
      <c r="V259" s="129">
        <v>0</v>
      </c>
      <c r="W259" s="129">
        <v>0</v>
      </c>
      <c r="X259" s="129">
        <v>0</v>
      </c>
      <c r="Y259" s="129">
        <v>0</v>
      </c>
      <c r="Z259" s="124"/>
      <c r="AA259" s="129">
        <v>0</v>
      </c>
      <c r="AB259" s="129">
        <v>0</v>
      </c>
      <c r="AC259" s="129">
        <v>0</v>
      </c>
      <c r="AD259" s="129">
        <v>0</v>
      </c>
      <c r="AE259" s="124"/>
      <c r="AF259" s="129">
        <f>AG259+AH259+AI259+AJ259</f>
        <v>161270.64899999998</v>
      </c>
      <c r="AG259" s="129">
        <v>68113.297999999995</v>
      </c>
      <c r="AH259" s="129">
        <v>0</v>
      </c>
      <c r="AI259" s="129">
        <v>93157.350999999995</v>
      </c>
      <c r="AJ259" s="124"/>
      <c r="AK259" s="130">
        <f>AL259+AM259+AN259+AO259</f>
        <v>0</v>
      </c>
      <c r="AL259" s="129"/>
      <c r="AM259" s="129"/>
      <c r="AN259" s="129">
        <v>0</v>
      </c>
      <c r="AO259" s="129"/>
      <c r="AP259" s="131"/>
      <c r="AQ259" s="130">
        <f t="shared" ref="AQ259" si="625">AR259+AS259+AT259+AU259</f>
        <v>0</v>
      </c>
      <c r="AR259" s="131"/>
      <c r="AS259" s="131"/>
      <c r="AT259" s="131"/>
      <c r="AU259" s="131"/>
      <c r="AV259" s="129">
        <f t="shared" si="470"/>
        <v>0</v>
      </c>
      <c r="AW259" s="132">
        <f t="shared" si="471"/>
        <v>0</v>
      </c>
      <c r="AX259" s="132">
        <f t="shared" si="472"/>
        <v>0</v>
      </c>
      <c r="AY259" s="132">
        <f t="shared" si="473"/>
        <v>0</v>
      </c>
      <c r="AZ259" s="132" t="e">
        <f>#REF!-AU259</f>
        <v>#REF!</v>
      </c>
      <c r="BA259" s="130">
        <f t="shared" ref="BA259" si="626">BB259+BC259+BD259+BE259</f>
        <v>0</v>
      </c>
      <c r="BB259" s="131"/>
      <c r="BC259" s="131"/>
      <c r="BD259" s="131"/>
      <c r="BE259" s="131"/>
      <c r="BF259" s="130">
        <f t="shared" ref="BF259" si="627">BG259+BH259+BI259+BJ259</f>
        <v>0</v>
      </c>
      <c r="BG259" s="131"/>
      <c r="BH259" s="131"/>
      <c r="BI259" s="131"/>
      <c r="BJ259" s="131"/>
      <c r="BK259" s="130">
        <f t="shared" ref="BK259" si="628">BL259+BM259+BN259+BO259</f>
        <v>0</v>
      </c>
      <c r="BL259" s="131"/>
      <c r="BM259" s="131"/>
      <c r="BN259" s="131"/>
      <c r="BO259" s="131"/>
      <c r="BP259" s="130">
        <f t="shared" ref="BP259" si="629">BQ259+BR259+BS259+BT259</f>
        <v>0</v>
      </c>
      <c r="BQ259" s="131"/>
      <c r="BR259" s="131"/>
      <c r="BS259" s="131"/>
      <c r="BT259" s="131"/>
      <c r="BU259" s="133"/>
      <c r="BV259" s="131"/>
      <c r="BW259" s="131"/>
      <c r="BX259" s="131"/>
      <c r="BY259" s="131"/>
      <c r="BZ259" s="129">
        <f>CA259</f>
        <v>0</v>
      </c>
      <c r="CA259" s="130">
        <f>CB259+CC259+CD259+CE259</f>
        <v>0</v>
      </c>
      <c r="CB259" s="130">
        <f>BQ259+BV259</f>
        <v>0</v>
      </c>
      <c r="CC259" s="130">
        <f>BR259+BW259</f>
        <v>0</v>
      </c>
      <c r="CD259" s="130">
        <f>BS259+BX259</f>
        <v>0</v>
      </c>
      <c r="CE259" s="130">
        <f>BT259+BY259</f>
        <v>0</v>
      </c>
      <c r="CF259" s="129">
        <f t="shared" si="478"/>
        <v>0</v>
      </c>
      <c r="CG259" s="130">
        <f t="shared" si="479"/>
        <v>0</v>
      </c>
      <c r="CH259" s="130">
        <f t="shared" si="480"/>
        <v>0</v>
      </c>
      <c r="CI259" s="132">
        <f t="shared" si="481"/>
        <v>0</v>
      </c>
      <c r="CJ259" s="132">
        <f>BE259-BT259</f>
        <v>0</v>
      </c>
      <c r="CK259" s="134"/>
      <c r="CL259" s="135"/>
      <c r="CM259" s="135"/>
      <c r="CN259" s="130">
        <f t="shared" ref="CN259" si="630">CO259+CP259+CQ259+CR259</f>
        <v>0</v>
      </c>
      <c r="CO259" s="131"/>
      <c r="CP259" s="131"/>
      <c r="CQ259" s="131"/>
      <c r="CR259" s="131"/>
      <c r="CS259" s="130">
        <f t="shared" ref="CS259" si="631">CT259+CU259+CV259+CW259</f>
        <v>0</v>
      </c>
      <c r="CT259" s="131"/>
      <c r="CU259" s="131"/>
      <c r="CV259" s="131"/>
      <c r="CW259" s="131"/>
      <c r="CX259" s="131"/>
      <c r="CY259" s="131"/>
      <c r="CZ259" s="131"/>
      <c r="DA259" s="131"/>
      <c r="DB259" s="131"/>
      <c r="DC259" s="131"/>
      <c r="DD259" s="131"/>
      <c r="DE259" s="131"/>
      <c r="DF259" s="136"/>
      <c r="DH259" s="136"/>
      <c r="DI259" s="136"/>
      <c r="DK259" s="138"/>
      <c r="DL259" s="138"/>
      <c r="DN259" s="138"/>
      <c r="DO259" s="139"/>
      <c r="DP259" s="139"/>
      <c r="DQ259" s="138"/>
      <c r="DR259" s="138"/>
      <c r="DS259" s="138"/>
      <c r="DT259" s="138"/>
      <c r="DU259" s="140"/>
      <c r="DV259" s="138"/>
      <c r="DW259" s="138"/>
      <c r="DX259" s="138"/>
      <c r="DY259" s="138"/>
      <c r="DZ259" s="138"/>
      <c r="EA259" s="374"/>
      <c r="EB259" s="374"/>
      <c r="EC259" s="374"/>
      <c r="ED259" s="374"/>
      <c r="EE259" s="374"/>
      <c r="EF259" s="374"/>
      <c r="EG259" s="374"/>
      <c r="EH259" s="374"/>
      <c r="EI259" s="374"/>
      <c r="EJ259" s="374"/>
      <c r="EK259" s="374"/>
      <c r="EL259" s="374"/>
      <c r="EM259" s="374"/>
      <c r="EN259" s="374"/>
      <c r="EO259" s="374"/>
      <c r="EP259" s="374"/>
      <c r="EQ259" s="374"/>
      <c r="ER259" s="374"/>
      <c r="ES259" s="374"/>
      <c r="ET259" s="374"/>
      <c r="EU259" s="374"/>
      <c r="EV259" s="374"/>
      <c r="EW259" s="374"/>
      <c r="EX259" s="374"/>
      <c r="EY259" s="374"/>
      <c r="EZ259" s="374"/>
      <c r="FA259" s="374"/>
      <c r="FB259" s="374"/>
      <c r="FC259" s="374"/>
      <c r="FD259" s="374"/>
      <c r="FE259" s="374"/>
      <c r="FF259" s="374"/>
      <c r="FG259" s="374"/>
      <c r="FH259" s="374"/>
      <c r="FI259" s="374"/>
      <c r="FJ259" s="374"/>
      <c r="FK259" s="374"/>
      <c r="FL259" s="374"/>
      <c r="FM259" s="374"/>
      <c r="FN259" s="374"/>
      <c r="FO259" s="374"/>
      <c r="FP259" s="374"/>
      <c r="FQ259" s="374"/>
      <c r="FR259" s="374"/>
      <c r="FS259" s="374"/>
      <c r="FT259" s="374"/>
      <c r="FU259" s="374"/>
      <c r="FV259" s="374"/>
      <c r="FW259" s="374"/>
      <c r="FX259" s="374"/>
      <c r="FY259" s="374"/>
      <c r="FZ259" s="374"/>
      <c r="GA259" s="374"/>
      <c r="GB259" s="374"/>
      <c r="GC259" s="374"/>
      <c r="GD259" s="374"/>
      <c r="GE259" s="374"/>
      <c r="GF259" s="374"/>
      <c r="GG259" s="374"/>
      <c r="GH259" s="374"/>
      <c r="GI259" s="374"/>
      <c r="GJ259" s="374"/>
      <c r="GK259" s="374"/>
      <c r="GL259" s="374"/>
      <c r="GM259" s="374"/>
      <c r="GN259" s="374"/>
      <c r="GO259" s="374"/>
      <c r="GP259" s="374"/>
      <c r="GQ259" s="374"/>
      <c r="GR259" s="374"/>
    </row>
    <row r="260" spans="1:200" s="59" customFormat="1" ht="73.95" hidden="1" customHeight="1" thickTop="1" thickBot="1" x14ac:dyDescent="0.3">
      <c r="B260" s="24"/>
      <c r="C260" s="141"/>
      <c r="D260" s="24"/>
      <c r="E260" s="142"/>
      <c r="F260" s="24"/>
      <c r="G260" s="141"/>
      <c r="H260" s="24"/>
      <c r="I260" s="143"/>
      <c r="J260" s="143"/>
      <c r="K260" s="143"/>
      <c r="L260" s="143"/>
      <c r="M260" s="427" t="s">
        <v>255</v>
      </c>
      <c r="N260" s="428"/>
      <c r="O260" s="144"/>
      <c r="P260" s="144"/>
      <c r="Q260" s="144"/>
      <c r="R260" s="144"/>
      <c r="S260" s="144"/>
      <c r="T260" s="144"/>
      <c r="U260" s="144"/>
      <c r="V260" s="145">
        <f>W260+X260+Y260+Z260</f>
        <v>719439.62599999993</v>
      </c>
      <c r="W260" s="145">
        <f>W258+W259</f>
        <v>240790.99799999999</v>
      </c>
      <c r="X260" s="145">
        <f>X258+X259</f>
        <v>223922.57699999999</v>
      </c>
      <c r="Y260" s="145">
        <f>Y258+Y259</f>
        <v>254726.05100000004</v>
      </c>
      <c r="Z260" s="22">
        <f>Z258+Z259</f>
        <v>0</v>
      </c>
      <c r="AA260" s="145">
        <f>AB260+AC260+AD260+AE260</f>
        <v>725517.049</v>
      </c>
      <c r="AB260" s="145">
        <f>AB258+AB259</f>
        <v>240790.99799999999</v>
      </c>
      <c r="AC260" s="145">
        <f>AC258+AC259</f>
        <v>230000.00000000003</v>
      </c>
      <c r="AD260" s="145">
        <f>AD258+AD259</f>
        <v>254726.05099999998</v>
      </c>
      <c r="AE260" s="22">
        <f>AE258+AE259</f>
        <v>0</v>
      </c>
      <c r="AF260" s="145">
        <f>AG260+AH260+AI260+AJ260</f>
        <v>725517.049</v>
      </c>
      <c r="AG260" s="145">
        <f>AG258+AG259</f>
        <v>240790.99800000002</v>
      </c>
      <c r="AH260" s="145">
        <f>AH258+AH259</f>
        <v>230000.00000000003</v>
      </c>
      <c r="AI260" s="145">
        <f>AI258+AI259</f>
        <v>254726.05100000001</v>
      </c>
      <c r="AJ260" s="22">
        <f>AJ258+AJ259</f>
        <v>0</v>
      </c>
      <c r="AK260" s="144">
        <f>AL260+AM260+AN260+AO260</f>
        <v>434246.40000000002</v>
      </c>
      <c r="AL260" s="145">
        <f>AL258+AL259</f>
        <v>172677.7</v>
      </c>
      <c r="AM260" s="145">
        <f>AM258+AM259</f>
        <v>100000</v>
      </c>
      <c r="AN260" s="145">
        <f>AN258+AN259</f>
        <v>161568.70000000001</v>
      </c>
      <c r="AO260" s="145">
        <f>AO258+AO259</f>
        <v>0</v>
      </c>
      <c r="AP260" s="145"/>
      <c r="AQ260" s="145">
        <f>AR260+AS260+AT260+AU260</f>
        <v>719439.62599999993</v>
      </c>
      <c r="AR260" s="145">
        <f>AR258+AR259</f>
        <v>240790.99799999999</v>
      </c>
      <c r="AS260" s="145">
        <f>AS258+AS259</f>
        <v>223922.57699999999</v>
      </c>
      <c r="AT260" s="145">
        <f>AT258+AT259</f>
        <v>254726.05100000004</v>
      </c>
      <c r="AU260" s="145">
        <f>AU258+AU259</f>
        <v>0</v>
      </c>
      <c r="AV260" s="145">
        <f t="shared" si="470"/>
        <v>0</v>
      </c>
      <c r="AW260" s="145">
        <f t="shared" si="471"/>
        <v>0</v>
      </c>
      <c r="AX260" s="145">
        <f t="shared" si="472"/>
        <v>0</v>
      </c>
      <c r="AY260" s="145">
        <f t="shared" si="473"/>
        <v>0</v>
      </c>
      <c r="AZ260" s="145" t="e">
        <f>AZ258+AZ259</f>
        <v>#REF!</v>
      </c>
      <c r="BA260" s="145">
        <f>BB260+BC260+BD260+BE260</f>
        <v>642445.59034000011</v>
      </c>
      <c r="BB260" s="145">
        <f>BB258+BB259</f>
        <v>163796.96234</v>
      </c>
      <c r="BC260" s="145">
        <f>BC258+BC259</f>
        <v>223922.57699999999</v>
      </c>
      <c r="BD260" s="145">
        <f>BD258+BD259</f>
        <v>254726.05100000004</v>
      </c>
      <c r="BE260" s="145">
        <f>BE258+BE259</f>
        <v>0</v>
      </c>
      <c r="BF260" s="145">
        <f>BG260+BH260+BI260+BJ260</f>
        <v>0</v>
      </c>
      <c r="BG260" s="145">
        <f>BG258+BG259</f>
        <v>0</v>
      </c>
      <c r="BH260" s="145">
        <f>BH258+BH259</f>
        <v>0</v>
      </c>
      <c r="BI260" s="145">
        <f>BI258+BI259</f>
        <v>0</v>
      </c>
      <c r="BJ260" s="145">
        <f>BJ258+BJ259</f>
        <v>0</v>
      </c>
      <c r="BK260" s="145">
        <f>BL260+BM260+BN260+BO260</f>
        <v>642445.59034000011</v>
      </c>
      <c r="BL260" s="145">
        <f>BL258+BL259</f>
        <v>163796.96234</v>
      </c>
      <c r="BM260" s="145">
        <f>BM258+BM259</f>
        <v>223922.57699999999</v>
      </c>
      <c r="BN260" s="145">
        <f>BN258+BN259</f>
        <v>254726.05100000004</v>
      </c>
      <c r="BO260" s="145">
        <f>BO258+BO259</f>
        <v>0</v>
      </c>
      <c r="BP260" s="145">
        <f>BQ260+BR260+BS260+BT260</f>
        <v>614753.08565999998</v>
      </c>
      <c r="BQ260" s="145">
        <f>BQ258+BQ259</f>
        <v>163796.96234</v>
      </c>
      <c r="BR260" s="145">
        <f>BR258+BR259</f>
        <v>212572.74614999996</v>
      </c>
      <c r="BS260" s="145">
        <f>BS258+BS259</f>
        <v>238383.37716999999</v>
      </c>
      <c r="BT260" s="145">
        <f>BT258+BT259</f>
        <v>0</v>
      </c>
      <c r="BU260" s="145">
        <f>BV260+BW260+BX260+BY260</f>
        <v>263398.30675000005</v>
      </c>
      <c r="BV260" s="145">
        <f>BV258+BV259</f>
        <v>51118.082119999999</v>
      </c>
      <c r="BW260" s="145">
        <f>BW258+BW259</f>
        <v>128148.25510000001</v>
      </c>
      <c r="BX260" s="145">
        <f>BX258+BX259</f>
        <v>84131.969530000017</v>
      </c>
      <c r="BY260" s="145">
        <f>BY258+BY259</f>
        <v>0</v>
      </c>
      <c r="BZ260" s="146">
        <f>CA260</f>
        <v>878151.39240999997</v>
      </c>
      <c r="CA260" s="145">
        <f>CB260+CC260+CD260+CE260</f>
        <v>878151.39240999997</v>
      </c>
      <c r="CB260" s="145">
        <f>CB258+CB259</f>
        <v>214915.04446</v>
      </c>
      <c r="CC260" s="145">
        <f>CC258+CC259</f>
        <v>340721.00124999997</v>
      </c>
      <c r="CD260" s="145">
        <f>CD258+CD259</f>
        <v>322515.34669999999</v>
      </c>
      <c r="CE260" s="145">
        <f>CE258+CE259</f>
        <v>0</v>
      </c>
      <c r="CF260" s="145">
        <f t="shared" si="478"/>
        <v>27692.504680000071</v>
      </c>
      <c r="CG260" s="145">
        <f t="shared" si="479"/>
        <v>0</v>
      </c>
      <c r="CH260" s="145">
        <f t="shared" si="480"/>
        <v>11349.830850000028</v>
      </c>
      <c r="CI260" s="22">
        <f t="shared" si="481"/>
        <v>16342.673830000043</v>
      </c>
      <c r="CJ260" s="22">
        <f>CJ258+CJ259</f>
        <v>0</v>
      </c>
      <c r="CK260" s="57"/>
      <c r="CL260" s="147">
        <f>CL258+CL259</f>
        <v>648165.69640000002</v>
      </c>
      <c r="CM260" s="147">
        <f>CM258+CM259</f>
        <v>636272.99639999983</v>
      </c>
      <c r="CN260" s="145">
        <f>CO260+CP260+CQ260+CR260</f>
        <v>0</v>
      </c>
      <c r="CO260" s="145">
        <f>CO258+CO259</f>
        <v>0</v>
      </c>
      <c r="CP260" s="145">
        <f>CP258+CP259</f>
        <v>0</v>
      </c>
      <c r="CQ260" s="145">
        <f>CQ258+CQ259</f>
        <v>0</v>
      </c>
      <c r="CR260" s="145">
        <f>CR258+CR259</f>
        <v>0</v>
      </c>
      <c r="CS260" s="145">
        <f>CT260+CU260+CV260+CW260</f>
        <v>0</v>
      </c>
      <c r="CT260" s="145">
        <f>CT258+CT259</f>
        <v>0</v>
      </c>
      <c r="CU260" s="145">
        <f>CU258+CU259</f>
        <v>0</v>
      </c>
      <c r="CV260" s="145">
        <f>CV258+CV259</f>
        <v>0</v>
      </c>
      <c r="CW260" s="145">
        <f>CW258+CW259</f>
        <v>0</v>
      </c>
      <c r="CX260" s="144">
        <f>CY260+CZ260+DA260+DB260</f>
        <v>0</v>
      </c>
      <c r="CY260" s="144">
        <f t="shared" ref="CY260:DF260" si="632">CY258+CY259</f>
        <v>0</v>
      </c>
      <c r="CZ260" s="144">
        <f t="shared" si="632"/>
        <v>0</v>
      </c>
      <c r="DA260" s="144">
        <f t="shared" si="632"/>
        <v>0</v>
      </c>
      <c r="DB260" s="144">
        <f t="shared" si="632"/>
        <v>0</v>
      </c>
      <c r="DC260" s="144">
        <f t="shared" si="632"/>
        <v>0</v>
      </c>
      <c r="DD260" s="144">
        <f t="shared" si="632"/>
        <v>0</v>
      </c>
      <c r="DE260" s="148">
        <f t="shared" si="632"/>
        <v>0</v>
      </c>
      <c r="DF260" s="149">
        <f t="shared" si="632"/>
        <v>27692.504680000013</v>
      </c>
      <c r="DG260" s="150"/>
      <c r="DH260" s="149">
        <f>DH258+DH259</f>
        <v>642445.59033999988</v>
      </c>
      <c r="DI260" s="149">
        <f>DI258+DI259</f>
        <v>614753.08565999998</v>
      </c>
      <c r="DK260" s="22">
        <f>DK258+DK259</f>
        <v>614753.08565999998</v>
      </c>
      <c r="DL260" s="22">
        <f>DL258+DL259</f>
        <v>27996.586680000019</v>
      </c>
      <c r="DN260" s="22">
        <f>DN258+DN259</f>
        <v>21519.910739999999</v>
      </c>
      <c r="DQ260" s="22">
        <f>DR260+DS260+DT260+DU260</f>
        <v>564140.20516999997</v>
      </c>
      <c r="DR260" s="22">
        <f>DR258+DR259</f>
        <v>150822.54138000001</v>
      </c>
      <c r="DS260" s="22">
        <f>DS258+DS259</f>
        <v>212572.74614999996</v>
      </c>
      <c r="DT260" s="22">
        <f>DT258+DT259</f>
        <v>200744.91764</v>
      </c>
      <c r="DU260" s="151">
        <f>DU258+DU259</f>
        <v>0</v>
      </c>
      <c r="DV260" s="22">
        <f>DW260+DX260+DY260+DZ260</f>
        <v>197719.40170999995</v>
      </c>
      <c r="DW260" s="22">
        <f>DW258+DW259</f>
        <v>55466.168699999995</v>
      </c>
      <c r="DX260" s="22">
        <f>DX258+DX259</f>
        <v>72908.370759999976</v>
      </c>
      <c r="DY260" s="22">
        <f>DY258+DY259</f>
        <v>69344.862249999991</v>
      </c>
      <c r="DZ260" s="22">
        <f>DZ258+DZ259</f>
        <v>0</v>
      </c>
      <c r="EA260" s="372"/>
      <c r="EB260" s="372"/>
      <c r="EC260" s="372"/>
      <c r="ED260" s="372"/>
      <c r="EE260" s="372"/>
      <c r="EF260" s="372"/>
      <c r="EG260" s="372"/>
      <c r="EH260" s="372"/>
      <c r="EI260" s="372"/>
      <c r="EJ260" s="372"/>
      <c r="EK260" s="372"/>
      <c r="EL260" s="372"/>
      <c r="EM260" s="372"/>
      <c r="EN260" s="372"/>
      <c r="EO260" s="372"/>
      <c r="EP260" s="372"/>
      <c r="EQ260" s="372"/>
      <c r="ER260" s="372"/>
      <c r="ES260" s="372"/>
      <c r="ET260" s="372"/>
      <c r="EU260" s="372"/>
      <c r="EV260" s="372"/>
      <c r="EW260" s="372"/>
      <c r="EX260" s="372"/>
      <c r="EY260" s="372"/>
      <c r="EZ260" s="372"/>
      <c r="FA260" s="372"/>
      <c r="FB260" s="372"/>
      <c r="FC260" s="372"/>
      <c r="FD260" s="372"/>
      <c r="FE260" s="372"/>
      <c r="FF260" s="372"/>
      <c r="FG260" s="372"/>
      <c r="FH260" s="372"/>
      <c r="FI260" s="372"/>
      <c r="FJ260" s="372"/>
      <c r="FK260" s="372"/>
      <c r="FL260" s="372"/>
      <c r="FM260" s="372"/>
      <c r="FN260" s="372"/>
      <c r="FO260" s="372"/>
      <c r="FP260" s="372"/>
      <c r="FQ260" s="372"/>
      <c r="FR260" s="372"/>
      <c r="FS260" s="372"/>
      <c r="FT260" s="372"/>
      <c r="FU260" s="372"/>
      <c r="FV260" s="372"/>
      <c r="FW260" s="372"/>
      <c r="FX260" s="372"/>
      <c r="FY260" s="372"/>
      <c r="FZ260" s="372"/>
      <c r="GA260" s="372"/>
      <c r="GB260" s="372"/>
      <c r="GC260" s="372"/>
      <c r="GD260" s="372"/>
      <c r="GE260" s="372"/>
      <c r="GF260" s="372"/>
      <c r="GG260" s="372"/>
      <c r="GH260" s="372"/>
      <c r="GI260" s="372"/>
      <c r="GJ260" s="372"/>
      <c r="GK260" s="372"/>
      <c r="GL260" s="372"/>
      <c r="GM260" s="372"/>
      <c r="GN260" s="372"/>
      <c r="GO260" s="372"/>
      <c r="GP260" s="372"/>
      <c r="GQ260" s="372"/>
      <c r="GR260" s="372"/>
    </row>
    <row r="261" spans="1:200" s="59" customFormat="1" ht="30" hidden="1" customHeight="1" thickTop="1" x14ac:dyDescent="0.3">
      <c r="B261" s="24"/>
      <c r="C261" s="141"/>
      <c r="D261" s="24"/>
      <c r="E261" s="142"/>
      <c r="F261" s="24"/>
      <c r="G261" s="141"/>
      <c r="H261" s="24"/>
      <c r="I261" s="24"/>
      <c r="J261" s="24"/>
      <c r="K261" s="24"/>
      <c r="L261" s="24"/>
      <c r="M261" s="152" t="s">
        <v>260</v>
      </c>
      <c r="N261" s="153" t="s">
        <v>249</v>
      </c>
      <c r="O261" s="153"/>
      <c r="P261" s="153"/>
      <c r="Q261" s="153"/>
      <c r="R261" s="153"/>
      <c r="S261" s="153"/>
      <c r="T261" s="153"/>
      <c r="U261" s="153"/>
      <c r="V261" s="26">
        <f>W261+X261+Y261+Z261</f>
        <v>0</v>
      </c>
      <c r="W261" s="26">
        <f>W10+W96+W116+W139+W153+W161+W179+W232</f>
        <v>0</v>
      </c>
      <c r="X261" s="26">
        <f>X10+X96+X116+X139+X153+X161+X179+X232</f>
        <v>0</v>
      </c>
      <c r="Y261" s="26">
        <f>Y10+Y96+Y116+Y139+Y153+Y161+Y179+Y232</f>
        <v>0</v>
      </c>
      <c r="Z261" s="21">
        <f>Z10+Z96+Z116+Z139+Z153+Z161+Z179+Z232</f>
        <v>0</v>
      </c>
      <c r="AA261" s="26">
        <f>AB261+AC261+AD261+AE261</f>
        <v>0</v>
      </c>
      <c r="AB261" s="26">
        <f>AB10+AB96+AB116+AB139+AB153+AB161+AB179+AB232</f>
        <v>0</v>
      </c>
      <c r="AC261" s="26">
        <f>AC10+AC96+AC116+AC139+AC153+AC161+AC179+AC232</f>
        <v>0</v>
      </c>
      <c r="AD261" s="26">
        <f>AD10+AD96+AD116+AD139+AD153+AD161+AD179+AD232</f>
        <v>0</v>
      </c>
      <c r="AE261" s="21">
        <f>AE10+AE96+AE116+AE139+AE153+AE161+AE179+AE232</f>
        <v>0</v>
      </c>
      <c r="AF261" s="26">
        <f>AG261+AH261+AI261+AJ261</f>
        <v>0</v>
      </c>
      <c r="AG261" s="26">
        <f>AG10+AG96+AG116+AG139+AG153+AG161+AG179+AG232</f>
        <v>0</v>
      </c>
      <c r="AH261" s="26">
        <f>AH10+AH96+AH116+AH139+AH153+AH161+AH179+AH232</f>
        <v>0</v>
      </c>
      <c r="AI261" s="26">
        <f>AI10+AI96+AI116+AI139+AI153+AI161+AI179+AI232</f>
        <v>0</v>
      </c>
      <c r="AJ261" s="21">
        <f>AJ10+AJ96+AJ116+AJ139+AJ153+AJ161+AJ179+AJ232</f>
        <v>0</v>
      </c>
      <c r="AK261" s="24">
        <f>AL261+AM261+AN261+AO261</f>
        <v>0</v>
      </c>
      <c r="AL261" s="26">
        <f>AL10+AL96+AL116+AL139+AL153+AL161+AL179+AL232</f>
        <v>0</v>
      </c>
      <c r="AM261" s="26">
        <f>AM10+AM96+AM116+AM139+AM153+AM161+AM179+AM232</f>
        <v>0</v>
      </c>
      <c r="AN261" s="26">
        <f>AN10+AN96+AN116+AN139+AN153+AN161+AN179+AN232</f>
        <v>0</v>
      </c>
      <c r="AO261" s="26">
        <f>AO10+AO96+AO116+AO139+AO153+AO161+AO179+AO232</f>
        <v>0</v>
      </c>
      <c r="AP261" s="26"/>
      <c r="AQ261" s="26">
        <f>AR261+AS261+AT261+AU261</f>
        <v>0</v>
      </c>
      <c r="AR261" s="26">
        <f>AR10+AR96+AR116+AR139+AR153+AR161+AR179+AR232</f>
        <v>0</v>
      </c>
      <c r="AS261" s="26">
        <f>AS10+AS96+AS116+AS139+AS153+AS161+AS179+AS232</f>
        <v>0</v>
      </c>
      <c r="AT261" s="26">
        <f>AT10+AT96+AT116+AT139+AT153+AT161+AT179+AT232</f>
        <v>0</v>
      </c>
      <c r="AU261" s="26">
        <f>AU10+AU96+AU116+AU139+AU153+AU161+AU179+AU232</f>
        <v>0</v>
      </c>
      <c r="AV261" s="21">
        <f t="shared" si="470"/>
        <v>0</v>
      </c>
      <c r="AW261" s="21">
        <f t="shared" si="471"/>
        <v>0</v>
      </c>
      <c r="AX261" s="21">
        <f t="shared" si="472"/>
        <v>0</v>
      </c>
      <c r="AY261" s="21">
        <f t="shared" si="473"/>
        <v>0</v>
      </c>
      <c r="AZ261" s="21" t="e">
        <f>AZ10+AZ96+AZ116+AZ139+AZ153+AZ161+AZ179+AZ232</f>
        <v>#REF!</v>
      </c>
      <c r="BA261" s="26">
        <f>BB261+BC261+BD261+BE261</f>
        <v>0</v>
      </c>
      <c r="BB261" s="26">
        <f>BB10+BB96+BB116+BB139+BB153+BB161+BB179+BB232</f>
        <v>0</v>
      </c>
      <c r="BC261" s="26">
        <f>BC10+BC96+BC116+BC139+BC153+BC161+BC179+BC232</f>
        <v>0</v>
      </c>
      <c r="BD261" s="26">
        <f>BD10+BD96+BD116+BD139+BD153+BD161+BD179+BD232</f>
        <v>0</v>
      </c>
      <c r="BE261" s="26">
        <f>BE10+BE96+BE116+BE139+BE153+BE161+BE179+BE232</f>
        <v>0</v>
      </c>
      <c r="BF261" s="26">
        <f>BG261+BH261+BI261+BJ261</f>
        <v>0</v>
      </c>
      <c r="BG261" s="26">
        <f>BG10+BG96+BG116+BG139+BG153+BG161+BG179+BG232</f>
        <v>0</v>
      </c>
      <c r="BH261" s="26">
        <f>BH10+BH96+BH116+BH139+BH153+BH161+BH179+BH232</f>
        <v>0</v>
      </c>
      <c r="BI261" s="26">
        <f>BI10+BI96+BI116+BI139+BI153+BI161+BI179+BI232</f>
        <v>0</v>
      </c>
      <c r="BJ261" s="26">
        <f>BJ10+BJ96+BJ116+BJ139+BJ153+BJ161+BJ179+BJ232</f>
        <v>0</v>
      </c>
      <c r="BK261" s="26">
        <f>BL261+BM261+BN261+BO261</f>
        <v>0</v>
      </c>
      <c r="BL261" s="26">
        <f>BL10+BL96+BL116+BL139+BL153+BL161+BL179+BL232</f>
        <v>0</v>
      </c>
      <c r="BM261" s="26">
        <f>BM10+BM96+BM116+BM139+BM153+BM161+BM179+BM232</f>
        <v>0</v>
      </c>
      <c r="BN261" s="26">
        <f>BN10+BN96+BN116+BN139+BN153+BN161+BN179+BN232</f>
        <v>0</v>
      </c>
      <c r="BO261" s="26">
        <f>BO10+BO96+BO116+BO139+BO153+BO161+BO179+BO232</f>
        <v>0</v>
      </c>
      <c r="BP261" s="26">
        <f>BQ261+BR261+BS261+BT261</f>
        <v>0</v>
      </c>
      <c r="BQ261" s="26">
        <f>BQ10+BQ96+BQ116+BQ139+BQ153+BQ161+BQ179+BQ232</f>
        <v>0</v>
      </c>
      <c r="BR261" s="26">
        <f>BR10+BR96+BR116+BR139+BR153+BR161+BR179+BR232</f>
        <v>0</v>
      </c>
      <c r="BS261" s="26">
        <f>BS10+BS96+BS116+BS139+BS153+BS161+BS179+BS232</f>
        <v>0</v>
      </c>
      <c r="BT261" s="26">
        <f>BT10+BT96+BT116+BT139+BT153+BT161+BT179+BT232</f>
        <v>0</v>
      </c>
      <c r="BU261" s="26">
        <f>BV261+BW261+BX261+BY261</f>
        <v>0</v>
      </c>
      <c r="BV261" s="26">
        <f>BV10+BV96+BV116+BV139+BV153+BV161+BV179+BV232</f>
        <v>0</v>
      </c>
      <c r="BW261" s="26">
        <f>BW10+BW96+BW116+BW139+BW153+BW161+BW179+BW232</f>
        <v>0</v>
      </c>
      <c r="BX261" s="26">
        <f>BX10+BX96+BX116+BX139+BX153+BX161+BX179+BX232</f>
        <v>0</v>
      </c>
      <c r="BY261" s="154">
        <f>BY10+BY96+BY116+BY139+BY153+BY161+BY179+BY232</f>
        <v>0</v>
      </c>
      <c r="BZ261" s="26">
        <f>CA261</f>
        <v>0</v>
      </c>
      <c r="CA261" s="26">
        <f>CB261+CC261+CD261+CE261</f>
        <v>0</v>
      </c>
      <c r="CB261" s="26">
        <f>CB10+CB96+CB116+CB139+CB153+CB161+CB179+CB232</f>
        <v>0</v>
      </c>
      <c r="CC261" s="26">
        <f>CC10+CC96+CC116+CC139+CC153+CC161+CC179+CC232</f>
        <v>0</v>
      </c>
      <c r="CD261" s="26">
        <f>CD10+CD96+CD116+CD139+CD153+CD161+CD179+CD232</f>
        <v>0</v>
      </c>
      <c r="CE261" s="154">
        <f>CE10+CE96+CE116+CE139+CE153+CE161+CE179+CE232</f>
        <v>0</v>
      </c>
      <c r="CF261" s="26">
        <f t="shared" si="478"/>
        <v>0</v>
      </c>
      <c r="CG261" s="26">
        <f t="shared" si="479"/>
        <v>0</v>
      </c>
      <c r="CH261" s="26">
        <f t="shared" si="480"/>
        <v>0</v>
      </c>
      <c r="CI261" s="21">
        <f t="shared" si="481"/>
        <v>0</v>
      </c>
      <c r="CJ261" s="155">
        <f>CJ10+CJ96+CJ116+CJ139+CJ153+CJ161+CJ179+CJ232</f>
        <v>0</v>
      </c>
      <c r="CK261" s="57"/>
      <c r="CL261" s="156">
        <f>CL10+CL22+CL41+CL59+CL81+CL96+CL116+CL130+CL139+CL153+CL161+CL179+CL197+CL205+CL222+CL232+CL244</f>
        <v>0</v>
      </c>
      <c r="CM261" s="156">
        <f>CM10+CM22+CM41+CM59+CM81+CM96+CM116+CM130+CM139+CM153+CM161+CM179+CM197+CM205+CM222+CM232+CM244</f>
        <v>0</v>
      </c>
      <c r="CN261" s="26">
        <f>CO261+CP261+CQ261+CR261</f>
        <v>0</v>
      </c>
      <c r="CO261" s="26">
        <f>CO10+CO96+CO116+CO139+CO153+CO161+CO179+CO232</f>
        <v>0</v>
      </c>
      <c r="CP261" s="26">
        <f>CP10+CP96+CP116+CP139+CP153+CP161+CP179+CP232</f>
        <v>0</v>
      </c>
      <c r="CQ261" s="26">
        <f>CQ10+CQ96+CQ116+CQ139+CQ153+CQ161+CQ179+CQ232</f>
        <v>0</v>
      </c>
      <c r="CR261" s="26">
        <f>CR10+CR96+CR116+CR139+CR153+CR161+CR179+CR232</f>
        <v>0</v>
      </c>
      <c r="CS261" s="26">
        <f>CT261+CU261+CV261+CW261</f>
        <v>0</v>
      </c>
      <c r="CT261" s="26">
        <f>CT10+CT96+CT116+CT139+CT153+CT161+CT179+CT232</f>
        <v>0</v>
      </c>
      <c r="CU261" s="26">
        <f>CU10+CU96+CU116+CU139+CU153+CU161+CU179+CU232</f>
        <v>0</v>
      </c>
      <c r="CV261" s="26">
        <f>CV10+CV96+CV116+CV139+CV153+CV161+CV179+CV232</f>
        <v>0</v>
      </c>
      <c r="CW261" s="26">
        <f>CW10+CW96+CW116+CW139+CW153+CW161+CW179+CW232</f>
        <v>0</v>
      </c>
      <c r="CX261" s="26">
        <f>CY261+CZ261+DA261+DB261</f>
        <v>0</v>
      </c>
      <c r="CY261" s="26">
        <f t="shared" ref="CY261:DF261" si="633">CY10+CY22+CY41+CY59+CY81+CY96+CY116+CY130+CY139+CY153+CY161+CY179+CY197+CY205+CY222+CY232+CY244</f>
        <v>0</v>
      </c>
      <c r="CZ261" s="26">
        <f t="shared" si="633"/>
        <v>0</v>
      </c>
      <c r="DA261" s="26">
        <f t="shared" si="633"/>
        <v>0</v>
      </c>
      <c r="DB261" s="26">
        <f t="shared" si="633"/>
        <v>0</v>
      </c>
      <c r="DC261" s="26">
        <f t="shared" si="633"/>
        <v>0</v>
      </c>
      <c r="DD261" s="26">
        <f t="shared" si="633"/>
        <v>0</v>
      </c>
      <c r="DE261" s="141">
        <f t="shared" si="633"/>
        <v>0</v>
      </c>
      <c r="DF261" s="26">
        <f t="shared" si="633"/>
        <v>0</v>
      </c>
      <c r="DG261" s="57"/>
      <c r="DH261" s="26">
        <f>DH10+DH22+DH41+DH59+DH81+DH96+DH116+DH130+DH139+DH153+DH161+DH179+DH197+DH205+DH222+DH232+DH244</f>
        <v>0</v>
      </c>
      <c r="DI261" s="26">
        <f>DI10+DI22+DI41+DI59+DI81+DI96+DI116+DI130+DI139+DI153+DI161+DI179+DI197+DI205+DI222+DI232+DI244</f>
        <v>0</v>
      </c>
      <c r="DK261" s="155"/>
      <c r="DL261" s="155"/>
      <c r="DN261" s="155"/>
      <c r="DQ261" s="155"/>
      <c r="DR261" s="155"/>
      <c r="DS261" s="155"/>
      <c r="DT261" s="155"/>
      <c r="DU261" s="157"/>
      <c r="DV261" s="155"/>
      <c r="DW261" s="155"/>
      <c r="DX261" s="155"/>
      <c r="DY261" s="155"/>
      <c r="DZ261" s="155"/>
      <c r="EA261" s="372"/>
      <c r="EB261" s="372"/>
      <c r="EC261" s="372"/>
      <c r="ED261" s="372"/>
      <c r="EE261" s="372"/>
      <c r="EF261" s="372"/>
      <c r="EG261" s="372"/>
      <c r="EH261" s="372"/>
      <c r="EI261" s="372"/>
      <c r="EJ261" s="372"/>
      <c r="EK261" s="372"/>
      <c r="EL261" s="372"/>
      <c r="EM261" s="372"/>
      <c r="EN261" s="372"/>
      <c r="EO261" s="372"/>
      <c r="EP261" s="372"/>
      <c r="EQ261" s="372"/>
      <c r="ER261" s="372"/>
      <c r="ES261" s="372"/>
      <c r="ET261" s="372"/>
      <c r="EU261" s="372"/>
      <c r="EV261" s="372"/>
      <c r="EW261" s="372"/>
      <c r="EX261" s="372"/>
      <c r="EY261" s="372"/>
      <c r="EZ261" s="372"/>
      <c r="FA261" s="372"/>
      <c r="FB261" s="372"/>
      <c r="FC261" s="372"/>
      <c r="FD261" s="372"/>
      <c r="FE261" s="372"/>
      <c r="FF261" s="372"/>
      <c r="FG261" s="372"/>
      <c r="FH261" s="372"/>
      <c r="FI261" s="372"/>
      <c r="FJ261" s="372"/>
      <c r="FK261" s="372"/>
      <c r="FL261" s="372"/>
      <c r="FM261" s="372"/>
      <c r="FN261" s="372"/>
      <c r="FO261" s="372"/>
      <c r="FP261" s="372"/>
      <c r="FQ261" s="372"/>
      <c r="FR261" s="372"/>
      <c r="FS261" s="372"/>
      <c r="FT261" s="372"/>
      <c r="FU261" s="372"/>
      <c r="FV261" s="372"/>
      <c r="FW261" s="372"/>
      <c r="FX261" s="372"/>
      <c r="FY261" s="372"/>
      <c r="FZ261" s="372"/>
      <c r="GA261" s="372"/>
      <c r="GB261" s="372"/>
      <c r="GC261" s="372"/>
      <c r="GD261" s="372"/>
      <c r="GE261" s="372"/>
      <c r="GF261" s="372"/>
      <c r="GG261" s="372"/>
      <c r="GH261" s="372"/>
      <c r="GI261" s="372"/>
      <c r="GJ261" s="372"/>
      <c r="GK261" s="372"/>
      <c r="GL261" s="372"/>
      <c r="GM261" s="372"/>
      <c r="GN261" s="372"/>
      <c r="GO261" s="372"/>
      <c r="GP261" s="372"/>
      <c r="GQ261" s="372"/>
      <c r="GR261" s="372"/>
    </row>
    <row r="262" spans="1:200" s="59" customFormat="1" ht="15.75" hidden="1" customHeight="1" thickBot="1" x14ac:dyDescent="0.35">
      <c r="B262" s="24"/>
      <c r="C262" s="141"/>
      <c r="D262" s="24"/>
      <c r="E262" s="142"/>
      <c r="F262" s="24"/>
      <c r="G262" s="141"/>
      <c r="H262" s="24"/>
      <c r="I262" s="24"/>
      <c r="J262" s="24"/>
      <c r="K262" s="24"/>
      <c r="L262" s="24"/>
      <c r="M262" s="142" t="s">
        <v>261</v>
      </c>
      <c r="N262" s="315" t="s">
        <v>257</v>
      </c>
      <c r="O262" s="50"/>
      <c r="P262" s="50"/>
      <c r="Q262" s="50"/>
      <c r="R262" s="50"/>
      <c r="S262" s="50"/>
      <c r="T262" s="50"/>
      <c r="U262" s="50"/>
      <c r="V262" s="21">
        <f>W262+X262+Y262+Z262</f>
        <v>719439.62599999993</v>
      </c>
      <c r="W262" s="21">
        <f>W260-W261</f>
        <v>240790.99799999999</v>
      </c>
      <c r="X262" s="21">
        <f>X260-X261</f>
        <v>223922.57699999999</v>
      </c>
      <c r="Y262" s="21">
        <f>Y260-Y261</f>
        <v>254726.05100000004</v>
      </c>
      <c r="Z262" s="21">
        <f>Z260-Z261</f>
        <v>0</v>
      </c>
      <c r="AA262" s="21">
        <f>AB262+AC262+AD262+AE262</f>
        <v>725517.049</v>
      </c>
      <c r="AB262" s="21">
        <f>AB260-AB261</f>
        <v>240790.99799999999</v>
      </c>
      <c r="AC262" s="21">
        <f>AC260-AC261</f>
        <v>230000.00000000003</v>
      </c>
      <c r="AD262" s="21">
        <f>AD260-AD261</f>
        <v>254726.05099999998</v>
      </c>
      <c r="AE262" s="21">
        <f>AE260-AE261</f>
        <v>0</v>
      </c>
      <c r="AF262" s="21">
        <f>AG262+AH262+AI262+AJ262</f>
        <v>725517.049</v>
      </c>
      <c r="AG262" s="21">
        <f>AG260-AG261</f>
        <v>240790.99800000002</v>
      </c>
      <c r="AH262" s="21">
        <f>AH260-AH261</f>
        <v>230000.00000000003</v>
      </c>
      <c r="AI262" s="21">
        <f>AI260-AI261</f>
        <v>254726.05100000001</v>
      </c>
      <c r="AJ262" s="21">
        <f>AJ260-AJ261</f>
        <v>0</v>
      </c>
      <c r="AK262" s="25">
        <f>AL262+AM262+AN262+AO262</f>
        <v>434246.40000000002</v>
      </c>
      <c r="AL262" s="21">
        <f>AL260-AL261</f>
        <v>172677.7</v>
      </c>
      <c r="AM262" s="21">
        <f>AM260-AM261</f>
        <v>100000</v>
      </c>
      <c r="AN262" s="21">
        <f>AN260-AN261</f>
        <v>161568.70000000001</v>
      </c>
      <c r="AO262" s="21">
        <f>AO260-AO261</f>
        <v>0</v>
      </c>
      <c r="AP262" s="21"/>
      <c r="AQ262" s="21">
        <f>AR262+AS262+AT262+AU262</f>
        <v>719439.62599999993</v>
      </c>
      <c r="AR262" s="21">
        <f>AR260-AR261</f>
        <v>240790.99799999999</v>
      </c>
      <c r="AS262" s="21">
        <f>AS260-AS261</f>
        <v>223922.57699999999</v>
      </c>
      <c r="AT262" s="21">
        <f>AT260-AT261</f>
        <v>254726.05100000004</v>
      </c>
      <c r="AU262" s="21">
        <f>AU260-AU261</f>
        <v>0</v>
      </c>
      <c r="AV262" s="21">
        <f t="shared" si="470"/>
        <v>0</v>
      </c>
      <c r="AW262" s="21">
        <f t="shared" si="471"/>
        <v>0</v>
      </c>
      <c r="AX262" s="21">
        <f t="shared" si="472"/>
        <v>0</v>
      </c>
      <c r="AY262" s="21">
        <f t="shared" si="473"/>
        <v>0</v>
      </c>
      <c r="AZ262" s="21" t="e">
        <f>AZ260-AZ261</f>
        <v>#REF!</v>
      </c>
      <c r="BA262" s="21">
        <f>BB262+BC262+BD262+BE262</f>
        <v>642445.59034000011</v>
      </c>
      <c r="BB262" s="21">
        <f>BB260-BB261</f>
        <v>163796.96234</v>
      </c>
      <c r="BC262" s="21">
        <f>BC260-BC261</f>
        <v>223922.57699999999</v>
      </c>
      <c r="BD262" s="21">
        <f>BD260-BD261</f>
        <v>254726.05100000004</v>
      </c>
      <c r="BE262" s="21">
        <f>BE260-BE261</f>
        <v>0</v>
      </c>
      <c r="BF262" s="21">
        <f>BG262+BH262+BI262+BJ262</f>
        <v>0</v>
      </c>
      <c r="BG262" s="21">
        <f>BG260-BG261</f>
        <v>0</v>
      </c>
      <c r="BH262" s="21">
        <f>BH260-BH261</f>
        <v>0</v>
      </c>
      <c r="BI262" s="21">
        <f>BI260-BI261</f>
        <v>0</v>
      </c>
      <c r="BJ262" s="21">
        <f>BJ260-BJ261</f>
        <v>0</v>
      </c>
      <c r="BK262" s="21">
        <f>BL262+BM262+BN262+BO262</f>
        <v>642445.59034000011</v>
      </c>
      <c r="BL262" s="21">
        <f>BL260-BL261</f>
        <v>163796.96234</v>
      </c>
      <c r="BM262" s="21">
        <f>BM260-BM261</f>
        <v>223922.57699999999</v>
      </c>
      <c r="BN262" s="21">
        <f>BN260-BN261</f>
        <v>254726.05100000004</v>
      </c>
      <c r="BO262" s="21">
        <f>BO260-BO261</f>
        <v>0</v>
      </c>
      <c r="BP262" s="21">
        <f>BQ262+BR262+BS262+BT262</f>
        <v>614753.08565999998</v>
      </c>
      <c r="BQ262" s="21">
        <f>BQ260-BQ261</f>
        <v>163796.96234</v>
      </c>
      <c r="BR262" s="21">
        <f>BR260-BR261</f>
        <v>212572.74614999996</v>
      </c>
      <c r="BS262" s="21">
        <f>BS260-BS261</f>
        <v>238383.37716999999</v>
      </c>
      <c r="BT262" s="21">
        <f>BT260-BT261</f>
        <v>0</v>
      </c>
      <c r="BU262" s="21">
        <f>BV262+BW262+BX262+BY262</f>
        <v>263398.30675000005</v>
      </c>
      <c r="BV262" s="21">
        <f>BV260-BV261</f>
        <v>51118.082119999999</v>
      </c>
      <c r="BW262" s="21">
        <f>BW260-BW261</f>
        <v>128148.25510000001</v>
      </c>
      <c r="BX262" s="21">
        <f>BX260-BX261</f>
        <v>84131.969530000017</v>
      </c>
      <c r="BY262" s="54">
        <f>BY260-BY261</f>
        <v>0</v>
      </c>
      <c r="BZ262" s="21">
        <f>CA262</f>
        <v>878151.39240999997</v>
      </c>
      <c r="CA262" s="21">
        <f>CB262+CC262+CD262+CE262</f>
        <v>878151.39240999997</v>
      </c>
      <c r="CB262" s="21">
        <f>CB260-CB261</f>
        <v>214915.04446</v>
      </c>
      <c r="CC262" s="21">
        <f>CC260-CC261</f>
        <v>340721.00124999997</v>
      </c>
      <c r="CD262" s="21">
        <f>CD260-CD261</f>
        <v>322515.34669999999</v>
      </c>
      <c r="CE262" s="54">
        <f>CE260-CE261</f>
        <v>0</v>
      </c>
      <c r="CF262" s="21">
        <f t="shared" si="478"/>
        <v>27692.504680000071</v>
      </c>
      <c r="CG262" s="21">
        <f t="shared" si="479"/>
        <v>0</v>
      </c>
      <c r="CH262" s="21">
        <f t="shared" si="480"/>
        <v>11349.830850000028</v>
      </c>
      <c r="CI262" s="21">
        <f t="shared" si="481"/>
        <v>16342.673830000043</v>
      </c>
      <c r="CJ262" s="155">
        <f>CJ260-CJ261</f>
        <v>0</v>
      </c>
      <c r="CK262" s="57"/>
      <c r="CL262" s="158">
        <f>CL260-CL261</f>
        <v>648165.69640000002</v>
      </c>
      <c r="CM262" s="158">
        <f>CM260-CM261</f>
        <v>636272.99639999983</v>
      </c>
      <c r="CN262" s="21">
        <f>CO262+CP262+CQ262+CR262</f>
        <v>0</v>
      </c>
      <c r="CO262" s="21">
        <f>CO260-CO261</f>
        <v>0</v>
      </c>
      <c r="CP262" s="21">
        <f>CP260-CP261</f>
        <v>0</v>
      </c>
      <c r="CQ262" s="21">
        <f>CQ260-CQ261</f>
        <v>0</v>
      </c>
      <c r="CR262" s="21">
        <f>CR260-CR261</f>
        <v>0</v>
      </c>
      <c r="CS262" s="21">
        <f>CT262+CU262+CV262+CW262</f>
        <v>0</v>
      </c>
      <c r="CT262" s="21">
        <f>CT260-CT261</f>
        <v>0</v>
      </c>
      <c r="CU262" s="21">
        <f>CU260-CU261</f>
        <v>0</v>
      </c>
      <c r="CV262" s="21">
        <f>CV260-CV261</f>
        <v>0</v>
      </c>
      <c r="CW262" s="21">
        <f>CW260-CW261</f>
        <v>0</v>
      </c>
      <c r="CX262" s="21">
        <f>CY262+CZ262+DA262+DB262</f>
        <v>0</v>
      </c>
      <c r="CY262" s="21">
        <f t="shared" ref="CY262:DF262" si="634">CY260-CY261</f>
        <v>0</v>
      </c>
      <c r="CZ262" s="21">
        <f t="shared" si="634"/>
        <v>0</v>
      </c>
      <c r="DA262" s="21">
        <f t="shared" si="634"/>
        <v>0</v>
      </c>
      <c r="DB262" s="21">
        <f t="shared" si="634"/>
        <v>0</v>
      </c>
      <c r="DC262" s="21">
        <f t="shared" si="634"/>
        <v>0</v>
      </c>
      <c r="DD262" s="21">
        <f t="shared" si="634"/>
        <v>0</v>
      </c>
      <c r="DE262" s="159">
        <f t="shared" si="634"/>
        <v>0</v>
      </c>
      <c r="DF262" s="21">
        <f t="shared" si="634"/>
        <v>27692.504680000013</v>
      </c>
      <c r="DG262" s="57"/>
      <c r="DH262" s="21">
        <f>DH260-DH261</f>
        <v>642445.59033999988</v>
      </c>
      <c r="DI262" s="21">
        <f>DI260-DI261</f>
        <v>614753.08565999998</v>
      </c>
      <c r="DK262" s="155"/>
      <c r="DL262" s="155"/>
      <c r="DN262" s="155"/>
      <c r="DQ262" s="155"/>
      <c r="DR262" s="155"/>
      <c r="DS262" s="155"/>
      <c r="DT262" s="155"/>
      <c r="DU262" s="157"/>
      <c r="DV262" s="155"/>
      <c r="DW262" s="155"/>
      <c r="DX262" s="155"/>
      <c r="DY262" s="155"/>
      <c r="DZ262" s="155"/>
      <c r="EA262" s="372"/>
      <c r="EB262" s="372"/>
      <c r="EC262" s="372"/>
      <c r="ED262" s="372"/>
      <c r="EE262" s="372"/>
      <c r="EF262" s="372"/>
      <c r="EG262" s="372"/>
      <c r="EH262" s="372"/>
      <c r="EI262" s="372"/>
      <c r="EJ262" s="372"/>
      <c r="EK262" s="372"/>
      <c r="EL262" s="372"/>
      <c r="EM262" s="372"/>
      <c r="EN262" s="372"/>
      <c r="EO262" s="372"/>
      <c r="EP262" s="372"/>
      <c r="EQ262" s="372"/>
      <c r="ER262" s="372"/>
      <c r="ES262" s="372"/>
      <c r="ET262" s="372"/>
      <c r="EU262" s="372"/>
      <c r="EV262" s="372"/>
      <c r="EW262" s="372"/>
      <c r="EX262" s="372"/>
      <c r="EY262" s="372"/>
      <c r="EZ262" s="372"/>
      <c r="FA262" s="372"/>
      <c r="FB262" s="372"/>
      <c r="FC262" s="372"/>
      <c r="FD262" s="372"/>
      <c r="FE262" s="372"/>
      <c r="FF262" s="372"/>
      <c r="FG262" s="372"/>
      <c r="FH262" s="372"/>
      <c r="FI262" s="372"/>
      <c r="FJ262" s="372"/>
      <c r="FK262" s="372"/>
      <c r="FL262" s="372"/>
      <c r="FM262" s="372"/>
      <c r="FN262" s="372"/>
      <c r="FO262" s="372"/>
      <c r="FP262" s="372"/>
      <c r="FQ262" s="372"/>
      <c r="FR262" s="372"/>
      <c r="FS262" s="372"/>
      <c r="FT262" s="372"/>
      <c r="FU262" s="372"/>
      <c r="FV262" s="372"/>
      <c r="FW262" s="372"/>
      <c r="FX262" s="372"/>
      <c r="FY262" s="372"/>
      <c r="FZ262" s="372"/>
      <c r="GA262" s="372"/>
      <c r="GB262" s="372"/>
      <c r="GC262" s="372"/>
      <c r="GD262" s="372"/>
      <c r="GE262" s="372"/>
      <c r="GF262" s="372"/>
      <c r="GG262" s="372"/>
      <c r="GH262" s="372"/>
      <c r="GI262" s="372"/>
      <c r="GJ262" s="372"/>
      <c r="GK262" s="372"/>
      <c r="GL262" s="372"/>
      <c r="GM262" s="372"/>
      <c r="GN262" s="372"/>
      <c r="GO262" s="372"/>
      <c r="GP262" s="372"/>
      <c r="GQ262" s="372"/>
      <c r="GR262" s="372"/>
    </row>
    <row r="263" spans="1:200" s="164" customFormat="1" ht="10.5" hidden="1" customHeight="1" thickTop="1" x14ac:dyDescent="0.25">
      <c r="B263" s="121"/>
      <c r="C263" s="122"/>
      <c r="D263" s="121"/>
      <c r="E263" s="160"/>
      <c r="F263" s="121"/>
      <c r="G263" s="122"/>
      <c r="H263" s="121"/>
      <c r="I263" s="121"/>
      <c r="J263" s="121"/>
      <c r="K263" s="121"/>
      <c r="L263" s="121"/>
      <c r="M263" s="443" t="s">
        <v>254</v>
      </c>
      <c r="N263" s="444"/>
      <c r="O263" s="161"/>
      <c r="P263" s="161"/>
      <c r="Q263" s="161"/>
      <c r="R263" s="161"/>
      <c r="S263" s="161"/>
      <c r="T263" s="161"/>
      <c r="U263" s="124"/>
      <c r="V263" s="124">
        <v>0</v>
      </c>
      <c r="W263" s="124">
        <v>0</v>
      </c>
      <c r="X263" s="124"/>
      <c r="Y263" s="124"/>
      <c r="Z263" s="124"/>
      <c r="AA263" s="124">
        <v>0</v>
      </c>
      <c r="AB263" s="124">
        <v>0</v>
      </c>
      <c r="AC263" s="124"/>
      <c r="AD263" s="124"/>
      <c r="AE263" s="124"/>
      <c r="AF263" s="124">
        <f>AG263</f>
        <v>97565.494999999995</v>
      </c>
      <c r="AG263" s="124">
        <f>42565.495+55000</f>
        <v>97565.494999999995</v>
      </c>
      <c r="AH263" s="124"/>
      <c r="AI263" s="124"/>
      <c r="AJ263" s="124"/>
      <c r="AK263" s="132">
        <f>AL263</f>
        <v>0</v>
      </c>
      <c r="AL263" s="124"/>
      <c r="AM263" s="124"/>
      <c r="AN263" s="124"/>
      <c r="AO263" s="124"/>
      <c r="AP263" s="124"/>
      <c r="AQ263" s="124">
        <f>AR263</f>
        <v>0</v>
      </c>
      <c r="AR263" s="124"/>
      <c r="AS263" s="160"/>
      <c r="AT263" s="160"/>
      <c r="AU263" s="160"/>
      <c r="AV263" s="160">
        <f t="shared" ref="AV263:AV294" si="635">AW263+AX263+AY263</f>
        <v>0</v>
      </c>
      <c r="AW263" s="160">
        <f t="shared" ref="AW263:AW294" si="636">W263-AR263</f>
        <v>0</v>
      </c>
      <c r="AX263" s="160">
        <f t="shared" ref="AX263:AX294" si="637">X263-AS263</f>
        <v>0</v>
      </c>
      <c r="AY263" s="160">
        <f t="shared" ref="AY263:AY294" si="638">Y263-AT263</f>
        <v>0</v>
      </c>
      <c r="AZ263" s="160"/>
      <c r="BA263" s="124">
        <f>BB263</f>
        <v>0</v>
      </c>
      <c r="BB263" s="124"/>
      <c r="BC263" s="160"/>
      <c r="BD263" s="160"/>
      <c r="BE263" s="160"/>
      <c r="BF263" s="124">
        <f>BG263</f>
        <v>0</v>
      </c>
      <c r="BG263" s="124"/>
      <c r="BH263" s="160"/>
      <c r="BI263" s="160"/>
      <c r="BJ263" s="160"/>
      <c r="BK263" s="124">
        <f>BL263</f>
        <v>0</v>
      </c>
      <c r="BL263" s="124"/>
      <c r="BM263" s="160"/>
      <c r="BN263" s="160"/>
      <c r="BO263" s="160"/>
      <c r="BP263" s="124">
        <f>BQ263</f>
        <v>0</v>
      </c>
      <c r="BQ263" s="124"/>
      <c r="BR263" s="160"/>
      <c r="BS263" s="160"/>
      <c r="BT263" s="160"/>
      <c r="BU263" s="162">
        <f>BV263</f>
        <v>0</v>
      </c>
      <c r="BV263" s="160"/>
      <c r="BW263" s="160"/>
      <c r="BX263" s="160"/>
      <c r="BY263" s="160"/>
      <c r="BZ263" s="124">
        <f t="shared" ref="BZ263:BZ318" si="639">CA263</f>
        <v>0</v>
      </c>
      <c r="CA263" s="160">
        <f>CB263</f>
        <v>0</v>
      </c>
      <c r="CB263" s="160"/>
      <c r="CC263" s="160"/>
      <c r="CD263" s="160"/>
      <c r="CE263" s="160"/>
      <c r="CF263" s="124">
        <f t="shared" ref="CF263:CF326" si="640">CG263+CH263+CI263</f>
        <v>0</v>
      </c>
      <c r="CG263" s="160">
        <f t="shared" ref="CG263:CG326" si="641">BL263-BQ263</f>
        <v>0</v>
      </c>
      <c r="CH263" s="160">
        <f t="shared" ref="CH263:CH326" si="642">BM263-BR263</f>
        <v>0</v>
      </c>
      <c r="CI263" s="160">
        <f t="shared" ref="CI263:CI326" si="643">BN263-BS263</f>
        <v>0</v>
      </c>
      <c r="CJ263" s="160"/>
      <c r="CK263" s="163"/>
      <c r="CN263" s="124">
        <f>CO263</f>
        <v>0</v>
      </c>
      <c r="CO263" s="124"/>
      <c r="CP263" s="160"/>
      <c r="CQ263" s="160"/>
      <c r="CR263" s="160"/>
      <c r="CS263" s="124"/>
      <c r="CT263" s="124"/>
      <c r="CU263" s="160"/>
      <c r="CV263" s="160"/>
      <c r="CW263" s="160"/>
      <c r="DF263" s="165" t="s">
        <v>305</v>
      </c>
      <c r="DG263" s="163"/>
      <c r="DH263" s="163"/>
      <c r="DI263" s="166"/>
      <c r="DK263" s="164">
        <f>DI263</f>
        <v>0</v>
      </c>
      <c r="DL263" s="160"/>
      <c r="DN263" s="160"/>
      <c r="DQ263" s="160">
        <f>DR263</f>
        <v>0</v>
      </c>
      <c r="DR263" s="160"/>
      <c r="DS263" s="160"/>
      <c r="DT263" s="160"/>
      <c r="DU263" s="167"/>
      <c r="DV263" s="160">
        <f>DW263</f>
        <v>0</v>
      </c>
      <c r="DW263" s="160"/>
      <c r="DX263" s="160"/>
      <c r="DY263" s="160"/>
      <c r="DZ263" s="160"/>
      <c r="EA263" s="377"/>
      <c r="EB263" s="377"/>
      <c r="EC263" s="377"/>
      <c r="ED263" s="377"/>
      <c r="EE263" s="377"/>
      <c r="EF263" s="377"/>
      <c r="EG263" s="377"/>
      <c r="EH263" s="377"/>
      <c r="EI263" s="377"/>
      <c r="EJ263" s="377"/>
      <c r="EK263" s="377"/>
      <c r="EL263" s="377"/>
      <c r="EM263" s="377"/>
      <c r="EN263" s="377"/>
      <c r="EO263" s="377"/>
      <c r="EP263" s="377"/>
      <c r="EQ263" s="377"/>
      <c r="ER263" s="377"/>
      <c r="ES263" s="377"/>
      <c r="ET263" s="377"/>
      <c r="EU263" s="377"/>
      <c r="EV263" s="377"/>
      <c r="EW263" s="377"/>
      <c r="EX263" s="377"/>
      <c r="EY263" s="377"/>
      <c r="EZ263" s="377"/>
      <c r="FA263" s="377"/>
      <c r="FB263" s="377"/>
      <c r="FC263" s="377"/>
      <c r="FD263" s="377"/>
      <c r="FE263" s="377"/>
      <c r="FF263" s="377"/>
      <c r="FG263" s="377"/>
      <c r="FH263" s="377"/>
      <c r="FI263" s="377"/>
      <c r="FJ263" s="377"/>
      <c r="FK263" s="377"/>
      <c r="FL263" s="377"/>
      <c r="FM263" s="377"/>
      <c r="FN263" s="377"/>
      <c r="FO263" s="377"/>
      <c r="FP263" s="377"/>
      <c r="FQ263" s="377"/>
      <c r="FR263" s="377"/>
      <c r="FS263" s="377"/>
      <c r="FT263" s="377"/>
      <c r="FU263" s="377"/>
      <c r="FV263" s="377"/>
      <c r="FW263" s="377"/>
      <c r="FX263" s="377"/>
      <c r="FY263" s="377"/>
      <c r="FZ263" s="377"/>
      <c r="GA263" s="377"/>
      <c r="GB263" s="377"/>
      <c r="GC263" s="377"/>
      <c r="GD263" s="377"/>
      <c r="GE263" s="377"/>
      <c r="GF263" s="377"/>
      <c r="GG263" s="377"/>
      <c r="GH263" s="377"/>
      <c r="GI263" s="377"/>
      <c r="GJ263" s="377"/>
      <c r="GK263" s="377"/>
      <c r="GL263" s="377"/>
      <c r="GM263" s="377"/>
      <c r="GN263" s="377"/>
      <c r="GO263" s="377"/>
      <c r="GP263" s="377"/>
      <c r="GQ263" s="377"/>
      <c r="GR263" s="377"/>
    </row>
    <row r="264" spans="1:200" s="351" customFormat="1" ht="48" customHeight="1" thickTop="1" x14ac:dyDescent="0.25">
      <c r="B264" s="352"/>
      <c r="C264" s="353"/>
      <c r="D264" s="352"/>
      <c r="E264" s="354"/>
      <c r="F264" s="352"/>
      <c r="G264" s="353"/>
      <c r="H264" s="352"/>
      <c r="I264" s="352"/>
      <c r="J264" s="352"/>
      <c r="K264" s="352"/>
      <c r="L264" s="352"/>
      <c r="M264" s="435" t="s">
        <v>561</v>
      </c>
      <c r="N264" s="436"/>
      <c r="O264" s="390"/>
      <c r="P264" s="390"/>
      <c r="Q264" s="390"/>
      <c r="R264" s="390"/>
      <c r="S264" s="390"/>
      <c r="T264" s="391">
        <f>T268+T271+T274+T277+T280+T283+T286+T289</f>
        <v>2</v>
      </c>
      <c r="U264" s="391">
        <f>U268+U271+U274+U277+U280+U283+U286+U289</f>
        <v>9</v>
      </c>
      <c r="V264" s="392">
        <f>W264+X264+Y264+Z264</f>
        <v>719439.62599999993</v>
      </c>
      <c r="W264" s="392">
        <f>W260+W263</f>
        <v>240790.99799999999</v>
      </c>
      <c r="X264" s="392">
        <f>X260+X263</f>
        <v>223922.57699999999</v>
      </c>
      <c r="Y264" s="392">
        <f>Y260+Y263</f>
        <v>254726.05100000004</v>
      </c>
      <c r="Z264" s="392">
        <f>Z260+Z263</f>
        <v>0</v>
      </c>
      <c r="AA264" s="392">
        <f>AB264+AC264+AD264+AE264</f>
        <v>725517.049</v>
      </c>
      <c r="AB264" s="392">
        <f>AB260+AB263</f>
        <v>240790.99799999999</v>
      </c>
      <c r="AC264" s="392">
        <f>AC260+AC263</f>
        <v>230000.00000000003</v>
      </c>
      <c r="AD264" s="392">
        <f>AD260+AD263</f>
        <v>254726.05099999998</v>
      </c>
      <c r="AE264" s="392">
        <f>AE260+AE263</f>
        <v>0</v>
      </c>
      <c r="AF264" s="392">
        <f>AG264+AH264+AI264+AJ264</f>
        <v>823082.54399999999</v>
      </c>
      <c r="AG264" s="392">
        <f>AG260+AG263</f>
        <v>338356.49300000002</v>
      </c>
      <c r="AH264" s="392">
        <f>AH260+AH263</f>
        <v>230000.00000000003</v>
      </c>
      <c r="AI264" s="392">
        <f>AI260+AI263</f>
        <v>254726.05100000001</v>
      </c>
      <c r="AJ264" s="392">
        <f>AJ260+AJ263</f>
        <v>0</v>
      </c>
      <c r="AK264" s="391">
        <f>AL264+AM264+AN264+AO264</f>
        <v>434246.40000000002</v>
      </c>
      <c r="AL264" s="392">
        <f>AL260+AL263</f>
        <v>172677.7</v>
      </c>
      <c r="AM264" s="392">
        <f>AM260+AM263</f>
        <v>100000</v>
      </c>
      <c r="AN264" s="392">
        <f>AN260+AN263</f>
        <v>161568.70000000001</v>
      </c>
      <c r="AO264" s="392">
        <f>AO260+AO263</f>
        <v>0</v>
      </c>
      <c r="AP264" s="392"/>
      <c r="AQ264" s="392">
        <f>AR264+AS264+AT264+AU264</f>
        <v>719439.62599999993</v>
      </c>
      <c r="AR264" s="392">
        <f>AR260+AR263</f>
        <v>240790.99799999999</v>
      </c>
      <c r="AS264" s="392">
        <f>AS260+AS263</f>
        <v>223922.57699999999</v>
      </c>
      <c r="AT264" s="392">
        <f>AT260+AT263</f>
        <v>254726.05100000004</v>
      </c>
      <c r="AU264" s="392">
        <f>AU260+AU263</f>
        <v>0</v>
      </c>
      <c r="AV264" s="392">
        <f t="shared" si="635"/>
        <v>0</v>
      </c>
      <c r="AW264" s="392">
        <f t="shared" si="636"/>
        <v>0</v>
      </c>
      <c r="AX264" s="392">
        <f t="shared" si="637"/>
        <v>0</v>
      </c>
      <c r="AY264" s="392">
        <f t="shared" si="638"/>
        <v>0</v>
      </c>
      <c r="AZ264" s="392" t="e">
        <f>AZ260+AZ263</f>
        <v>#REF!</v>
      </c>
      <c r="BA264" s="392">
        <f>BB264+BC264+BD264+BE264</f>
        <v>642445.59034000011</v>
      </c>
      <c r="BB264" s="392">
        <f>BB260+BB263</f>
        <v>163796.96234</v>
      </c>
      <c r="BC264" s="392">
        <f>BC260+BC263</f>
        <v>223922.57699999999</v>
      </c>
      <c r="BD264" s="392">
        <f>BD260+BD263</f>
        <v>254726.05100000004</v>
      </c>
      <c r="BE264" s="392">
        <f>BE260+BE263</f>
        <v>0</v>
      </c>
      <c r="BF264" s="392">
        <f>BG264+BH264+BI264+BJ264</f>
        <v>0</v>
      </c>
      <c r="BG264" s="392">
        <f>BG260+BG263</f>
        <v>0</v>
      </c>
      <c r="BH264" s="392">
        <f>BH260+BH263</f>
        <v>0</v>
      </c>
      <c r="BI264" s="392">
        <f>BI260+BI263</f>
        <v>0</v>
      </c>
      <c r="BJ264" s="392">
        <f>BJ260+BJ263</f>
        <v>0</v>
      </c>
      <c r="BK264" s="392">
        <f>BL264+BM264+BN264+BO264</f>
        <v>642445.59034000011</v>
      </c>
      <c r="BL264" s="392">
        <f>BL260+BL263</f>
        <v>163796.96234</v>
      </c>
      <c r="BM264" s="392">
        <f>BM260+BM263</f>
        <v>223922.57699999999</v>
      </c>
      <c r="BN264" s="392">
        <f>BN260+BN263</f>
        <v>254726.05100000004</v>
      </c>
      <c r="BO264" s="392">
        <f>BO260+BO263</f>
        <v>0</v>
      </c>
      <c r="BP264" s="392">
        <f>BQ264+BR264+BS264+BT264</f>
        <v>614753.08565999998</v>
      </c>
      <c r="BQ264" s="392">
        <f>BQ260+BQ263</f>
        <v>163796.96234</v>
      </c>
      <c r="BR264" s="392">
        <f>BR260+BR263</f>
        <v>212572.74614999996</v>
      </c>
      <c r="BS264" s="392">
        <f>BS260+BS263</f>
        <v>238383.37716999999</v>
      </c>
      <c r="BT264" s="392">
        <f>BT260+BT263</f>
        <v>0</v>
      </c>
      <c r="BU264" s="392">
        <f>BV264+BW264+BX264+BY264</f>
        <v>263398.30675000005</v>
      </c>
      <c r="BV264" s="392">
        <f>BV260+BV263</f>
        <v>51118.082119999999</v>
      </c>
      <c r="BW264" s="392">
        <f>BW260+BW263</f>
        <v>128148.25510000001</v>
      </c>
      <c r="BX264" s="392">
        <f>BX260+BX263</f>
        <v>84131.969530000017</v>
      </c>
      <c r="BY264" s="392">
        <f>BY260+BY263</f>
        <v>0</v>
      </c>
      <c r="BZ264" s="392">
        <f t="shared" si="639"/>
        <v>878151.39240999997</v>
      </c>
      <c r="CA264" s="392">
        <f>CB264+CC264+CD264+CE264</f>
        <v>878151.39240999997</v>
      </c>
      <c r="CB264" s="392">
        <f>BQ264+BV264</f>
        <v>214915.04446</v>
      </c>
      <c r="CC264" s="392">
        <f>CC260+CC263</f>
        <v>340721.00124999997</v>
      </c>
      <c r="CD264" s="392">
        <f>CD260+CD263</f>
        <v>322515.34669999999</v>
      </c>
      <c r="CE264" s="392">
        <f>CE260+CE263</f>
        <v>0</v>
      </c>
      <c r="CF264" s="392">
        <f t="shared" si="640"/>
        <v>27692.504680000071</v>
      </c>
      <c r="CG264" s="392">
        <f t="shared" si="641"/>
        <v>0</v>
      </c>
      <c r="CH264" s="392">
        <f t="shared" si="642"/>
        <v>11349.830850000028</v>
      </c>
      <c r="CI264" s="392">
        <f t="shared" si="643"/>
        <v>16342.673830000043</v>
      </c>
      <c r="CJ264" s="355">
        <f>CJ260+CJ263</f>
        <v>0</v>
      </c>
      <c r="CK264" s="356"/>
      <c r="CM264" s="351">
        <f>CL260+CN260-BF260</f>
        <v>648165.69640000002</v>
      </c>
      <c r="CN264" s="355">
        <f>CO264+CP264+CQ264+CR264</f>
        <v>0</v>
      </c>
      <c r="CO264" s="355">
        <f>CO260+CO263</f>
        <v>0</v>
      </c>
      <c r="CP264" s="355">
        <f>CP260+CP263</f>
        <v>0</v>
      </c>
      <c r="CQ264" s="355">
        <f>CQ260+CQ263</f>
        <v>0</v>
      </c>
      <c r="CR264" s="355">
        <f>CR260+CR263</f>
        <v>0</v>
      </c>
      <c r="CS264" s="355">
        <f>CT264+CU264+CV264+CW264</f>
        <v>0</v>
      </c>
      <c r="CT264" s="355">
        <f>CT260+CT263</f>
        <v>0</v>
      </c>
      <c r="CU264" s="355">
        <f>CU260+CU263</f>
        <v>0</v>
      </c>
      <c r="CV264" s="355">
        <f>CV260+CV263</f>
        <v>0</v>
      </c>
      <c r="CW264" s="355">
        <f>CW260+CW263</f>
        <v>0</v>
      </c>
      <c r="CX264" s="355">
        <f>CY264+CZ264+DA264+DB264</f>
        <v>0</v>
      </c>
      <c r="CY264" s="355">
        <f t="shared" ref="CY264:DE264" si="644">CY260+CY263</f>
        <v>0</v>
      </c>
      <c r="CZ264" s="355">
        <f t="shared" si="644"/>
        <v>0</v>
      </c>
      <c r="DA264" s="355">
        <f t="shared" si="644"/>
        <v>0</v>
      </c>
      <c r="DB264" s="355">
        <f t="shared" si="644"/>
        <v>0</v>
      </c>
      <c r="DC264" s="355">
        <f t="shared" si="644"/>
        <v>0</v>
      </c>
      <c r="DD264" s="355">
        <f t="shared" si="644"/>
        <v>0</v>
      </c>
      <c r="DE264" s="357">
        <f t="shared" si="644"/>
        <v>0</v>
      </c>
      <c r="DF264" s="237"/>
      <c r="DG264" s="356"/>
      <c r="DH264" s="356"/>
      <c r="DI264" s="358"/>
      <c r="DK264" s="355">
        <f>DK260+DK263</f>
        <v>614753.08565999998</v>
      </c>
      <c r="DL264" s="355">
        <f>DL260+DL263</f>
        <v>27996.586680000019</v>
      </c>
      <c r="DN264" s="355">
        <f>DN260+DN263</f>
        <v>21519.910739999999</v>
      </c>
      <c r="DQ264" s="355">
        <f>DR264+DS264+DT264+DU264</f>
        <v>564140.20516999997</v>
      </c>
      <c r="DR264" s="355">
        <f>DR260+DR263</f>
        <v>150822.54138000001</v>
      </c>
      <c r="DS264" s="355">
        <f>DS260+DS263</f>
        <v>212572.74614999996</v>
      </c>
      <c r="DT264" s="355">
        <f>DT260+DT263</f>
        <v>200744.91764</v>
      </c>
      <c r="DU264" s="355">
        <f>DU260+DU263</f>
        <v>0</v>
      </c>
      <c r="DV264" s="355">
        <f>DW264+DX264+DY264+DZ264</f>
        <v>197719.40170999995</v>
      </c>
      <c r="DW264" s="355">
        <f>DW260+DW263</f>
        <v>55466.168699999995</v>
      </c>
      <c r="DX264" s="355">
        <f>DX260+DX263</f>
        <v>72908.370759999976</v>
      </c>
      <c r="DY264" s="355">
        <f>DY260+DY263</f>
        <v>69344.862249999991</v>
      </c>
      <c r="DZ264" s="355">
        <f>DZ260+DZ263</f>
        <v>0</v>
      </c>
      <c r="EA264" s="378"/>
      <c r="EB264" s="378"/>
      <c r="EC264" s="378"/>
      <c r="ED264" s="378"/>
      <c r="EE264" s="378"/>
      <c r="EF264" s="378"/>
      <c r="EG264" s="378"/>
      <c r="EH264" s="378"/>
      <c r="EI264" s="378"/>
      <c r="EJ264" s="378"/>
      <c r="EK264" s="378"/>
      <c r="EL264" s="378"/>
      <c r="EM264" s="378"/>
      <c r="EN264" s="378"/>
      <c r="EO264" s="378"/>
      <c r="EP264" s="378"/>
      <c r="EQ264" s="378"/>
      <c r="ER264" s="378"/>
      <c r="ES264" s="378"/>
      <c r="ET264" s="378"/>
      <c r="EU264" s="378"/>
      <c r="EV264" s="378"/>
      <c r="EW264" s="378"/>
      <c r="EX264" s="378"/>
      <c r="EY264" s="378"/>
      <c r="EZ264" s="378"/>
      <c r="FA264" s="378"/>
      <c r="FB264" s="378"/>
      <c r="FC264" s="378"/>
      <c r="FD264" s="378"/>
      <c r="FE264" s="378"/>
      <c r="FF264" s="378"/>
      <c r="FG264" s="378"/>
      <c r="FH264" s="378"/>
      <c r="FI264" s="378"/>
      <c r="FJ264" s="378"/>
      <c r="FK264" s="378"/>
      <c r="FL264" s="378"/>
      <c r="FM264" s="378"/>
      <c r="FN264" s="378"/>
      <c r="FO264" s="378"/>
      <c r="FP264" s="378"/>
      <c r="FQ264" s="378"/>
      <c r="FR264" s="378"/>
      <c r="FS264" s="378"/>
      <c r="FT264" s="378"/>
      <c r="FU264" s="378"/>
      <c r="FV264" s="378"/>
      <c r="FW264" s="378"/>
      <c r="FX264" s="378"/>
      <c r="FY264" s="378"/>
      <c r="FZ264" s="378"/>
      <c r="GA264" s="378"/>
      <c r="GB264" s="378"/>
      <c r="GC264" s="378"/>
      <c r="GD264" s="378"/>
      <c r="GE264" s="378"/>
      <c r="GF264" s="378"/>
      <c r="GG264" s="378"/>
      <c r="GH264" s="378"/>
      <c r="GI264" s="378"/>
      <c r="GJ264" s="378"/>
      <c r="GK264" s="378"/>
      <c r="GL264" s="378"/>
      <c r="GM264" s="378"/>
      <c r="GN264" s="378"/>
      <c r="GO264" s="378"/>
      <c r="GP264" s="378"/>
      <c r="GQ264" s="378"/>
      <c r="GR264" s="378"/>
    </row>
    <row r="265" spans="1:200" s="351" customFormat="1" ht="58.5" customHeight="1" x14ac:dyDescent="0.3">
      <c r="B265" s="352"/>
      <c r="C265" s="353"/>
      <c r="D265" s="352"/>
      <c r="E265" s="354"/>
      <c r="F265" s="352"/>
      <c r="G265" s="353"/>
      <c r="H265" s="352"/>
      <c r="I265" s="352"/>
      <c r="J265" s="352"/>
      <c r="K265" s="352"/>
      <c r="L265" s="352"/>
      <c r="M265" s="437" t="s">
        <v>562</v>
      </c>
      <c r="N265" s="438"/>
      <c r="O265" s="387"/>
      <c r="P265" s="387"/>
      <c r="Q265" s="387"/>
      <c r="R265" s="387"/>
      <c r="S265" s="387"/>
      <c r="T265" s="393"/>
      <c r="U265" s="393"/>
      <c r="V265" s="389">
        <f>V266+V267</f>
        <v>353636.95300000004</v>
      </c>
      <c r="W265" s="389">
        <f>W266+W267</f>
        <v>353636.95300000004</v>
      </c>
      <c r="X265" s="389"/>
      <c r="Y265" s="389"/>
      <c r="Z265" s="389"/>
      <c r="AA265" s="389">
        <f>AA266+AA267</f>
        <v>338354.89300000004</v>
      </c>
      <c r="AB265" s="389">
        <f>AB266+AB267</f>
        <v>338354.89300000004</v>
      </c>
      <c r="AC265" s="389"/>
      <c r="AD265" s="389"/>
      <c r="AE265" s="389"/>
      <c r="AF265" s="389">
        <f>AF266+AF267</f>
        <v>248753.59999999998</v>
      </c>
      <c r="AG265" s="389">
        <f>AG266+AG267</f>
        <v>248753.59999999998</v>
      </c>
      <c r="AH265" s="389"/>
      <c r="AI265" s="389"/>
      <c r="AJ265" s="389"/>
      <c r="AK265" s="388">
        <f>AK266+AK267</f>
        <v>248753.59999999998</v>
      </c>
      <c r="AL265" s="389">
        <f>AL266+AL267</f>
        <v>248753.59999999998</v>
      </c>
      <c r="AM265" s="389"/>
      <c r="AN265" s="389"/>
      <c r="AO265" s="389"/>
      <c r="AP265" s="389"/>
      <c r="AQ265" s="389">
        <f>AQ266+AQ267</f>
        <v>353636.95300000004</v>
      </c>
      <c r="AR265" s="389">
        <f>AR266+AR267</f>
        <v>353636.95300000004</v>
      </c>
      <c r="AS265" s="394"/>
      <c r="AT265" s="394"/>
      <c r="AU265" s="394"/>
      <c r="AV265" s="389">
        <f t="shared" si="635"/>
        <v>0</v>
      </c>
      <c r="AW265" s="388">
        <f t="shared" si="636"/>
        <v>0</v>
      </c>
      <c r="AX265" s="388">
        <f t="shared" si="637"/>
        <v>0</v>
      </c>
      <c r="AY265" s="388">
        <f t="shared" si="638"/>
        <v>0</v>
      </c>
      <c r="AZ265" s="388"/>
      <c r="BA265" s="389">
        <f>BA266+BA267</f>
        <v>151292.26144</v>
      </c>
      <c r="BB265" s="389">
        <f>BB266+BB267</f>
        <v>151292.26144</v>
      </c>
      <c r="BC265" s="394"/>
      <c r="BD265" s="394"/>
      <c r="BE265" s="394"/>
      <c r="BF265" s="389">
        <f>BF266+BF267</f>
        <v>0</v>
      </c>
      <c r="BG265" s="389">
        <f>BG266+BG267</f>
        <v>0</v>
      </c>
      <c r="BH265" s="394"/>
      <c r="BI265" s="394"/>
      <c r="BJ265" s="394"/>
      <c r="BK265" s="389">
        <f>BK266+BK267</f>
        <v>151292.26144</v>
      </c>
      <c r="BL265" s="389">
        <f>BL266+BL267</f>
        <v>151292.26144</v>
      </c>
      <c r="BM265" s="394"/>
      <c r="BN265" s="394"/>
      <c r="BO265" s="394"/>
      <c r="BP265" s="389">
        <f>BP266+BP267</f>
        <v>151292.26144</v>
      </c>
      <c r="BQ265" s="389">
        <f>BQ266+BQ267</f>
        <v>151292.26144</v>
      </c>
      <c r="BR265" s="394"/>
      <c r="BS265" s="394"/>
      <c r="BT265" s="394"/>
      <c r="BU265" s="395">
        <f>BU266+BU267</f>
        <v>5571.6180600000007</v>
      </c>
      <c r="BV265" s="396">
        <f>BV266+BV267</f>
        <v>5571.6180600000007</v>
      </c>
      <c r="BW265" s="396"/>
      <c r="BX265" s="396"/>
      <c r="BY265" s="396"/>
      <c r="BZ265" s="389">
        <f t="shared" si="639"/>
        <v>105411.40175</v>
      </c>
      <c r="CA265" s="396">
        <f>CA266+CA267</f>
        <v>105411.40175</v>
      </c>
      <c r="CB265" s="396">
        <f>BQ265+BV265</f>
        <v>156863.87950000001</v>
      </c>
      <c r="CC265" s="394"/>
      <c r="CD265" s="394"/>
      <c r="CE265" s="394"/>
      <c r="CF265" s="396">
        <f t="shared" si="640"/>
        <v>0</v>
      </c>
      <c r="CG265" s="396">
        <f t="shared" si="641"/>
        <v>0</v>
      </c>
      <c r="CH265" s="396">
        <f t="shared" si="642"/>
        <v>0</v>
      </c>
      <c r="CI265" s="396">
        <f t="shared" si="643"/>
        <v>0</v>
      </c>
      <c r="CJ265" s="362"/>
      <c r="CK265" s="356"/>
      <c r="CM265" s="351">
        <f>CM264-CM260</f>
        <v>11892.700000000186</v>
      </c>
      <c r="CN265" s="355">
        <f t="shared" ref="CN265:CO265" si="645">CN266+CN267</f>
        <v>0</v>
      </c>
      <c r="CO265" s="355">
        <f t="shared" si="645"/>
        <v>0</v>
      </c>
      <c r="CP265" s="361"/>
      <c r="CQ265" s="361"/>
      <c r="CR265" s="361"/>
      <c r="CS265" s="355">
        <f t="shared" ref="CS265:CT265" si="646">CS266+CS267</f>
        <v>0</v>
      </c>
      <c r="CT265" s="355">
        <f t="shared" si="646"/>
        <v>0</v>
      </c>
      <c r="CU265" s="361"/>
      <c r="CV265" s="361"/>
      <c r="CW265" s="361"/>
      <c r="DD265" s="359"/>
      <c r="DF265" s="360">
        <f>DH265-DI265</f>
        <v>0</v>
      </c>
      <c r="DG265" s="360"/>
      <c r="DH265" s="360">
        <f>BK265</f>
        <v>151292.26144</v>
      </c>
      <c r="DI265" s="360">
        <f>BP265</f>
        <v>151292.26144</v>
      </c>
      <c r="DQ265" s="361">
        <f>DQ266+DQ267</f>
        <v>151292.26144</v>
      </c>
      <c r="DR265" s="361">
        <f>DR266+DR267</f>
        <v>151292.26144</v>
      </c>
      <c r="DS265" s="361"/>
      <c r="DT265" s="361"/>
      <c r="DU265" s="363"/>
      <c r="DV265" s="361">
        <f>DV266+DV267</f>
        <v>5571.6180600000007</v>
      </c>
      <c r="DW265" s="361">
        <f>DW266+DW267</f>
        <v>5571.6180600000007</v>
      </c>
      <c r="DX265" s="361"/>
      <c r="DY265" s="361"/>
      <c r="DZ265" s="361"/>
      <c r="EA265" s="378"/>
      <c r="EB265" s="378"/>
      <c r="EC265" s="378"/>
      <c r="ED265" s="378"/>
      <c r="EE265" s="378"/>
      <c r="EF265" s="378"/>
      <c r="EG265" s="378"/>
      <c r="EH265" s="378"/>
      <c r="EI265" s="378"/>
      <c r="EJ265" s="378"/>
      <c r="EK265" s="378"/>
      <c r="EL265" s="378"/>
      <c r="EM265" s="378"/>
      <c r="EN265" s="378"/>
      <c r="EO265" s="378"/>
      <c r="EP265" s="378"/>
      <c r="EQ265" s="378"/>
      <c r="ER265" s="378"/>
      <c r="ES265" s="378"/>
      <c r="ET265" s="378"/>
      <c r="EU265" s="378"/>
      <c r="EV265" s="378"/>
      <c r="EW265" s="378"/>
      <c r="EX265" s="378"/>
      <c r="EY265" s="378"/>
      <c r="EZ265" s="378"/>
      <c r="FA265" s="378"/>
      <c r="FB265" s="378"/>
      <c r="FC265" s="378"/>
      <c r="FD265" s="378"/>
      <c r="FE265" s="378"/>
      <c r="FF265" s="378"/>
      <c r="FG265" s="378"/>
      <c r="FH265" s="378"/>
      <c r="FI265" s="378"/>
      <c r="FJ265" s="378"/>
      <c r="FK265" s="378"/>
      <c r="FL265" s="378"/>
      <c r="FM265" s="378"/>
      <c r="FN265" s="378"/>
      <c r="FO265" s="378"/>
      <c r="FP265" s="378"/>
      <c r="FQ265" s="378"/>
      <c r="FR265" s="378"/>
      <c r="FS265" s="378"/>
      <c r="FT265" s="378"/>
      <c r="FU265" s="378"/>
      <c r="FV265" s="378"/>
      <c r="FW265" s="378"/>
      <c r="FX265" s="378"/>
      <c r="FY265" s="378"/>
      <c r="FZ265" s="378"/>
      <c r="GA265" s="378"/>
      <c r="GB265" s="378"/>
      <c r="GC265" s="378"/>
      <c r="GD265" s="378"/>
      <c r="GE265" s="378"/>
      <c r="GF265" s="378"/>
      <c r="GG265" s="378"/>
      <c r="GH265" s="378"/>
      <c r="GI265" s="378"/>
      <c r="GJ265" s="378"/>
      <c r="GK265" s="378"/>
      <c r="GL265" s="378"/>
      <c r="GM265" s="378"/>
      <c r="GN265" s="378"/>
      <c r="GO265" s="378"/>
      <c r="GP265" s="378"/>
      <c r="GQ265" s="378"/>
      <c r="GR265" s="378"/>
    </row>
    <row r="266" spans="1:200" s="59" customFormat="1" ht="18.75" customHeight="1" x14ac:dyDescent="0.3">
      <c r="B266" s="24"/>
      <c r="C266" s="141"/>
      <c r="D266" s="24"/>
      <c r="E266" s="142"/>
      <c r="F266" s="24"/>
      <c r="G266" s="141"/>
      <c r="H266" s="24"/>
      <c r="I266" s="24"/>
      <c r="J266" s="24"/>
      <c r="K266" s="24"/>
      <c r="L266" s="24"/>
      <c r="M266" s="173"/>
      <c r="N266" s="174" t="s">
        <v>287</v>
      </c>
      <c r="O266" s="174"/>
      <c r="P266" s="174"/>
      <c r="Q266" s="174"/>
      <c r="R266" s="174"/>
      <c r="S266" s="174"/>
      <c r="T266" s="175"/>
      <c r="U266" s="175"/>
      <c r="V266" s="168">
        <f>V269+V272+V275+V278+V281+V284+V287+V290</f>
        <v>304613.59300000005</v>
      </c>
      <c r="W266" s="168">
        <f>W269+W272+W275+W278+W281+W284+W287+W290</f>
        <v>304613.59300000005</v>
      </c>
      <c r="X266" s="168"/>
      <c r="Y266" s="22"/>
      <c r="Z266" s="22"/>
      <c r="AA266" s="168">
        <f>AA269+AA272+AA275+AA278+AA281+AA284+AA287+AA290</f>
        <v>304613.59300000005</v>
      </c>
      <c r="AB266" s="168">
        <f>AB269+AB272+AB275+AB278+AB281+AB284+AB287+AB290</f>
        <v>304613.59300000005</v>
      </c>
      <c r="AC266" s="168"/>
      <c r="AD266" s="22"/>
      <c r="AE266" s="22"/>
      <c r="AF266" s="168">
        <f>AF269+AF272+AF275+AF278+AF281</f>
        <v>248753.59999999998</v>
      </c>
      <c r="AG266" s="168">
        <f>AG269+AG272+AG275+AG278+AG281</f>
        <v>248753.59999999998</v>
      </c>
      <c r="AH266" s="168"/>
      <c r="AI266" s="22"/>
      <c r="AJ266" s="22"/>
      <c r="AK266" s="168">
        <f>AK269+AK272+AK275+AK278+AK281</f>
        <v>248753.59999999998</v>
      </c>
      <c r="AL266" s="168">
        <f>AL269+AL272+AL275+AL278+AL281</f>
        <v>248753.59999999998</v>
      </c>
      <c r="AM266" s="168"/>
      <c r="AN266" s="22"/>
      <c r="AO266" s="22"/>
      <c r="AP266" s="22"/>
      <c r="AQ266" s="168">
        <f>AQ269+AQ272+AQ275+AQ278+AQ281+AQ284+AQ287+AQ290</f>
        <v>304613.59300000005</v>
      </c>
      <c r="AR266" s="168">
        <f>AR269+AR272+AR275+AR278+AR281+AR284+AR287+AR290</f>
        <v>304613.59300000005</v>
      </c>
      <c r="AS266" s="155"/>
      <c r="AT266" s="155"/>
      <c r="AU266" s="155"/>
      <c r="AV266" s="168">
        <f t="shared" si="635"/>
        <v>0</v>
      </c>
      <c r="AW266" s="168">
        <f t="shared" si="636"/>
        <v>0</v>
      </c>
      <c r="AX266" s="168">
        <f t="shared" si="637"/>
        <v>0</v>
      </c>
      <c r="AY266" s="168">
        <f t="shared" si="638"/>
        <v>0</v>
      </c>
      <c r="AZ266" s="168"/>
      <c r="BA266" s="168">
        <f>BA269+BA272+BA275+BA278+BA281+BA284+BA287+BA290</f>
        <v>128904.21818</v>
      </c>
      <c r="BB266" s="168">
        <f>BB269+BB272+BB275+BB278+BB281+BB284+BB287+BB290</f>
        <v>128904.21818</v>
      </c>
      <c r="BC266" s="155"/>
      <c r="BD266" s="155"/>
      <c r="BE266" s="155"/>
      <c r="BF266" s="168">
        <f>BF269+BF272+BF275+BF278+BF281</f>
        <v>0</v>
      </c>
      <c r="BG266" s="168">
        <f>BG269+BG272+BG275+BG278+BG281</f>
        <v>0</v>
      </c>
      <c r="BH266" s="155"/>
      <c r="BI266" s="155"/>
      <c r="BJ266" s="155"/>
      <c r="BK266" s="168">
        <f>BK269+BK272+BK275+BK278+BK281+BK284+BK287+BK290</f>
        <v>128904.21818</v>
      </c>
      <c r="BL266" s="168">
        <f>BL269+BL272+BL275+BL278+BL281+BL284+BL287+BL290</f>
        <v>128904.21818</v>
      </c>
      <c r="BM266" s="155"/>
      <c r="BN266" s="155"/>
      <c r="BO266" s="155"/>
      <c r="BP266" s="168">
        <f>BP269+BP272+BP275+BP278+BP281+BP284+BP287+BP290</f>
        <v>128904.21818</v>
      </c>
      <c r="BQ266" s="168">
        <f>BQ269+BQ272+BQ275+BQ278+BQ281+BQ284+BQ287+BQ290</f>
        <v>128904.21818</v>
      </c>
      <c r="BR266" s="155"/>
      <c r="BS266" s="155"/>
      <c r="BT266" s="155"/>
      <c r="BU266" s="86">
        <f>BU269+BU272+BU275+BU278+BU281+BU284+BU287+BU290</f>
        <v>5571.6180600000007</v>
      </c>
      <c r="BV266" s="155">
        <f>BV269+BV272+BV275+BV278+BV281+BV284+BV287+BV290</f>
        <v>5571.6180600000007</v>
      </c>
      <c r="BW266" s="155"/>
      <c r="BX266" s="155"/>
      <c r="BY266" s="155"/>
      <c r="BZ266" s="22">
        <f>BZ269+BZ272+BZ275+BZ278+BZ281</f>
        <v>86412.816579999999</v>
      </c>
      <c r="CA266" s="155">
        <f>CA269+CA272+CA278+CA281+CA291</f>
        <v>86412.816579999999</v>
      </c>
      <c r="CB266" s="155">
        <f>BQ266+BV266</f>
        <v>134475.83624</v>
      </c>
      <c r="CC266" s="155"/>
      <c r="CD266" s="155"/>
      <c r="CE266" s="155"/>
      <c r="CF266" s="155">
        <f t="shared" si="640"/>
        <v>0</v>
      </c>
      <c r="CG266" s="155">
        <f t="shared" si="641"/>
        <v>0</v>
      </c>
      <c r="CH266" s="155">
        <f t="shared" si="642"/>
        <v>0</v>
      </c>
      <c r="CI266" s="155">
        <f t="shared" si="643"/>
        <v>0</v>
      </c>
      <c r="CJ266" s="155"/>
      <c r="CK266" s="57"/>
      <c r="CN266" s="25">
        <f t="shared" ref="CN266:CO267" si="647">CN269+CN272+CN275+CN278+CN281</f>
        <v>0</v>
      </c>
      <c r="CO266" s="25">
        <f t="shared" si="647"/>
        <v>0</v>
      </c>
      <c r="CP266" s="155"/>
      <c r="CQ266" s="155"/>
      <c r="CR266" s="155"/>
      <c r="CS266" s="25">
        <f t="shared" ref="CS266:CT267" si="648">CS269+CS272+CS275+CS278+CS281</f>
        <v>0</v>
      </c>
      <c r="CT266" s="25">
        <f t="shared" si="648"/>
        <v>0</v>
      </c>
      <c r="CU266" s="155"/>
      <c r="CV266" s="155"/>
      <c r="CW266" s="155"/>
      <c r="DD266" s="176"/>
      <c r="DF266" s="169"/>
      <c r="DG266" s="57"/>
      <c r="DH266" s="57"/>
      <c r="DI266" s="170"/>
      <c r="DQ266" s="54">
        <f>DQ269+DQ272+DQ275+DQ278+DQ281+DQ284+DQ287+DQ290</f>
        <v>128904.21818</v>
      </c>
      <c r="DR266" s="54">
        <f>DR269+DR272+DR275+DR278+DR281+DR284+DR287+DR290</f>
        <v>128904.21818</v>
      </c>
      <c r="DS266" s="54"/>
      <c r="DT266" s="54"/>
      <c r="DU266" s="117"/>
      <c r="DV266" s="54">
        <f>DV269+DV272+DV275+DV278+DV281+DV284+DV287+DV290</f>
        <v>5571.6180600000007</v>
      </c>
      <c r="DW266" s="54">
        <f>DW269+DW272+DW275+DW278+DW281+DW284+DW287+DW290</f>
        <v>5571.6180600000007</v>
      </c>
      <c r="DX266" s="155"/>
      <c r="DY266" s="155"/>
      <c r="DZ266" s="155"/>
      <c r="EA266" s="372"/>
      <c r="EB266" s="372"/>
      <c r="EC266" s="372"/>
      <c r="ED266" s="372"/>
      <c r="EE266" s="372"/>
      <c r="EF266" s="372"/>
      <c r="EG266" s="372"/>
      <c r="EH266" s="372"/>
      <c r="EI266" s="372"/>
      <c r="EJ266" s="372"/>
      <c r="EK266" s="372"/>
      <c r="EL266" s="372"/>
      <c r="EM266" s="372"/>
      <c r="EN266" s="372"/>
      <c r="EO266" s="372"/>
      <c r="EP266" s="372"/>
      <c r="EQ266" s="372"/>
      <c r="ER266" s="372"/>
      <c r="ES266" s="372"/>
      <c r="ET266" s="372"/>
      <c r="EU266" s="372"/>
      <c r="EV266" s="372"/>
      <c r="EW266" s="372"/>
      <c r="EX266" s="372"/>
      <c r="EY266" s="372"/>
      <c r="EZ266" s="372"/>
      <c r="FA266" s="372"/>
      <c r="FB266" s="372"/>
      <c r="FC266" s="372"/>
      <c r="FD266" s="372"/>
      <c r="FE266" s="372"/>
      <c r="FF266" s="372"/>
      <c r="FG266" s="372"/>
      <c r="FH266" s="372"/>
      <c r="FI266" s="372"/>
      <c r="FJ266" s="372"/>
      <c r="FK266" s="372"/>
      <c r="FL266" s="372"/>
      <c r="FM266" s="372"/>
      <c r="FN266" s="372"/>
      <c r="FO266" s="372"/>
      <c r="FP266" s="372"/>
      <c r="FQ266" s="372"/>
      <c r="FR266" s="372"/>
      <c r="FS266" s="372"/>
      <c r="FT266" s="372"/>
      <c r="FU266" s="372"/>
      <c r="FV266" s="372"/>
      <c r="FW266" s="372"/>
      <c r="FX266" s="372"/>
      <c r="FY266" s="372"/>
      <c r="FZ266" s="372"/>
      <c r="GA266" s="372"/>
      <c r="GB266" s="372"/>
      <c r="GC266" s="372"/>
      <c r="GD266" s="372"/>
      <c r="GE266" s="372"/>
      <c r="GF266" s="372"/>
      <c r="GG266" s="372"/>
      <c r="GH266" s="372"/>
      <c r="GI266" s="372"/>
      <c r="GJ266" s="372"/>
      <c r="GK266" s="372"/>
      <c r="GL266" s="372"/>
      <c r="GM266" s="372"/>
      <c r="GN266" s="372"/>
      <c r="GO266" s="372"/>
      <c r="GP266" s="372"/>
      <c r="GQ266" s="372"/>
      <c r="GR266" s="372"/>
    </row>
    <row r="267" spans="1:200" s="59" customFormat="1" ht="18.75" customHeight="1" x14ac:dyDescent="0.3">
      <c r="B267" s="24"/>
      <c r="C267" s="141"/>
      <c r="D267" s="24"/>
      <c r="E267" s="142"/>
      <c r="F267" s="24"/>
      <c r="G267" s="141"/>
      <c r="H267" s="24"/>
      <c r="I267" s="24"/>
      <c r="J267" s="24"/>
      <c r="K267" s="24"/>
      <c r="L267" s="24"/>
      <c r="M267" s="173"/>
      <c r="N267" s="174" t="s">
        <v>286</v>
      </c>
      <c r="O267" s="174"/>
      <c r="P267" s="174"/>
      <c r="Q267" s="174"/>
      <c r="R267" s="174"/>
      <c r="S267" s="174"/>
      <c r="T267" s="175"/>
      <c r="U267" s="175"/>
      <c r="V267" s="168">
        <f>V270+V273+V276+V279+V282+V285+V288+V291</f>
        <v>49023.359999999993</v>
      </c>
      <c r="W267" s="168">
        <f>W270+W273+W276+W279+W282+W285+W288+W291</f>
        <v>49023.359999999993</v>
      </c>
      <c r="X267" s="168"/>
      <c r="Y267" s="22"/>
      <c r="Z267" s="22"/>
      <c r="AA267" s="168">
        <f>AA270+AA273+AA276+AA279+AA282+AA285+AA288+AA291</f>
        <v>33741.300000000003</v>
      </c>
      <c r="AB267" s="168">
        <f>AB270+AB273+AB276+AB279+AB282+AB285+AB288+AB291</f>
        <v>33741.300000000003</v>
      </c>
      <c r="AC267" s="168"/>
      <c r="AD267" s="22"/>
      <c r="AE267" s="22"/>
      <c r="AF267" s="168">
        <f>AF270+AF273+AF276+AF279+AF282</f>
        <v>0</v>
      </c>
      <c r="AG267" s="168">
        <f>AG270+AG273+AG276+AG279+AG282</f>
        <v>0</v>
      </c>
      <c r="AH267" s="168"/>
      <c r="AI267" s="22"/>
      <c r="AJ267" s="22"/>
      <c r="AK267" s="168">
        <f>AK270+AK273+AK276+AK279+AK282</f>
        <v>0</v>
      </c>
      <c r="AL267" s="168">
        <f>AL270+AL273+AL276+AL279+AL282</f>
        <v>0</v>
      </c>
      <c r="AM267" s="168"/>
      <c r="AN267" s="22"/>
      <c r="AO267" s="22"/>
      <c r="AP267" s="22"/>
      <c r="AQ267" s="168">
        <f>AQ270+AQ273+AQ276+AQ279+AQ282+AQ285+AQ288+AQ291</f>
        <v>49023.359999999993</v>
      </c>
      <c r="AR267" s="168">
        <f>AR270+AR273+AR276+AR279+AR282+AR285+AR288+AR291</f>
        <v>49023.359999999993</v>
      </c>
      <c r="AS267" s="155"/>
      <c r="AT267" s="155"/>
      <c r="AU267" s="155"/>
      <c r="AV267" s="168">
        <f t="shared" si="635"/>
        <v>0</v>
      </c>
      <c r="AW267" s="168">
        <f t="shared" si="636"/>
        <v>0</v>
      </c>
      <c r="AX267" s="155">
        <f t="shared" si="637"/>
        <v>0</v>
      </c>
      <c r="AY267" s="155">
        <f t="shared" si="638"/>
        <v>0</v>
      </c>
      <c r="AZ267" s="155"/>
      <c r="BA267" s="168">
        <f>BA270+BA273+BA276+BA279+BA282+BA285+BA288+BA291</f>
        <v>22388.043260000002</v>
      </c>
      <c r="BB267" s="168">
        <f>BB270+BB273+BB276+BB279+BB282+BB285+BB288+BB291</f>
        <v>22388.043260000002</v>
      </c>
      <c r="BC267" s="155"/>
      <c r="BD267" s="155"/>
      <c r="BE267" s="155"/>
      <c r="BF267" s="168">
        <f>BF270+BF273+BF276+BF279+BF282</f>
        <v>0</v>
      </c>
      <c r="BG267" s="168">
        <f>BG270+BG273+BG276+BG279+BG282</f>
        <v>0</v>
      </c>
      <c r="BH267" s="155"/>
      <c r="BI267" s="155"/>
      <c r="BJ267" s="155"/>
      <c r="BK267" s="168">
        <f>BK270+BK273+BK276+BK279+BK282+BK285+BK288+BK291</f>
        <v>22388.043260000002</v>
      </c>
      <c r="BL267" s="168">
        <f>BL270+BL273+BL276+BL279+BL282+BL285+BL288+BL291</f>
        <v>22388.043260000002</v>
      </c>
      <c r="BM267" s="155"/>
      <c r="BN267" s="155"/>
      <c r="BO267" s="155"/>
      <c r="BP267" s="168">
        <f>BP270+BP273+BP276+BP279+BP282+BP285+BP288+BP291</f>
        <v>22388.043260000002</v>
      </c>
      <c r="BQ267" s="168">
        <f>BQ270+BQ273+BQ276+BQ279+BQ282+BQ285+BQ288+BQ291</f>
        <v>22388.043260000002</v>
      </c>
      <c r="BR267" s="155"/>
      <c r="BS267" s="155"/>
      <c r="BT267" s="155"/>
      <c r="BU267" s="86">
        <f>BU270+BU273+BU276+BU279+BU282+BU285+BU288+BU291</f>
        <v>0</v>
      </c>
      <c r="BV267" s="155">
        <f>BV270+BV273+BV276+BV279+BV282+BV285+BV288+BV291</f>
        <v>0</v>
      </c>
      <c r="BW267" s="155"/>
      <c r="BX267" s="155"/>
      <c r="BY267" s="155"/>
      <c r="BZ267" s="22">
        <f>BZ270+BZ273+BZ276+BZ279+BZ282</f>
        <v>18998.585170000002</v>
      </c>
      <c r="CA267" s="155">
        <f>CA270+CA273+CA279+CA282</f>
        <v>18998.585170000002</v>
      </c>
      <c r="CB267" s="155">
        <f>BQ267+BV267</f>
        <v>22388.043260000002</v>
      </c>
      <c r="CC267" s="155"/>
      <c r="CD267" s="155"/>
      <c r="CE267" s="155"/>
      <c r="CF267" s="155">
        <f t="shared" si="640"/>
        <v>0</v>
      </c>
      <c r="CG267" s="155">
        <f t="shared" si="641"/>
        <v>0</v>
      </c>
      <c r="CH267" s="155">
        <f t="shared" si="642"/>
        <v>0</v>
      </c>
      <c r="CI267" s="155">
        <f t="shared" si="643"/>
        <v>0</v>
      </c>
      <c r="CJ267" s="155"/>
      <c r="CK267" s="57"/>
      <c r="CN267" s="25">
        <f t="shared" si="647"/>
        <v>0</v>
      </c>
      <c r="CO267" s="25">
        <f t="shared" si="647"/>
        <v>0</v>
      </c>
      <c r="CP267" s="155"/>
      <c r="CQ267" s="155"/>
      <c r="CR267" s="155"/>
      <c r="CS267" s="25">
        <f t="shared" si="648"/>
        <v>0</v>
      </c>
      <c r="CT267" s="25">
        <f t="shared" si="648"/>
        <v>0</v>
      </c>
      <c r="CU267" s="155"/>
      <c r="CV267" s="155"/>
      <c r="CW267" s="155"/>
      <c r="DD267" s="176"/>
      <c r="DF267" s="169"/>
      <c r="DG267" s="57"/>
      <c r="DH267" s="57"/>
      <c r="DI267" s="170"/>
      <c r="DQ267" s="54">
        <f>DQ270+DQ273+DQ276+DQ279+DQ282+DQ285+DQ288+DQ291</f>
        <v>22388.043260000002</v>
      </c>
      <c r="DR267" s="54">
        <f>DR270+DR273+DR276+DR279+DR282+DR285+DR288+DR291</f>
        <v>22388.043260000002</v>
      </c>
      <c r="DS267" s="54"/>
      <c r="DT267" s="54"/>
      <c r="DU267" s="117"/>
      <c r="DV267" s="54">
        <f>DV270+DV273+DV276+DV279+DV282+DV285+DV288+DV291</f>
        <v>0</v>
      </c>
      <c r="DW267" s="54">
        <f>DW270+DW273+DW276+DW279+DW282+DW285+DW288+DW291</f>
        <v>0</v>
      </c>
      <c r="DX267" s="155"/>
      <c r="DY267" s="157"/>
      <c r="DZ267" s="155"/>
      <c r="EA267" s="372"/>
      <c r="EB267" s="372"/>
      <c r="EC267" s="372"/>
      <c r="ED267" s="372"/>
      <c r="EE267" s="372"/>
      <c r="EF267" s="372"/>
      <c r="EG267" s="372"/>
      <c r="EH267" s="372"/>
      <c r="EI267" s="372"/>
      <c r="EJ267" s="372"/>
      <c r="EK267" s="372"/>
      <c r="EL267" s="372"/>
      <c r="EM267" s="372"/>
      <c r="EN267" s="372"/>
      <c r="EO267" s="372"/>
      <c r="EP267" s="372"/>
      <c r="EQ267" s="372"/>
      <c r="ER267" s="372"/>
      <c r="ES267" s="372"/>
      <c r="ET267" s="372"/>
      <c r="EU267" s="372"/>
      <c r="EV267" s="372"/>
      <c r="EW267" s="372"/>
      <c r="EX267" s="372"/>
      <c r="EY267" s="372"/>
      <c r="EZ267" s="372"/>
      <c r="FA267" s="372"/>
      <c r="FB267" s="372"/>
      <c r="FC267" s="372"/>
      <c r="FD267" s="372"/>
      <c r="FE267" s="372"/>
      <c r="FF267" s="372"/>
      <c r="FG267" s="372"/>
      <c r="FH267" s="372"/>
      <c r="FI267" s="372"/>
      <c r="FJ267" s="372"/>
      <c r="FK267" s="372"/>
      <c r="FL267" s="372"/>
      <c r="FM267" s="372"/>
      <c r="FN267" s="372"/>
      <c r="FO267" s="372"/>
      <c r="FP267" s="372"/>
      <c r="FQ267" s="372"/>
      <c r="FR267" s="372"/>
      <c r="FS267" s="372"/>
      <c r="FT267" s="372"/>
      <c r="FU267" s="372"/>
      <c r="FV267" s="372"/>
      <c r="FW267" s="372"/>
      <c r="FX267" s="372"/>
      <c r="FY267" s="372"/>
      <c r="FZ267" s="372"/>
      <c r="GA267" s="372"/>
      <c r="GB267" s="372"/>
      <c r="GC267" s="372"/>
      <c r="GD267" s="372"/>
      <c r="GE267" s="372"/>
      <c r="GF267" s="372"/>
      <c r="GG267" s="372"/>
      <c r="GH267" s="372"/>
      <c r="GI267" s="372"/>
      <c r="GJ267" s="372"/>
      <c r="GK267" s="372"/>
      <c r="GL267" s="372"/>
      <c r="GM267" s="372"/>
      <c r="GN267" s="372"/>
      <c r="GO267" s="372"/>
      <c r="GP267" s="372"/>
      <c r="GQ267" s="372"/>
      <c r="GR267" s="372"/>
    </row>
    <row r="268" spans="1:200" s="59" customFormat="1" ht="52.95" customHeight="1" x14ac:dyDescent="0.3">
      <c r="B268" s="24"/>
      <c r="C268" s="141"/>
      <c r="D268" s="24"/>
      <c r="E268" s="142"/>
      <c r="F268" s="24"/>
      <c r="G268" s="141"/>
      <c r="H268" s="24"/>
      <c r="I268" s="24"/>
      <c r="J268" s="24"/>
      <c r="K268" s="24"/>
      <c r="L268" s="24"/>
      <c r="M268" s="303">
        <v>1</v>
      </c>
      <c r="N268" s="348" t="s">
        <v>328</v>
      </c>
      <c r="O268" s="178"/>
      <c r="P268" s="178"/>
      <c r="Q268" s="178"/>
      <c r="R268" s="178"/>
      <c r="S268" s="178"/>
      <c r="T268" s="21"/>
      <c r="U268" s="21">
        <v>3</v>
      </c>
      <c r="V268" s="21">
        <f>V269+V270</f>
        <v>94135.453000000009</v>
      </c>
      <c r="W268" s="21">
        <f>W269+W270</f>
        <v>94135.453000000009</v>
      </c>
      <c r="X268" s="21"/>
      <c r="Y268" s="21"/>
      <c r="Z268" s="21"/>
      <c r="AA268" s="21">
        <f>AA269+AA270</f>
        <v>94135.453000000009</v>
      </c>
      <c r="AB268" s="21">
        <f>AB269+AB270</f>
        <v>94135.453000000009</v>
      </c>
      <c r="AC268" s="21"/>
      <c r="AD268" s="21"/>
      <c r="AE268" s="21"/>
      <c r="AF268" s="21">
        <f>AF269+AF270</f>
        <v>4000</v>
      </c>
      <c r="AG268" s="21">
        <f>AG269+AG270</f>
        <v>4000</v>
      </c>
      <c r="AH268" s="21"/>
      <c r="AI268" s="21"/>
      <c r="AJ268" s="21"/>
      <c r="AK268" s="25">
        <f>AK269+AK270</f>
        <v>4000</v>
      </c>
      <c r="AL268" s="21">
        <f>AL269+AL270</f>
        <v>4000</v>
      </c>
      <c r="AM268" s="21"/>
      <c r="AN268" s="21"/>
      <c r="AO268" s="21"/>
      <c r="AP268" s="29" t="s">
        <v>440</v>
      </c>
      <c r="AQ268" s="21">
        <f>AQ269+AQ270</f>
        <v>94135.453000000009</v>
      </c>
      <c r="AR268" s="21">
        <f>AR269+AR270</f>
        <v>94135.453000000009</v>
      </c>
      <c r="AS268" s="54"/>
      <c r="AT268" s="54"/>
      <c r="AU268" s="54"/>
      <c r="AV268" s="21">
        <f t="shared" si="635"/>
        <v>0</v>
      </c>
      <c r="AW268" s="21">
        <f t="shared" si="636"/>
        <v>0</v>
      </c>
      <c r="AX268" s="53">
        <f t="shared" si="637"/>
        <v>0</v>
      </c>
      <c r="AY268" s="53">
        <f t="shared" si="638"/>
        <v>0</v>
      </c>
      <c r="AZ268" s="54"/>
      <c r="BA268" s="21">
        <f>BA269+BA270</f>
        <v>93739.195559999993</v>
      </c>
      <c r="BB268" s="21">
        <f>BB269+BB270</f>
        <v>93739.195559999993</v>
      </c>
      <c r="BC268" s="54"/>
      <c r="BD268" s="54"/>
      <c r="BE268" s="54"/>
      <c r="BF268" s="21">
        <f>BF269+BF270</f>
        <v>0</v>
      </c>
      <c r="BG268" s="21">
        <f>BG269+BG270</f>
        <v>0</v>
      </c>
      <c r="BH268" s="54"/>
      <c r="BI268" s="54"/>
      <c r="BJ268" s="54"/>
      <c r="BK268" s="21">
        <f>BK269+BK270</f>
        <v>93739.195559999993</v>
      </c>
      <c r="BL268" s="21">
        <f>BL269+BL270</f>
        <v>93739.195559999993</v>
      </c>
      <c r="BM268" s="171"/>
      <c r="BN268" s="171"/>
      <c r="BO268" s="171"/>
      <c r="BP268" s="21">
        <f>BP269+BP270</f>
        <v>93739.195559999993</v>
      </c>
      <c r="BQ268" s="21">
        <f>BQ269+BQ270</f>
        <v>93739.195559999993</v>
      </c>
      <c r="BR268" s="171"/>
      <c r="BS268" s="171"/>
      <c r="BT268" s="171"/>
      <c r="BU268" s="305">
        <f>BU269+BU270</f>
        <v>2772.8494300000002</v>
      </c>
      <c r="BV268" s="53">
        <f>BV269+BV270</f>
        <v>2772.8494300000002</v>
      </c>
      <c r="BW268" s="171"/>
      <c r="BX268" s="171"/>
      <c r="BY268" s="171"/>
      <c r="BZ268" s="21">
        <f t="shared" si="639"/>
        <v>96512.044989999995</v>
      </c>
      <c r="CA268" s="53">
        <f>CA269+CA270</f>
        <v>96512.044989999995</v>
      </c>
      <c r="CB268" s="53">
        <f t="shared" ref="CB268:CB293" si="649">BQ268+BV268</f>
        <v>96512.044989999995</v>
      </c>
      <c r="CC268" s="171"/>
      <c r="CD268" s="171"/>
      <c r="CE268" s="171"/>
      <c r="CF268" s="25">
        <f t="shared" si="640"/>
        <v>0</v>
      </c>
      <c r="CG268" s="25">
        <f t="shared" si="641"/>
        <v>0</v>
      </c>
      <c r="CH268" s="25">
        <f t="shared" si="642"/>
        <v>0</v>
      </c>
      <c r="CI268" s="25">
        <f t="shared" si="643"/>
        <v>0</v>
      </c>
      <c r="CJ268" s="25"/>
      <c r="CK268" s="306"/>
      <c r="CL268" s="307">
        <f>963443.06185-CL260</f>
        <v>315277.36545000004</v>
      </c>
      <c r="CM268" s="307">
        <f>963443.06185-CM260</f>
        <v>327170.06545000023</v>
      </c>
      <c r="CN268" s="22">
        <f>CN269+CN270</f>
        <v>0</v>
      </c>
      <c r="CO268" s="22">
        <f>CO269+CO270</f>
        <v>0</v>
      </c>
      <c r="CP268" s="171"/>
      <c r="CQ268" s="171"/>
      <c r="CR268" s="171"/>
      <c r="CS268" s="22">
        <f>CS269+CS270</f>
        <v>0</v>
      </c>
      <c r="CT268" s="22">
        <f>CT269+CT270</f>
        <v>0</v>
      </c>
      <c r="CU268" s="171"/>
      <c r="CV268" s="171"/>
      <c r="CW268" s="171"/>
      <c r="CX268" s="307"/>
      <c r="CY268" s="307"/>
      <c r="CZ268" s="307"/>
      <c r="DA268" s="307"/>
      <c r="DB268" s="307"/>
      <c r="DC268" s="307"/>
      <c r="DD268" s="308"/>
      <c r="DE268" s="307"/>
      <c r="DF268" s="309"/>
      <c r="DG268" s="306"/>
      <c r="DH268" s="306"/>
      <c r="DI268" s="310"/>
      <c r="DJ268" s="307"/>
      <c r="DK268" s="307"/>
      <c r="DL268" s="307"/>
      <c r="DM268" s="307"/>
      <c r="DN268" s="307"/>
      <c r="DO268" s="307"/>
      <c r="DP268" s="307"/>
      <c r="DQ268" s="53">
        <f t="shared" ref="DQ268:DQ291" si="650">DR268</f>
        <v>93739.195559999993</v>
      </c>
      <c r="DR268" s="21">
        <f>DR269+DR270</f>
        <v>93739.195559999993</v>
      </c>
      <c r="DS268" s="53"/>
      <c r="DT268" s="53"/>
      <c r="DU268" s="311"/>
      <c r="DV268" s="53">
        <f t="shared" ref="DV268:DV291" si="651">DW268</f>
        <v>2772.8494300000002</v>
      </c>
      <c r="DW268" s="53">
        <f>DW269+DW270</f>
        <v>2772.8494300000002</v>
      </c>
      <c r="DX268" s="171"/>
      <c r="DY268" s="312"/>
      <c r="DZ268" s="171"/>
      <c r="EA268" s="372"/>
      <c r="EB268" s="372"/>
      <c r="EC268" s="372"/>
      <c r="ED268" s="372"/>
      <c r="EE268" s="372"/>
      <c r="EF268" s="372"/>
      <c r="EG268" s="372"/>
      <c r="EH268" s="372"/>
      <c r="EI268" s="372"/>
      <c r="EJ268" s="372"/>
      <c r="EK268" s="372"/>
      <c r="EL268" s="372"/>
      <c r="EM268" s="372"/>
      <c r="EN268" s="372"/>
      <c r="EO268" s="372"/>
      <c r="EP268" s="372"/>
      <c r="EQ268" s="372"/>
      <c r="ER268" s="372"/>
      <c r="ES268" s="372"/>
      <c r="ET268" s="372"/>
      <c r="EU268" s="372"/>
      <c r="EV268" s="372"/>
      <c r="EW268" s="372"/>
      <c r="EX268" s="372"/>
      <c r="EY268" s="372"/>
      <c r="EZ268" s="372"/>
      <c r="FA268" s="372"/>
      <c r="FB268" s="372"/>
      <c r="FC268" s="372"/>
      <c r="FD268" s="372"/>
      <c r="FE268" s="372"/>
      <c r="FF268" s="372"/>
      <c r="FG268" s="372"/>
      <c r="FH268" s="372"/>
      <c r="FI268" s="372"/>
      <c r="FJ268" s="372"/>
      <c r="FK268" s="372"/>
      <c r="FL268" s="372"/>
      <c r="FM268" s="372"/>
      <c r="FN268" s="372"/>
      <c r="FO268" s="372"/>
      <c r="FP268" s="372"/>
      <c r="FQ268" s="372"/>
      <c r="FR268" s="372"/>
      <c r="FS268" s="372"/>
      <c r="FT268" s="372"/>
      <c r="FU268" s="372"/>
      <c r="FV268" s="372"/>
      <c r="FW268" s="372"/>
      <c r="FX268" s="372"/>
      <c r="FY268" s="372"/>
      <c r="FZ268" s="372"/>
      <c r="GA268" s="372"/>
      <c r="GB268" s="372"/>
      <c r="GC268" s="372"/>
      <c r="GD268" s="372"/>
      <c r="GE268" s="372"/>
      <c r="GF268" s="372"/>
      <c r="GG268" s="372"/>
      <c r="GH268" s="372"/>
      <c r="GI268" s="372"/>
      <c r="GJ268" s="372"/>
      <c r="GK268" s="372"/>
      <c r="GL268" s="372"/>
      <c r="GM268" s="372"/>
      <c r="GN268" s="372"/>
      <c r="GO268" s="372"/>
      <c r="GP268" s="372"/>
      <c r="GQ268" s="372"/>
      <c r="GR268" s="372"/>
    </row>
    <row r="269" spans="1:200" s="59" customFormat="1" ht="15" customHeight="1" x14ac:dyDescent="0.3">
      <c r="B269" s="24"/>
      <c r="C269" s="141"/>
      <c r="D269" s="24"/>
      <c r="E269" s="142"/>
      <c r="F269" s="24"/>
      <c r="G269" s="141"/>
      <c r="H269" s="24"/>
      <c r="I269" s="24"/>
      <c r="J269" s="24"/>
      <c r="K269" s="24"/>
      <c r="L269" s="24"/>
      <c r="M269" s="179"/>
      <c r="N269" s="174" t="s">
        <v>287</v>
      </c>
      <c r="O269" s="174"/>
      <c r="P269" s="174"/>
      <c r="Q269" s="174"/>
      <c r="R269" s="174"/>
      <c r="S269" s="174"/>
      <c r="T269" s="175"/>
      <c r="U269" s="175"/>
      <c r="V269" s="25">
        <f>W269+X269+Y269+Z269</f>
        <v>76336.145000000004</v>
      </c>
      <c r="W269" s="21">
        <f>78963.653-2627.508</f>
        <v>76336.145000000004</v>
      </c>
      <c r="X269" s="21"/>
      <c r="Y269" s="21"/>
      <c r="Z269" s="21"/>
      <c r="AA269" s="25">
        <f>AB269+AC269+AD269+AE269</f>
        <v>78963.653000000006</v>
      </c>
      <c r="AB269" s="21">
        <v>78963.653000000006</v>
      </c>
      <c r="AC269" s="21"/>
      <c r="AD269" s="21"/>
      <c r="AE269" s="21"/>
      <c r="AF269" s="25">
        <f>AG269+AH269+AI269+AJ269</f>
        <v>4000</v>
      </c>
      <c r="AG269" s="21">
        <v>4000</v>
      </c>
      <c r="AH269" s="21"/>
      <c r="AI269" s="21"/>
      <c r="AJ269" s="21"/>
      <c r="AK269" s="25">
        <f>AL269+AM269+AN269+AO269</f>
        <v>4000</v>
      </c>
      <c r="AL269" s="21">
        <v>4000</v>
      </c>
      <c r="AM269" s="21"/>
      <c r="AN269" s="21"/>
      <c r="AO269" s="21"/>
      <c r="AP269" s="21"/>
      <c r="AQ269" s="25">
        <f>AR269+AS269+AT269+AU269</f>
        <v>76336.145000000004</v>
      </c>
      <c r="AR269" s="21">
        <f>78963.653-2627.508</f>
        <v>76336.145000000004</v>
      </c>
      <c r="AS269" s="54"/>
      <c r="AT269" s="54"/>
      <c r="AU269" s="54"/>
      <c r="AV269" s="25">
        <f t="shared" si="635"/>
        <v>0</v>
      </c>
      <c r="AW269" s="25">
        <f t="shared" si="636"/>
        <v>0</v>
      </c>
      <c r="AX269" s="54">
        <f t="shared" si="637"/>
        <v>0</v>
      </c>
      <c r="AY269" s="54">
        <f t="shared" si="638"/>
        <v>0</v>
      </c>
      <c r="AZ269" s="54"/>
      <c r="BA269" s="25">
        <f>BB269+BC269+BD269+BE269</f>
        <v>76014.812239999999</v>
      </c>
      <c r="BB269" s="21">
        <f>1928.96697+12545.9942+14322.88144+31013.62217+16203.34746</f>
        <v>76014.812239999999</v>
      </c>
      <c r="BC269" s="54"/>
      <c r="BD269" s="54"/>
      <c r="BE269" s="54"/>
      <c r="BF269" s="25">
        <f>BG269+BH269+BI269+BJ269</f>
        <v>0</v>
      </c>
      <c r="BG269" s="21"/>
      <c r="BH269" s="54"/>
      <c r="BI269" s="54"/>
      <c r="BJ269" s="54"/>
      <c r="BK269" s="25">
        <f>BL269+BM269+BN269+BO269</f>
        <v>76014.812239999999</v>
      </c>
      <c r="BL269" s="21">
        <f>1928.96697+12545.9942+14322.88144+31013.62217+16203.34746</f>
        <v>76014.812239999999</v>
      </c>
      <c r="BM269" s="171"/>
      <c r="BN269" s="171"/>
      <c r="BO269" s="171"/>
      <c r="BP269" s="25">
        <f>BQ269+BR269+BS269+BT269</f>
        <v>76014.812239999999</v>
      </c>
      <c r="BQ269" s="21">
        <f>1928.96697+12545.9942+14322.88144+31013.62217+16203.34746</f>
        <v>76014.812239999999</v>
      </c>
      <c r="BR269" s="171"/>
      <c r="BS269" s="171"/>
      <c r="BT269" s="171"/>
      <c r="BU269" s="305">
        <f>BV269+BW269+BX269+BY269</f>
        <v>2772.8494300000002</v>
      </c>
      <c r="BV269" s="53">
        <f>53.78217+349.64386+74.10425+734.02326+529.43425+451.57052+376.78775+203.50337</f>
        <v>2772.8494300000002</v>
      </c>
      <c r="BW269" s="171"/>
      <c r="BX269" s="171"/>
      <c r="BY269" s="171"/>
      <c r="BZ269" s="21">
        <f t="shared" si="639"/>
        <v>78787.661670000001</v>
      </c>
      <c r="CA269" s="53">
        <f>CB269+CC269+CD269+CE269</f>
        <v>78787.661670000001</v>
      </c>
      <c r="CB269" s="53">
        <f>BQ269+BV269</f>
        <v>78787.661670000001</v>
      </c>
      <c r="CC269" s="171"/>
      <c r="CD269" s="171"/>
      <c r="CE269" s="171"/>
      <c r="CF269" s="25">
        <f t="shared" si="640"/>
        <v>0</v>
      </c>
      <c r="CG269" s="25">
        <f t="shared" si="641"/>
        <v>0</v>
      </c>
      <c r="CH269" s="25">
        <f t="shared" si="642"/>
        <v>0</v>
      </c>
      <c r="CI269" s="25">
        <f t="shared" si="643"/>
        <v>0</v>
      </c>
      <c r="CJ269" s="25"/>
      <c r="CK269" s="306"/>
      <c r="CL269" s="307"/>
      <c r="CM269" s="307"/>
      <c r="CN269" s="25">
        <f>CO269+CP269+CQ269+CR269</f>
        <v>0</v>
      </c>
      <c r="CO269" s="21"/>
      <c r="CP269" s="171"/>
      <c r="CQ269" s="171"/>
      <c r="CR269" s="171"/>
      <c r="CS269" s="25">
        <f>CT269+CU269+CV269+CW269</f>
        <v>0</v>
      </c>
      <c r="CT269" s="21"/>
      <c r="CU269" s="171"/>
      <c r="CV269" s="171"/>
      <c r="CW269" s="171"/>
      <c r="CX269" s="307"/>
      <c r="CY269" s="307"/>
      <c r="CZ269" s="307"/>
      <c r="DA269" s="307"/>
      <c r="DB269" s="307"/>
      <c r="DC269" s="307"/>
      <c r="DD269" s="313"/>
      <c r="DE269" s="307"/>
      <c r="DF269" s="309"/>
      <c r="DG269" s="306"/>
      <c r="DH269" s="306"/>
      <c r="DI269" s="310"/>
      <c r="DJ269" s="307"/>
      <c r="DK269" s="307"/>
      <c r="DL269" s="307"/>
      <c r="DM269" s="307"/>
      <c r="DN269" s="307"/>
      <c r="DO269" s="307"/>
      <c r="DP269" s="307"/>
      <c r="DQ269" s="53">
        <f t="shared" si="650"/>
        <v>76014.812239999999</v>
      </c>
      <c r="DR269" s="21">
        <f>1928.96697+12545.9942+14322.88144+31013.62217+16203.34746</f>
        <v>76014.812239999999</v>
      </c>
      <c r="DS269" s="53"/>
      <c r="DT269" s="53"/>
      <c r="DU269" s="311"/>
      <c r="DV269" s="53">
        <f t="shared" si="651"/>
        <v>2772.8494300000002</v>
      </c>
      <c r="DW269" s="53">
        <v>2772.8494300000002</v>
      </c>
      <c r="DX269" s="171"/>
      <c r="DY269" s="312"/>
      <c r="DZ269" s="171"/>
      <c r="EA269" s="372"/>
      <c r="EB269" s="372"/>
      <c r="EC269" s="372"/>
      <c r="ED269" s="372"/>
      <c r="EE269" s="372"/>
      <c r="EF269" s="372"/>
      <c r="EG269" s="372"/>
      <c r="EH269" s="372"/>
      <c r="EI269" s="372"/>
      <c r="EJ269" s="372"/>
      <c r="EK269" s="372"/>
      <c r="EL269" s="372"/>
      <c r="EM269" s="372"/>
      <c r="EN269" s="372"/>
      <c r="EO269" s="372"/>
      <c r="EP269" s="372"/>
      <c r="EQ269" s="372"/>
      <c r="ER269" s="372"/>
      <c r="ES269" s="372"/>
      <c r="ET269" s="372"/>
      <c r="EU269" s="372"/>
      <c r="EV269" s="372"/>
      <c r="EW269" s="372"/>
      <c r="EX269" s="372"/>
      <c r="EY269" s="372"/>
      <c r="EZ269" s="372"/>
      <c r="FA269" s="372"/>
      <c r="FB269" s="372"/>
      <c r="FC269" s="372"/>
      <c r="FD269" s="372"/>
      <c r="FE269" s="372"/>
      <c r="FF269" s="372"/>
      <c r="FG269" s="372"/>
      <c r="FH269" s="372"/>
      <c r="FI269" s="372"/>
      <c r="FJ269" s="372"/>
      <c r="FK269" s="372"/>
      <c r="FL269" s="372"/>
      <c r="FM269" s="372"/>
      <c r="FN269" s="372"/>
      <c r="FO269" s="372"/>
      <c r="FP269" s="372"/>
      <c r="FQ269" s="372"/>
      <c r="FR269" s="372"/>
      <c r="FS269" s="372"/>
      <c r="FT269" s="372"/>
      <c r="FU269" s="372"/>
      <c r="FV269" s="372"/>
      <c r="FW269" s="372"/>
      <c r="FX269" s="372"/>
      <c r="FY269" s="372"/>
      <c r="FZ269" s="372"/>
      <c r="GA269" s="372"/>
      <c r="GB269" s="372"/>
      <c r="GC269" s="372"/>
      <c r="GD269" s="372"/>
      <c r="GE269" s="372"/>
      <c r="GF269" s="372"/>
      <c r="GG269" s="372"/>
      <c r="GH269" s="372"/>
      <c r="GI269" s="372"/>
      <c r="GJ269" s="372"/>
      <c r="GK269" s="372"/>
      <c r="GL269" s="372"/>
      <c r="GM269" s="372"/>
      <c r="GN269" s="372"/>
      <c r="GO269" s="372"/>
      <c r="GP269" s="372"/>
      <c r="GQ269" s="372"/>
      <c r="GR269" s="372"/>
    </row>
    <row r="270" spans="1:200" s="59" customFormat="1" ht="15" customHeight="1" x14ac:dyDescent="0.3">
      <c r="B270" s="24"/>
      <c r="C270" s="141"/>
      <c r="D270" s="24"/>
      <c r="E270" s="142"/>
      <c r="F270" s="24"/>
      <c r="G270" s="141"/>
      <c r="H270" s="24"/>
      <c r="I270" s="24"/>
      <c r="J270" s="24"/>
      <c r="K270" s="24"/>
      <c r="L270" s="24"/>
      <c r="M270" s="179"/>
      <c r="N270" s="174" t="s">
        <v>286</v>
      </c>
      <c r="O270" s="174"/>
      <c r="P270" s="174"/>
      <c r="Q270" s="174"/>
      <c r="R270" s="174"/>
      <c r="S270" s="174"/>
      <c r="T270" s="175"/>
      <c r="U270" s="175"/>
      <c r="V270" s="25">
        <f>W270+X270+Y270+Z270</f>
        <v>17799.307999999997</v>
      </c>
      <c r="W270" s="21">
        <f>15171.8+2627.508</f>
        <v>17799.307999999997</v>
      </c>
      <c r="X270" s="21"/>
      <c r="Y270" s="21"/>
      <c r="Z270" s="21"/>
      <c r="AA270" s="25">
        <f>AB270+AC270+AD270+AE270</f>
        <v>15171.8</v>
      </c>
      <c r="AB270" s="21">
        <v>15171.8</v>
      </c>
      <c r="AC270" s="21"/>
      <c r="AD270" s="21"/>
      <c r="AE270" s="21"/>
      <c r="AF270" s="25">
        <f>AG270+AH270+AI270+AJ270</f>
        <v>0</v>
      </c>
      <c r="AG270" s="21"/>
      <c r="AH270" s="21"/>
      <c r="AI270" s="21"/>
      <c r="AJ270" s="21"/>
      <c r="AK270" s="25">
        <f>AL270+AM270+AN270+AO270</f>
        <v>0</v>
      </c>
      <c r="AL270" s="21"/>
      <c r="AM270" s="21"/>
      <c r="AN270" s="21"/>
      <c r="AO270" s="21"/>
      <c r="AP270" s="21"/>
      <c r="AQ270" s="25">
        <f>AR270+AS270+AT270+AU270</f>
        <v>17799.307999999997</v>
      </c>
      <c r="AR270" s="21">
        <f>15171.8+2627.508</f>
        <v>17799.307999999997</v>
      </c>
      <c r="AS270" s="54"/>
      <c r="AT270" s="54"/>
      <c r="AU270" s="54"/>
      <c r="AV270" s="25">
        <f t="shared" si="635"/>
        <v>0</v>
      </c>
      <c r="AW270" s="25">
        <f t="shared" si="636"/>
        <v>0</v>
      </c>
      <c r="AX270" s="54">
        <f t="shared" si="637"/>
        <v>0</v>
      </c>
      <c r="AY270" s="54">
        <f t="shared" si="638"/>
        <v>0</v>
      </c>
      <c r="AZ270" s="54"/>
      <c r="BA270" s="25">
        <f>BB270+BC270+BD270+BE270</f>
        <v>17724.383320000001</v>
      </c>
      <c r="BB270" s="21">
        <f>449.82057+2925.63138+3339.66807+7231.45018+3777.81312</f>
        <v>17724.383320000001</v>
      </c>
      <c r="BC270" s="54"/>
      <c r="BD270" s="54"/>
      <c r="BE270" s="54"/>
      <c r="BF270" s="25">
        <f>BG270+BH270+BI270+BJ270</f>
        <v>0</v>
      </c>
      <c r="BG270" s="21"/>
      <c r="BH270" s="54"/>
      <c r="BI270" s="54"/>
      <c r="BJ270" s="54"/>
      <c r="BK270" s="25">
        <f>BL270+BM270+BN270+BO270</f>
        <v>17724.383320000001</v>
      </c>
      <c r="BL270" s="21">
        <f>449.82057+2925.63138+3339.66807+7231.45018+3777.81312</f>
        <v>17724.383320000001</v>
      </c>
      <c r="BM270" s="171"/>
      <c r="BN270" s="171"/>
      <c r="BO270" s="171"/>
      <c r="BP270" s="25">
        <f>BQ270+BR270+BS270+BT270</f>
        <v>17724.383320000001</v>
      </c>
      <c r="BQ270" s="21">
        <f>449.82057+2925.63138+3339.66807+7231.45018+3777.81312</f>
        <v>17724.383320000001</v>
      </c>
      <c r="BR270" s="171"/>
      <c r="BS270" s="171"/>
      <c r="BT270" s="171"/>
      <c r="BU270" s="305">
        <f>BV270+BW270+BX270+BY270</f>
        <v>0</v>
      </c>
      <c r="BV270" s="53"/>
      <c r="BW270" s="171"/>
      <c r="BX270" s="171"/>
      <c r="BY270" s="171"/>
      <c r="BZ270" s="21">
        <f t="shared" si="639"/>
        <v>17724.383320000001</v>
      </c>
      <c r="CA270" s="53">
        <f>CB270+CC270+CD270+CE270</f>
        <v>17724.383320000001</v>
      </c>
      <c r="CB270" s="53">
        <f>BQ270+BV270</f>
        <v>17724.383320000001</v>
      </c>
      <c r="CC270" s="171"/>
      <c r="CD270" s="171"/>
      <c r="CE270" s="171"/>
      <c r="CF270" s="25">
        <f t="shared" si="640"/>
        <v>0</v>
      </c>
      <c r="CG270" s="25">
        <f t="shared" si="641"/>
        <v>0</v>
      </c>
      <c r="CH270" s="25">
        <f t="shared" si="642"/>
        <v>0</v>
      </c>
      <c r="CI270" s="25">
        <f t="shared" si="643"/>
        <v>0</v>
      </c>
      <c r="CJ270" s="25"/>
      <c r="CK270" s="306"/>
      <c r="CL270" s="307"/>
      <c r="CM270" s="307"/>
      <c r="CN270" s="25">
        <f>CO270+CP270+CQ270+CR270</f>
        <v>0</v>
      </c>
      <c r="CO270" s="21"/>
      <c r="CP270" s="171"/>
      <c r="CQ270" s="171"/>
      <c r="CR270" s="171"/>
      <c r="CS270" s="25">
        <f>CT270+CU270+CV270+CW270</f>
        <v>0</v>
      </c>
      <c r="CT270" s="21"/>
      <c r="CU270" s="171"/>
      <c r="CV270" s="171"/>
      <c r="CW270" s="171"/>
      <c r="CX270" s="307"/>
      <c r="CY270" s="307"/>
      <c r="CZ270" s="307"/>
      <c r="DA270" s="307"/>
      <c r="DB270" s="307"/>
      <c r="DC270" s="307"/>
      <c r="DD270" s="307"/>
      <c r="DE270" s="307"/>
      <c r="DF270" s="309"/>
      <c r="DG270" s="306"/>
      <c r="DH270" s="306"/>
      <c r="DI270" s="310"/>
      <c r="DJ270" s="307"/>
      <c r="DK270" s="307"/>
      <c r="DL270" s="307"/>
      <c r="DM270" s="307"/>
      <c r="DN270" s="307"/>
      <c r="DO270" s="307"/>
      <c r="DP270" s="307"/>
      <c r="DQ270" s="53">
        <f t="shared" si="650"/>
        <v>17724.383320000001</v>
      </c>
      <c r="DR270" s="21">
        <f>449.82057+2925.63138+3339.66807+7231.45018+3777.81312</f>
        <v>17724.383320000001</v>
      </c>
      <c r="DS270" s="53"/>
      <c r="DT270" s="53"/>
      <c r="DU270" s="311"/>
      <c r="DV270" s="53">
        <f t="shared" si="651"/>
        <v>0</v>
      </c>
      <c r="DW270" s="53"/>
      <c r="DX270" s="171"/>
      <c r="DY270" s="312"/>
      <c r="DZ270" s="171"/>
      <c r="EA270" s="372"/>
      <c r="EB270" s="372"/>
      <c r="EC270" s="372"/>
      <c r="ED270" s="372"/>
      <c r="EE270" s="372"/>
      <c r="EF270" s="372"/>
      <c r="EG270" s="372"/>
      <c r="EH270" s="372"/>
      <c r="EI270" s="372"/>
      <c r="EJ270" s="372"/>
      <c r="EK270" s="372"/>
      <c r="EL270" s="372"/>
      <c r="EM270" s="372"/>
      <c r="EN270" s="372"/>
      <c r="EO270" s="372"/>
      <c r="EP270" s="372"/>
      <c r="EQ270" s="372"/>
      <c r="ER270" s="372"/>
      <c r="ES270" s="372"/>
      <c r="ET270" s="372"/>
      <c r="EU270" s="372"/>
      <c r="EV270" s="372"/>
      <c r="EW270" s="372"/>
      <c r="EX270" s="372"/>
      <c r="EY270" s="372"/>
      <c r="EZ270" s="372"/>
      <c r="FA270" s="372"/>
      <c r="FB270" s="372"/>
      <c r="FC270" s="372"/>
      <c r="FD270" s="372"/>
      <c r="FE270" s="372"/>
      <c r="FF270" s="372"/>
      <c r="FG270" s="372"/>
      <c r="FH270" s="372"/>
      <c r="FI270" s="372"/>
      <c r="FJ270" s="372"/>
      <c r="FK270" s="372"/>
      <c r="FL270" s="372"/>
      <c r="FM270" s="372"/>
      <c r="FN270" s="372"/>
      <c r="FO270" s="372"/>
      <c r="FP270" s="372"/>
      <c r="FQ270" s="372"/>
      <c r="FR270" s="372"/>
      <c r="FS270" s="372"/>
      <c r="FT270" s="372"/>
      <c r="FU270" s="372"/>
      <c r="FV270" s="372"/>
      <c r="FW270" s="372"/>
      <c r="FX270" s="372"/>
      <c r="FY270" s="372"/>
      <c r="FZ270" s="372"/>
      <c r="GA270" s="372"/>
      <c r="GB270" s="372"/>
      <c r="GC270" s="372"/>
      <c r="GD270" s="372"/>
      <c r="GE270" s="372"/>
      <c r="GF270" s="372"/>
      <c r="GG270" s="372"/>
      <c r="GH270" s="372"/>
      <c r="GI270" s="372"/>
      <c r="GJ270" s="372"/>
      <c r="GK270" s="372"/>
      <c r="GL270" s="372"/>
      <c r="GM270" s="372"/>
      <c r="GN270" s="372"/>
      <c r="GO270" s="372"/>
      <c r="GP270" s="372"/>
      <c r="GQ270" s="372"/>
      <c r="GR270" s="372"/>
    </row>
    <row r="271" spans="1:200" s="59" customFormat="1" ht="59.4" customHeight="1" x14ac:dyDescent="0.3">
      <c r="B271" s="24"/>
      <c r="C271" s="141"/>
      <c r="D271" s="24"/>
      <c r="E271" s="142"/>
      <c r="F271" s="24"/>
      <c r="G271" s="141"/>
      <c r="H271" s="24"/>
      <c r="I271" s="24"/>
      <c r="J271" s="24"/>
      <c r="K271" s="24"/>
      <c r="L271" s="24"/>
      <c r="M271" s="303">
        <v>2</v>
      </c>
      <c r="N271" s="348" t="s">
        <v>403</v>
      </c>
      <c r="O271" s="178"/>
      <c r="P271" s="178"/>
      <c r="Q271" s="178"/>
      <c r="R271" s="178"/>
      <c r="S271" s="178"/>
      <c r="T271" s="21">
        <v>1</v>
      </c>
      <c r="U271" s="21">
        <v>1</v>
      </c>
      <c r="V271" s="21">
        <f>V272+V273</f>
        <v>84312.638999999996</v>
      </c>
      <c r="W271" s="21">
        <f>W272+W273</f>
        <v>84312.638999999996</v>
      </c>
      <c r="X271" s="21"/>
      <c r="Y271" s="21"/>
      <c r="Z271" s="21"/>
      <c r="AA271" s="21">
        <f>AA272+AA273</f>
        <v>84312.638999999996</v>
      </c>
      <c r="AB271" s="21">
        <f>AB272+AB273</f>
        <v>84312.638999999996</v>
      </c>
      <c r="AC271" s="21"/>
      <c r="AD271" s="21"/>
      <c r="AE271" s="21"/>
      <c r="AF271" s="21">
        <f>AF272+AF273</f>
        <v>85442.017999999996</v>
      </c>
      <c r="AG271" s="21">
        <f>AG272+AG273</f>
        <v>85442.017999999996</v>
      </c>
      <c r="AH271" s="21"/>
      <c r="AI271" s="21"/>
      <c r="AJ271" s="21"/>
      <c r="AK271" s="25">
        <f>AK272+AK273</f>
        <v>85442.017999999996</v>
      </c>
      <c r="AL271" s="21">
        <f>AL272+AL273</f>
        <v>85442.017999999996</v>
      </c>
      <c r="AM271" s="21"/>
      <c r="AN271" s="21"/>
      <c r="AO271" s="21"/>
      <c r="AP271" s="29" t="s">
        <v>442</v>
      </c>
      <c r="AQ271" s="21">
        <f>AQ272+AQ273</f>
        <v>84312.638999999996</v>
      </c>
      <c r="AR271" s="21">
        <f>AR272+AR273</f>
        <v>84312.638999999996</v>
      </c>
      <c r="AS271" s="54"/>
      <c r="AT271" s="54"/>
      <c r="AU271" s="54"/>
      <c r="AV271" s="21">
        <f t="shared" si="635"/>
        <v>0</v>
      </c>
      <c r="AW271" s="21">
        <f t="shared" si="636"/>
        <v>0</v>
      </c>
      <c r="AX271" s="53">
        <f t="shared" si="637"/>
        <v>0</v>
      </c>
      <c r="AY271" s="53">
        <f t="shared" si="638"/>
        <v>0</v>
      </c>
      <c r="AZ271" s="54"/>
      <c r="BA271" s="21">
        <f>BA272+BA273</f>
        <v>0</v>
      </c>
      <c r="BB271" s="21"/>
      <c r="BC271" s="54"/>
      <c r="BD271" s="54"/>
      <c r="BE271" s="54"/>
      <c r="BF271" s="21">
        <f>BF272+BF273</f>
        <v>0</v>
      </c>
      <c r="BG271" s="21">
        <f>BG272+BG273</f>
        <v>0</v>
      </c>
      <c r="BH271" s="54"/>
      <c r="BI271" s="54"/>
      <c r="BJ271" s="54"/>
      <c r="BK271" s="21">
        <f>BK272+BK273</f>
        <v>0</v>
      </c>
      <c r="BL271" s="21">
        <f>BL272+BL273</f>
        <v>0</v>
      </c>
      <c r="BM271" s="171"/>
      <c r="BN271" s="171"/>
      <c r="BO271" s="171"/>
      <c r="BP271" s="21">
        <f>BP272+BP273</f>
        <v>0</v>
      </c>
      <c r="BQ271" s="21">
        <f>BQ272+BQ273</f>
        <v>0</v>
      </c>
      <c r="BR271" s="171"/>
      <c r="BS271" s="171"/>
      <c r="BT271" s="171"/>
      <c r="BU271" s="305">
        <f>BU272+BU273</f>
        <v>0</v>
      </c>
      <c r="BV271" s="53">
        <f>BV272+BV273</f>
        <v>0</v>
      </c>
      <c r="BW271" s="171"/>
      <c r="BX271" s="171"/>
      <c r="BY271" s="171"/>
      <c r="BZ271" s="21">
        <f t="shared" si="639"/>
        <v>0</v>
      </c>
      <c r="CA271" s="53">
        <f>CA272+CA273</f>
        <v>0</v>
      </c>
      <c r="CB271" s="53">
        <f t="shared" si="649"/>
        <v>0</v>
      </c>
      <c r="CC271" s="171"/>
      <c r="CD271" s="171"/>
      <c r="CE271" s="171"/>
      <c r="CF271" s="25">
        <f t="shared" si="640"/>
        <v>0</v>
      </c>
      <c r="CG271" s="25">
        <f t="shared" si="641"/>
        <v>0</v>
      </c>
      <c r="CH271" s="25">
        <f t="shared" si="642"/>
        <v>0</v>
      </c>
      <c r="CI271" s="25">
        <f t="shared" si="643"/>
        <v>0</v>
      </c>
      <c r="CJ271" s="25"/>
      <c r="CK271" s="306"/>
      <c r="CL271" s="307"/>
      <c r="CM271" s="307"/>
      <c r="CN271" s="22">
        <f>CN272+CN273</f>
        <v>0</v>
      </c>
      <c r="CO271" s="22">
        <f>CO272+CO273</f>
        <v>0</v>
      </c>
      <c r="CP271" s="171"/>
      <c r="CQ271" s="171"/>
      <c r="CR271" s="171"/>
      <c r="CS271" s="22">
        <f>CS272+CS273</f>
        <v>0</v>
      </c>
      <c r="CT271" s="22">
        <f>CT272+CT273</f>
        <v>0</v>
      </c>
      <c r="CU271" s="171"/>
      <c r="CV271" s="171"/>
      <c r="CW271" s="171"/>
      <c r="CX271" s="307"/>
      <c r="CY271" s="307"/>
      <c r="CZ271" s="307"/>
      <c r="DA271" s="307"/>
      <c r="DB271" s="307"/>
      <c r="DC271" s="307"/>
      <c r="DD271" s="307"/>
      <c r="DE271" s="307"/>
      <c r="DF271" s="309"/>
      <c r="DG271" s="306"/>
      <c r="DH271" s="306"/>
      <c r="DI271" s="310"/>
      <c r="DJ271" s="307"/>
      <c r="DK271" s="307"/>
      <c r="DL271" s="307"/>
      <c r="DM271" s="307"/>
      <c r="DN271" s="307"/>
      <c r="DO271" s="307"/>
      <c r="DP271" s="307"/>
      <c r="DQ271" s="53">
        <f t="shared" si="650"/>
        <v>0</v>
      </c>
      <c r="DR271" s="21">
        <f>DR272+DR273</f>
        <v>0</v>
      </c>
      <c r="DS271" s="53"/>
      <c r="DT271" s="53"/>
      <c r="DU271" s="311"/>
      <c r="DV271" s="53">
        <f t="shared" si="651"/>
        <v>0</v>
      </c>
      <c r="DW271" s="53">
        <f>DW272+DW273</f>
        <v>0</v>
      </c>
      <c r="DX271" s="171"/>
      <c r="DY271" s="312"/>
      <c r="DZ271" s="171"/>
      <c r="EA271" s="372"/>
      <c r="EB271" s="372"/>
      <c r="EC271" s="372"/>
      <c r="ED271" s="372"/>
      <c r="EE271" s="372"/>
      <c r="EF271" s="372"/>
      <c r="EG271" s="372"/>
      <c r="EH271" s="372"/>
      <c r="EI271" s="372"/>
      <c r="EJ271" s="372"/>
      <c r="EK271" s="372"/>
      <c r="EL271" s="372"/>
      <c r="EM271" s="372"/>
      <c r="EN271" s="372"/>
      <c r="EO271" s="372"/>
      <c r="EP271" s="372"/>
      <c r="EQ271" s="372"/>
      <c r="ER271" s="372"/>
      <c r="ES271" s="372"/>
      <c r="ET271" s="372"/>
      <c r="EU271" s="372"/>
      <c r="EV271" s="372"/>
      <c r="EW271" s="372"/>
      <c r="EX271" s="372"/>
      <c r="EY271" s="372"/>
      <c r="EZ271" s="372"/>
      <c r="FA271" s="372"/>
      <c r="FB271" s="372"/>
      <c r="FC271" s="372"/>
      <c r="FD271" s="372"/>
      <c r="FE271" s="372"/>
      <c r="FF271" s="372"/>
      <c r="FG271" s="372"/>
      <c r="FH271" s="372"/>
      <c r="FI271" s="372"/>
      <c r="FJ271" s="372"/>
      <c r="FK271" s="372"/>
      <c r="FL271" s="372"/>
      <c r="FM271" s="372"/>
      <c r="FN271" s="372"/>
      <c r="FO271" s="372"/>
      <c r="FP271" s="372"/>
      <c r="FQ271" s="372"/>
      <c r="FR271" s="372"/>
      <c r="FS271" s="372"/>
      <c r="FT271" s="372"/>
      <c r="FU271" s="372"/>
      <c r="FV271" s="372"/>
      <c r="FW271" s="372"/>
      <c r="FX271" s="372"/>
      <c r="FY271" s="372"/>
      <c r="FZ271" s="372"/>
      <c r="GA271" s="372"/>
      <c r="GB271" s="372"/>
      <c r="GC271" s="372"/>
      <c r="GD271" s="372"/>
      <c r="GE271" s="372"/>
      <c r="GF271" s="372"/>
      <c r="GG271" s="372"/>
      <c r="GH271" s="372"/>
      <c r="GI271" s="372"/>
      <c r="GJ271" s="372"/>
      <c r="GK271" s="372"/>
      <c r="GL271" s="372"/>
      <c r="GM271" s="372"/>
      <c r="GN271" s="372"/>
      <c r="GO271" s="372"/>
      <c r="GP271" s="372"/>
      <c r="GQ271" s="372"/>
      <c r="GR271" s="372"/>
    </row>
    <row r="272" spans="1:200" s="59" customFormat="1" ht="19.5" customHeight="1" x14ac:dyDescent="0.3">
      <c r="B272" s="24"/>
      <c r="C272" s="141"/>
      <c r="D272" s="24"/>
      <c r="E272" s="142"/>
      <c r="F272" s="24"/>
      <c r="G272" s="141"/>
      <c r="H272" s="24"/>
      <c r="I272" s="24"/>
      <c r="J272" s="24"/>
      <c r="K272" s="24"/>
      <c r="L272" s="24"/>
      <c r="M272" s="179"/>
      <c r="N272" s="174" t="s">
        <v>287</v>
      </c>
      <c r="O272" s="174"/>
      <c r="P272" s="174"/>
      <c r="Q272" s="174"/>
      <c r="R272" s="174"/>
      <c r="S272" s="174"/>
      <c r="T272" s="175"/>
      <c r="U272" s="175"/>
      <c r="V272" s="25">
        <f>W272+X272+Y272+Z272</f>
        <v>68370.646999999997</v>
      </c>
      <c r="W272" s="21">
        <v>68370.646999999997</v>
      </c>
      <c r="X272" s="21"/>
      <c r="Y272" s="21"/>
      <c r="Z272" s="21"/>
      <c r="AA272" s="25">
        <f>AB272+AC272+AD272+AE272</f>
        <v>65743.138999999996</v>
      </c>
      <c r="AB272" s="21">
        <v>65743.138999999996</v>
      </c>
      <c r="AC272" s="21"/>
      <c r="AD272" s="21"/>
      <c r="AE272" s="21"/>
      <c r="AF272" s="25">
        <f>AG272+AH272+AI272+AJ272</f>
        <v>85442.017999999996</v>
      </c>
      <c r="AG272" s="21">
        <v>85442.017999999996</v>
      </c>
      <c r="AH272" s="21"/>
      <c r="AI272" s="21"/>
      <c r="AJ272" s="21"/>
      <c r="AK272" s="25">
        <f>AL272+AM272+AN272+AO272</f>
        <v>85442.017999999996</v>
      </c>
      <c r="AL272" s="21">
        <v>85442.017999999996</v>
      </c>
      <c r="AM272" s="21"/>
      <c r="AN272" s="21"/>
      <c r="AO272" s="21"/>
      <c r="AP272" s="21"/>
      <c r="AQ272" s="25">
        <f>AR272+AS272+AT272+AU272</f>
        <v>68370.646999999997</v>
      </c>
      <c r="AR272" s="21">
        <v>68370.646999999997</v>
      </c>
      <c r="AS272" s="54"/>
      <c r="AT272" s="54"/>
      <c r="AU272" s="54"/>
      <c r="AV272" s="25">
        <f t="shared" si="635"/>
        <v>0</v>
      </c>
      <c r="AW272" s="25">
        <f t="shared" si="636"/>
        <v>0</v>
      </c>
      <c r="AX272" s="54">
        <f t="shared" si="637"/>
        <v>0</v>
      </c>
      <c r="AY272" s="54">
        <f t="shared" si="638"/>
        <v>0</v>
      </c>
      <c r="AZ272" s="54"/>
      <c r="BA272" s="25">
        <f>BB272+BC272+BD272+BE272</f>
        <v>0</v>
      </c>
      <c r="BB272" s="21"/>
      <c r="BC272" s="54"/>
      <c r="BD272" s="54"/>
      <c r="BE272" s="54"/>
      <c r="BF272" s="25">
        <f>BG272+BH272+BI272+BJ272</f>
        <v>0</v>
      </c>
      <c r="BG272" s="21"/>
      <c r="BH272" s="54"/>
      <c r="BI272" s="54"/>
      <c r="BJ272" s="54"/>
      <c r="BK272" s="25">
        <f>BL272+BM272+BN272+BO272</f>
        <v>0</v>
      </c>
      <c r="BL272" s="21">
        <v>0</v>
      </c>
      <c r="BM272" s="171"/>
      <c r="BN272" s="171"/>
      <c r="BO272" s="171"/>
      <c r="BP272" s="25">
        <f>BQ272+BR272+BS272+BT272</f>
        <v>0</v>
      </c>
      <c r="BQ272" s="21"/>
      <c r="BR272" s="171"/>
      <c r="BS272" s="171"/>
      <c r="BT272" s="171"/>
      <c r="BU272" s="305">
        <f>BV272+BW272+BX272+BY272</f>
        <v>0</v>
      </c>
      <c r="BV272" s="53">
        <v>0</v>
      </c>
      <c r="BW272" s="171"/>
      <c r="BX272" s="171"/>
      <c r="BY272" s="171"/>
      <c r="BZ272" s="21">
        <f t="shared" si="639"/>
        <v>0</v>
      </c>
      <c r="CA272" s="53">
        <f>CB272+CC272+CD272+CE272</f>
        <v>0</v>
      </c>
      <c r="CB272" s="53">
        <f>BQ272+BV272</f>
        <v>0</v>
      </c>
      <c r="CC272" s="171"/>
      <c r="CD272" s="171"/>
      <c r="CE272" s="171"/>
      <c r="CF272" s="25">
        <f t="shared" si="640"/>
        <v>0</v>
      </c>
      <c r="CG272" s="25">
        <f t="shared" si="641"/>
        <v>0</v>
      </c>
      <c r="CH272" s="25">
        <f t="shared" si="642"/>
        <v>0</v>
      </c>
      <c r="CI272" s="25">
        <f t="shared" si="643"/>
        <v>0</v>
      </c>
      <c r="CJ272" s="25"/>
      <c r="CK272" s="306"/>
      <c r="CL272" s="307"/>
      <c r="CM272" s="307"/>
      <c r="CN272" s="25">
        <f>CO272+CP272+CQ272+CR272</f>
        <v>0</v>
      </c>
      <c r="CO272" s="21"/>
      <c r="CP272" s="171"/>
      <c r="CQ272" s="171"/>
      <c r="CR272" s="171"/>
      <c r="CS272" s="25">
        <f>CT272+CU272+CV272+CW272</f>
        <v>0</v>
      </c>
      <c r="CT272" s="21"/>
      <c r="CU272" s="171"/>
      <c r="CV272" s="171"/>
      <c r="CW272" s="171"/>
      <c r="CX272" s="307"/>
      <c r="CY272" s="307"/>
      <c r="CZ272" s="307"/>
      <c r="DA272" s="307"/>
      <c r="DB272" s="307"/>
      <c r="DC272" s="307"/>
      <c r="DD272" s="307"/>
      <c r="DE272" s="307"/>
      <c r="DF272" s="309"/>
      <c r="DG272" s="306"/>
      <c r="DH272" s="306"/>
      <c r="DI272" s="310"/>
      <c r="DJ272" s="307"/>
      <c r="DK272" s="307"/>
      <c r="DL272" s="307"/>
      <c r="DM272" s="307"/>
      <c r="DN272" s="307"/>
      <c r="DO272" s="307"/>
      <c r="DP272" s="307"/>
      <c r="DQ272" s="53">
        <f t="shared" si="650"/>
        <v>0</v>
      </c>
      <c r="DR272" s="21"/>
      <c r="DS272" s="53"/>
      <c r="DT272" s="53"/>
      <c r="DU272" s="311"/>
      <c r="DV272" s="53">
        <f t="shared" si="651"/>
        <v>0</v>
      </c>
      <c r="DW272" s="53">
        <v>0</v>
      </c>
      <c r="DX272" s="171"/>
      <c r="DY272" s="312"/>
      <c r="DZ272" s="171"/>
      <c r="EA272" s="372"/>
      <c r="EB272" s="372"/>
      <c r="EC272" s="372"/>
      <c r="ED272" s="372"/>
      <c r="EE272" s="372"/>
      <c r="EF272" s="372"/>
      <c r="EG272" s="372"/>
      <c r="EH272" s="372"/>
      <c r="EI272" s="372"/>
      <c r="EJ272" s="372"/>
      <c r="EK272" s="372"/>
      <c r="EL272" s="372"/>
      <c r="EM272" s="372"/>
      <c r="EN272" s="372"/>
      <c r="EO272" s="372"/>
      <c r="EP272" s="372"/>
      <c r="EQ272" s="372"/>
      <c r="ER272" s="372"/>
      <c r="ES272" s="372"/>
      <c r="ET272" s="372"/>
      <c r="EU272" s="372"/>
      <c r="EV272" s="372"/>
      <c r="EW272" s="372"/>
      <c r="EX272" s="372"/>
      <c r="EY272" s="372"/>
      <c r="EZ272" s="372"/>
      <c r="FA272" s="372"/>
      <c r="FB272" s="372"/>
      <c r="FC272" s="372"/>
      <c r="FD272" s="372"/>
      <c r="FE272" s="372"/>
      <c r="FF272" s="372"/>
      <c r="FG272" s="372"/>
      <c r="FH272" s="372"/>
      <c r="FI272" s="372"/>
      <c r="FJ272" s="372"/>
      <c r="FK272" s="372"/>
      <c r="FL272" s="372"/>
      <c r="FM272" s="372"/>
      <c r="FN272" s="372"/>
      <c r="FO272" s="372"/>
      <c r="FP272" s="372"/>
      <c r="FQ272" s="372"/>
      <c r="FR272" s="372"/>
      <c r="FS272" s="372"/>
      <c r="FT272" s="372"/>
      <c r="FU272" s="372"/>
      <c r="FV272" s="372"/>
      <c r="FW272" s="372"/>
      <c r="FX272" s="372"/>
      <c r="FY272" s="372"/>
      <c r="FZ272" s="372"/>
      <c r="GA272" s="372"/>
      <c r="GB272" s="372"/>
      <c r="GC272" s="372"/>
      <c r="GD272" s="372"/>
      <c r="GE272" s="372"/>
      <c r="GF272" s="372"/>
      <c r="GG272" s="372"/>
      <c r="GH272" s="372"/>
      <c r="GI272" s="372"/>
      <c r="GJ272" s="372"/>
      <c r="GK272" s="372"/>
      <c r="GL272" s="372"/>
      <c r="GM272" s="372"/>
      <c r="GN272" s="372"/>
      <c r="GO272" s="372"/>
      <c r="GP272" s="372"/>
      <c r="GQ272" s="372"/>
      <c r="GR272" s="372"/>
    </row>
    <row r="273" spans="2:200" s="59" customFormat="1" ht="19.5" customHeight="1" x14ac:dyDescent="0.3">
      <c r="B273" s="24"/>
      <c r="C273" s="141"/>
      <c r="D273" s="24"/>
      <c r="E273" s="142"/>
      <c r="F273" s="24"/>
      <c r="G273" s="141"/>
      <c r="H273" s="24"/>
      <c r="I273" s="24"/>
      <c r="J273" s="24"/>
      <c r="K273" s="24"/>
      <c r="L273" s="24"/>
      <c r="M273" s="179"/>
      <c r="N273" s="174" t="s">
        <v>286</v>
      </c>
      <c r="O273" s="174"/>
      <c r="P273" s="174"/>
      <c r="Q273" s="174"/>
      <c r="R273" s="174"/>
      <c r="S273" s="174"/>
      <c r="T273" s="175"/>
      <c r="U273" s="175"/>
      <c r="V273" s="25">
        <f>W273+X273+Y273+Z273</f>
        <v>15941.992</v>
      </c>
      <c r="W273" s="21">
        <v>15941.992</v>
      </c>
      <c r="X273" s="21"/>
      <c r="Y273" s="21"/>
      <c r="Z273" s="21"/>
      <c r="AA273" s="25">
        <f>AB273+AC273+AD273+AE273</f>
        <v>18569.5</v>
      </c>
      <c r="AB273" s="21">
        <v>18569.5</v>
      </c>
      <c r="AC273" s="21"/>
      <c r="AD273" s="21"/>
      <c r="AE273" s="21"/>
      <c r="AF273" s="25">
        <f>AG273+AH273+AI273+AJ273</f>
        <v>0</v>
      </c>
      <c r="AG273" s="21"/>
      <c r="AH273" s="21"/>
      <c r="AI273" s="21"/>
      <c r="AJ273" s="21"/>
      <c r="AK273" s="25">
        <f>AL273+AM273+AN273+AO273</f>
        <v>0</v>
      </c>
      <c r="AL273" s="21"/>
      <c r="AM273" s="21"/>
      <c r="AN273" s="21"/>
      <c r="AO273" s="21"/>
      <c r="AP273" s="21"/>
      <c r="AQ273" s="25">
        <f>AR273+AS273+AT273+AU273</f>
        <v>15941.992</v>
      </c>
      <c r="AR273" s="21">
        <v>15941.992</v>
      </c>
      <c r="AS273" s="54"/>
      <c r="AT273" s="54"/>
      <c r="AU273" s="54"/>
      <c r="AV273" s="25">
        <f t="shared" si="635"/>
        <v>0</v>
      </c>
      <c r="AW273" s="25">
        <f t="shared" si="636"/>
        <v>0</v>
      </c>
      <c r="AX273" s="54">
        <f t="shared" si="637"/>
        <v>0</v>
      </c>
      <c r="AY273" s="54">
        <f t="shared" si="638"/>
        <v>0</v>
      </c>
      <c r="AZ273" s="54"/>
      <c r="BA273" s="25">
        <f>BB273+BC273+BD273+BE273</f>
        <v>0</v>
      </c>
      <c r="BB273" s="21"/>
      <c r="BC273" s="54"/>
      <c r="BD273" s="54"/>
      <c r="BE273" s="54"/>
      <c r="BF273" s="25">
        <f>BG273+BH273+BI273+BJ273</f>
        <v>0</v>
      </c>
      <c r="BG273" s="21"/>
      <c r="BH273" s="54"/>
      <c r="BI273" s="54"/>
      <c r="BJ273" s="54"/>
      <c r="BK273" s="25">
        <f>BL273+BM273+BN273+BO273</f>
        <v>0</v>
      </c>
      <c r="BL273" s="21">
        <v>0</v>
      </c>
      <c r="BM273" s="171"/>
      <c r="BN273" s="171"/>
      <c r="BO273" s="171"/>
      <c r="BP273" s="25">
        <f>BQ273+BR273+BS273+BT273</f>
        <v>0</v>
      </c>
      <c r="BQ273" s="21"/>
      <c r="BR273" s="171"/>
      <c r="BS273" s="171"/>
      <c r="BT273" s="171"/>
      <c r="BU273" s="305">
        <f>BV273+BW273+BX273+BY273</f>
        <v>0</v>
      </c>
      <c r="BV273" s="53"/>
      <c r="BW273" s="171"/>
      <c r="BX273" s="171"/>
      <c r="BY273" s="171"/>
      <c r="BZ273" s="21">
        <f t="shared" si="639"/>
        <v>0</v>
      </c>
      <c r="CA273" s="53">
        <f>CB273+CC273+CD273+CE273</f>
        <v>0</v>
      </c>
      <c r="CB273" s="53">
        <f>BQ273+BV273</f>
        <v>0</v>
      </c>
      <c r="CC273" s="171"/>
      <c r="CD273" s="171"/>
      <c r="CE273" s="171"/>
      <c r="CF273" s="25">
        <f t="shared" si="640"/>
        <v>0</v>
      </c>
      <c r="CG273" s="25">
        <f t="shared" si="641"/>
        <v>0</v>
      </c>
      <c r="CH273" s="25">
        <f t="shared" si="642"/>
        <v>0</v>
      </c>
      <c r="CI273" s="25">
        <f t="shared" si="643"/>
        <v>0</v>
      </c>
      <c r="CJ273" s="25"/>
      <c r="CK273" s="306"/>
      <c r="CL273" s="307"/>
      <c r="CM273" s="307"/>
      <c r="CN273" s="25">
        <f>CO273+CP273+CQ273+CR273</f>
        <v>0</v>
      </c>
      <c r="CO273" s="21"/>
      <c r="CP273" s="171"/>
      <c r="CQ273" s="171"/>
      <c r="CR273" s="171"/>
      <c r="CS273" s="25">
        <f>CT273+CU273+CV273+CW273</f>
        <v>0</v>
      </c>
      <c r="CT273" s="21"/>
      <c r="CU273" s="171"/>
      <c r="CV273" s="171"/>
      <c r="CW273" s="171"/>
      <c r="CX273" s="307"/>
      <c r="CY273" s="307"/>
      <c r="CZ273" s="307"/>
      <c r="DA273" s="307"/>
      <c r="DB273" s="307"/>
      <c r="DC273" s="307"/>
      <c r="DD273" s="307"/>
      <c r="DE273" s="307"/>
      <c r="DF273" s="309"/>
      <c r="DG273" s="306"/>
      <c r="DH273" s="306"/>
      <c r="DI273" s="310"/>
      <c r="DJ273" s="307"/>
      <c r="DK273" s="307"/>
      <c r="DL273" s="307"/>
      <c r="DM273" s="307"/>
      <c r="DN273" s="307"/>
      <c r="DO273" s="307"/>
      <c r="DP273" s="307"/>
      <c r="DQ273" s="53">
        <f t="shared" si="650"/>
        <v>0</v>
      </c>
      <c r="DR273" s="21"/>
      <c r="DS273" s="53"/>
      <c r="DT273" s="53"/>
      <c r="DU273" s="311"/>
      <c r="DV273" s="53">
        <f t="shared" si="651"/>
        <v>0</v>
      </c>
      <c r="DW273" s="53"/>
      <c r="DX273" s="171"/>
      <c r="DY273" s="312"/>
      <c r="DZ273" s="171"/>
      <c r="EA273" s="372"/>
      <c r="EB273" s="372"/>
      <c r="EC273" s="372"/>
      <c r="ED273" s="372"/>
      <c r="EE273" s="372"/>
      <c r="EF273" s="372"/>
      <c r="EG273" s="372"/>
      <c r="EH273" s="372"/>
      <c r="EI273" s="372"/>
      <c r="EJ273" s="372"/>
      <c r="EK273" s="372"/>
      <c r="EL273" s="372"/>
      <c r="EM273" s="372"/>
      <c r="EN273" s="372"/>
      <c r="EO273" s="372"/>
      <c r="EP273" s="372"/>
      <c r="EQ273" s="372"/>
      <c r="ER273" s="372"/>
      <c r="ES273" s="372"/>
      <c r="ET273" s="372"/>
      <c r="EU273" s="372"/>
      <c r="EV273" s="372"/>
      <c r="EW273" s="372"/>
      <c r="EX273" s="372"/>
      <c r="EY273" s="372"/>
      <c r="EZ273" s="372"/>
      <c r="FA273" s="372"/>
      <c r="FB273" s="372"/>
      <c r="FC273" s="372"/>
      <c r="FD273" s="372"/>
      <c r="FE273" s="372"/>
      <c r="FF273" s="372"/>
      <c r="FG273" s="372"/>
      <c r="FH273" s="372"/>
      <c r="FI273" s="372"/>
      <c r="FJ273" s="372"/>
      <c r="FK273" s="372"/>
      <c r="FL273" s="372"/>
      <c r="FM273" s="372"/>
      <c r="FN273" s="372"/>
      <c r="FO273" s="372"/>
      <c r="FP273" s="372"/>
      <c r="FQ273" s="372"/>
      <c r="FR273" s="372"/>
      <c r="FS273" s="372"/>
      <c r="FT273" s="372"/>
      <c r="FU273" s="372"/>
      <c r="FV273" s="372"/>
      <c r="FW273" s="372"/>
      <c r="FX273" s="372"/>
      <c r="FY273" s="372"/>
      <c r="FZ273" s="372"/>
      <c r="GA273" s="372"/>
      <c r="GB273" s="372"/>
      <c r="GC273" s="372"/>
      <c r="GD273" s="372"/>
      <c r="GE273" s="372"/>
      <c r="GF273" s="372"/>
      <c r="GG273" s="372"/>
      <c r="GH273" s="372"/>
      <c r="GI273" s="372"/>
      <c r="GJ273" s="372"/>
      <c r="GK273" s="372"/>
      <c r="GL273" s="372"/>
      <c r="GM273" s="372"/>
      <c r="GN273" s="372"/>
      <c r="GO273" s="372"/>
      <c r="GP273" s="372"/>
      <c r="GQ273" s="372"/>
      <c r="GR273" s="372"/>
    </row>
    <row r="274" spans="2:200" s="59" customFormat="1" ht="52.95" customHeight="1" x14ac:dyDescent="0.3">
      <c r="B274" s="24"/>
      <c r="C274" s="141"/>
      <c r="D274" s="24"/>
      <c r="E274" s="142"/>
      <c r="F274" s="24"/>
      <c r="G274" s="141"/>
      <c r="H274" s="24"/>
      <c r="I274" s="24"/>
      <c r="J274" s="24"/>
      <c r="K274" s="24"/>
      <c r="L274" s="24"/>
      <c r="M274" s="303">
        <v>3</v>
      </c>
      <c r="N274" s="348" t="s">
        <v>329</v>
      </c>
      <c r="O274" s="178"/>
      <c r="P274" s="178"/>
      <c r="Q274" s="178"/>
      <c r="R274" s="178"/>
      <c r="S274" s="178"/>
      <c r="T274" s="181">
        <v>1</v>
      </c>
      <c r="U274" s="181"/>
      <c r="V274" s="21">
        <f>V275+V276</f>
        <v>55000</v>
      </c>
      <c r="W274" s="21">
        <f>W275+W276</f>
        <v>55000</v>
      </c>
      <c r="X274" s="21"/>
      <c r="Y274" s="21"/>
      <c r="Z274" s="21"/>
      <c r="AA274" s="21">
        <f>AA275+AA276</f>
        <v>55000</v>
      </c>
      <c r="AB274" s="21">
        <f>AB275+AB276</f>
        <v>55000</v>
      </c>
      <c r="AC274" s="21"/>
      <c r="AD274" s="21"/>
      <c r="AE274" s="21"/>
      <c r="AF274" s="21">
        <f>AF275+AF276</f>
        <v>159311.58199999999</v>
      </c>
      <c r="AG274" s="21">
        <f>AG275+AG276</f>
        <v>159311.58199999999</v>
      </c>
      <c r="AH274" s="21"/>
      <c r="AI274" s="21"/>
      <c r="AJ274" s="21"/>
      <c r="AK274" s="25">
        <f>AK275+AK276</f>
        <v>159311.58199999999</v>
      </c>
      <c r="AL274" s="21">
        <f>AL275+AL276</f>
        <v>159311.58199999999</v>
      </c>
      <c r="AM274" s="21"/>
      <c r="AN274" s="21"/>
      <c r="AO274" s="21"/>
      <c r="AP274" s="29" t="s">
        <v>406</v>
      </c>
      <c r="AQ274" s="21">
        <f>AQ275+AQ276</f>
        <v>55000</v>
      </c>
      <c r="AR274" s="21">
        <f>AR275+AR276</f>
        <v>55000</v>
      </c>
      <c r="AS274" s="54"/>
      <c r="AT274" s="54"/>
      <c r="AU274" s="54"/>
      <c r="AV274" s="21">
        <f t="shared" si="635"/>
        <v>0</v>
      </c>
      <c r="AW274" s="21">
        <f t="shared" si="636"/>
        <v>0</v>
      </c>
      <c r="AX274" s="53">
        <f t="shared" si="637"/>
        <v>0</v>
      </c>
      <c r="AY274" s="53">
        <f t="shared" si="638"/>
        <v>0</v>
      </c>
      <c r="AZ274" s="54"/>
      <c r="BA274" s="21">
        <f>BA275+BA276</f>
        <v>0</v>
      </c>
      <c r="BB274" s="21"/>
      <c r="BC274" s="54"/>
      <c r="BD274" s="54"/>
      <c r="BE274" s="54"/>
      <c r="BF274" s="21">
        <f>BF275+BF276</f>
        <v>0</v>
      </c>
      <c r="BG274" s="21">
        <f>BG275+BG276</f>
        <v>0</v>
      </c>
      <c r="BH274" s="54"/>
      <c r="BI274" s="54"/>
      <c r="BJ274" s="54"/>
      <c r="BK274" s="21">
        <f>BK275+BK276</f>
        <v>0</v>
      </c>
      <c r="BL274" s="21">
        <f>BL275+BL276</f>
        <v>0</v>
      </c>
      <c r="BM274" s="171"/>
      <c r="BN274" s="171"/>
      <c r="BO274" s="171"/>
      <c r="BP274" s="21">
        <f>BP275+BP276</f>
        <v>0</v>
      </c>
      <c r="BQ274" s="21">
        <f>BQ275+BQ276</f>
        <v>0</v>
      </c>
      <c r="BR274" s="171"/>
      <c r="BS274" s="171"/>
      <c r="BT274" s="171"/>
      <c r="BU274" s="305">
        <f>BU275+BU276</f>
        <v>0</v>
      </c>
      <c r="BV274" s="53">
        <f>BV275+BV276</f>
        <v>0</v>
      </c>
      <c r="BW274" s="171"/>
      <c r="BX274" s="171"/>
      <c r="BY274" s="171"/>
      <c r="BZ274" s="21">
        <f t="shared" si="639"/>
        <v>0</v>
      </c>
      <c r="CA274" s="53">
        <f>CA275+CA276</f>
        <v>0</v>
      </c>
      <c r="CB274" s="53">
        <f t="shared" si="649"/>
        <v>0</v>
      </c>
      <c r="CC274" s="171"/>
      <c r="CD274" s="171"/>
      <c r="CE274" s="171"/>
      <c r="CF274" s="25">
        <f t="shared" si="640"/>
        <v>0</v>
      </c>
      <c r="CG274" s="25">
        <f t="shared" si="641"/>
        <v>0</v>
      </c>
      <c r="CH274" s="25">
        <f t="shared" si="642"/>
        <v>0</v>
      </c>
      <c r="CI274" s="25">
        <f t="shared" si="643"/>
        <v>0</v>
      </c>
      <c r="CJ274" s="25"/>
      <c r="CK274" s="306"/>
      <c r="CL274" s="307"/>
      <c r="CM274" s="307"/>
      <c r="CN274" s="22">
        <f>CN275+CN276</f>
        <v>0</v>
      </c>
      <c r="CO274" s="22">
        <f>CO275+CO276</f>
        <v>0</v>
      </c>
      <c r="CP274" s="171"/>
      <c r="CQ274" s="171"/>
      <c r="CR274" s="171"/>
      <c r="CS274" s="22">
        <f>CS275+CS276</f>
        <v>0</v>
      </c>
      <c r="CT274" s="22">
        <f>CT275+CT276</f>
        <v>0</v>
      </c>
      <c r="CU274" s="171"/>
      <c r="CV274" s="171"/>
      <c r="CW274" s="171"/>
      <c r="CX274" s="307"/>
      <c r="CY274" s="307"/>
      <c r="CZ274" s="307"/>
      <c r="DA274" s="307"/>
      <c r="DB274" s="307"/>
      <c r="DC274" s="307"/>
      <c r="DD274" s="307"/>
      <c r="DE274" s="307"/>
      <c r="DF274" s="309"/>
      <c r="DG274" s="306"/>
      <c r="DH274" s="306"/>
      <c r="DI274" s="310"/>
      <c r="DJ274" s="307"/>
      <c r="DK274" s="307"/>
      <c r="DL274" s="307"/>
      <c r="DM274" s="307"/>
      <c r="DN274" s="307"/>
      <c r="DO274" s="307"/>
      <c r="DP274" s="307"/>
      <c r="DQ274" s="53">
        <f t="shared" si="650"/>
        <v>0</v>
      </c>
      <c r="DR274" s="21">
        <f>DR275+DR276</f>
        <v>0</v>
      </c>
      <c r="DS274" s="53"/>
      <c r="DT274" s="53"/>
      <c r="DU274" s="311"/>
      <c r="DV274" s="53">
        <f t="shared" si="651"/>
        <v>0</v>
      </c>
      <c r="DW274" s="53">
        <f>DW275+DW276</f>
        <v>0</v>
      </c>
      <c r="DX274" s="171"/>
      <c r="DY274" s="312"/>
      <c r="DZ274" s="171"/>
      <c r="EA274" s="372"/>
      <c r="EB274" s="372"/>
      <c r="EC274" s="372"/>
      <c r="ED274" s="372"/>
      <c r="EE274" s="372"/>
      <c r="EF274" s="372"/>
      <c r="EG274" s="372"/>
      <c r="EH274" s="372"/>
      <c r="EI274" s="372"/>
      <c r="EJ274" s="372"/>
      <c r="EK274" s="372"/>
      <c r="EL274" s="372"/>
      <c r="EM274" s="372"/>
      <c r="EN274" s="372"/>
      <c r="EO274" s="372"/>
      <c r="EP274" s="372"/>
      <c r="EQ274" s="372"/>
      <c r="ER274" s="372"/>
      <c r="ES274" s="372"/>
      <c r="ET274" s="372"/>
      <c r="EU274" s="372"/>
      <c r="EV274" s="372"/>
      <c r="EW274" s="372"/>
      <c r="EX274" s="372"/>
      <c r="EY274" s="372"/>
      <c r="EZ274" s="372"/>
      <c r="FA274" s="372"/>
      <c r="FB274" s="372"/>
      <c r="FC274" s="372"/>
      <c r="FD274" s="372"/>
      <c r="FE274" s="372"/>
      <c r="FF274" s="372"/>
      <c r="FG274" s="372"/>
      <c r="FH274" s="372"/>
      <c r="FI274" s="372"/>
      <c r="FJ274" s="372"/>
      <c r="FK274" s="372"/>
      <c r="FL274" s="372"/>
      <c r="FM274" s="372"/>
      <c r="FN274" s="372"/>
      <c r="FO274" s="372"/>
      <c r="FP274" s="372"/>
      <c r="FQ274" s="372"/>
      <c r="FR274" s="372"/>
      <c r="FS274" s="372"/>
      <c r="FT274" s="372"/>
      <c r="FU274" s="372"/>
      <c r="FV274" s="372"/>
      <c r="FW274" s="372"/>
      <c r="FX274" s="372"/>
      <c r="FY274" s="372"/>
      <c r="FZ274" s="372"/>
      <c r="GA274" s="372"/>
      <c r="GB274" s="372"/>
      <c r="GC274" s="372"/>
      <c r="GD274" s="372"/>
      <c r="GE274" s="372"/>
      <c r="GF274" s="372"/>
      <c r="GG274" s="372"/>
      <c r="GH274" s="372"/>
      <c r="GI274" s="372"/>
      <c r="GJ274" s="372"/>
      <c r="GK274" s="372"/>
      <c r="GL274" s="372"/>
      <c r="GM274" s="372"/>
      <c r="GN274" s="372"/>
      <c r="GO274" s="372"/>
      <c r="GP274" s="372"/>
      <c r="GQ274" s="372"/>
      <c r="GR274" s="372"/>
    </row>
    <row r="275" spans="2:200" s="59" customFormat="1" ht="16.5" customHeight="1" x14ac:dyDescent="0.3">
      <c r="B275" s="24"/>
      <c r="C275" s="141"/>
      <c r="D275" s="24"/>
      <c r="E275" s="142"/>
      <c r="F275" s="24"/>
      <c r="G275" s="141"/>
      <c r="H275" s="24"/>
      <c r="I275" s="24"/>
      <c r="J275" s="24"/>
      <c r="K275" s="24"/>
      <c r="L275" s="24"/>
      <c r="M275" s="179"/>
      <c r="N275" s="182" t="s">
        <v>287</v>
      </c>
      <c r="O275" s="182"/>
      <c r="P275" s="182"/>
      <c r="Q275" s="182"/>
      <c r="R275" s="182"/>
      <c r="S275" s="182"/>
      <c r="T275" s="183"/>
      <c r="U275" s="183"/>
      <c r="V275" s="25">
        <f>W275+X275+Y275+Z275</f>
        <v>55000</v>
      </c>
      <c r="W275" s="25">
        <v>55000</v>
      </c>
      <c r="X275" s="21"/>
      <c r="Y275" s="21"/>
      <c r="Z275" s="21"/>
      <c r="AA275" s="25">
        <f>AB275+AC275+AD275+AE275</f>
        <v>55000</v>
      </c>
      <c r="AB275" s="25">
        <v>55000</v>
      </c>
      <c r="AC275" s="21"/>
      <c r="AD275" s="21"/>
      <c r="AE275" s="21"/>
      <c r="AF275" s="25">
        <f>AG275+AH275+AI275+AJ275</f>
        <v>159311.58199999999</v>
      </c>
      <c r="AG275" s="25">
        <v>159311.58199999999</v>
      </c>
      <c r="AH275" s="21"/>
      <c r="AI275" s="21"/>
      <c r="AJ275" s="21"/>
      <c r="AK275" s="25">
        <f>AL275+AM275+AN275+AO275</f>
        <v>159311.58199999999</v>
      </c>
      <c r="AL275" s="25">
        <v>159311.58199999999</v>
      </c>
      <c r="AM275" s="21"/>
      <c r="AN275" s="21"/>
      <c r="AO275" s="21"/>
      <c r="AP275" s="21"/>
      <c r="AQ275" s="25">
        <f>AR275+AS275+AT275+AU275</f>
        <v>55000</v>
      </c>
      <c r="AR275" s="25">
        <v>55000</v>
      </c>
      <c r="AS275" s="54"/>
      <c r="AT275" s="54"/>
      <c r="AU275" s="54"/>
      <c r="AV275" s="25">
        <f t="shared" si="635"/>
        <v>0</v>
      </c>
      <c r="AW275" s="25">
        <f t="shared" si="636"/>
        <v>0</v>
      </c>
      <c r="AX275" s="54">
        <f t="shared" si="637"/>
        <v>0</v>
      </c>
      <c r="AY275" s="54">
        <f t="shared" si="638"/>
        <v>0</v>
      </c>
      <c r="AZ275" s="54"/>
      <c r="BA275" s="25">
        <f>BB275+BC275+BD275+BE275</f>
        <v>0</v>
      </c>
      <c r="BB275" s="21"/>
      <c r="BC275" s="54"/>
      <c r="BD275" s="54"/>
      <c r="BE275" s="54"/>
      <c r="BF275" s="25">
        <f>BG275+BH275+BI275+BJ275</f>
        <v>0</v>
      </c>
      <c r="BG275" s="21"/>
      <c r="BH275" s="54"/>
      <c r="BI275" s="54"/>
      <c r="BJ275" s="54"/>
      <c r="BK275" s="25">
        <f>BL275+BM275+BN275+BO275</f>
        <v>0</v>
      </c>
      <c r="BL275" s="21"/>
      <c r="BM275" s="171"/>
      <c r="BN275" s="171"/>
      <c r="BO275" s="171"/>
      <c r="BP275" s="25">
        <f>BQ275+BR275+BS275+BT275</f>
        <v>0</v>
      </c>
      <c r="BQ275" s="21"/>
      <c r="BR275" s="171"/>
      <c r="BS275" s="171"/>
      <c r="BT275" s="171"/>
      <c r="BU275" s="305">
        <f>BV275+BW275+BX275+BY275</f>
        <v>0</v>
      </c>
      <c r="BV275" s="53"/>
      <c r="BW275" s="171"/>
      <c r="BX275" s="171"/>
      <c r="BY275" s="171"/>
      <c r="BZ275" s="21">
        <f t="shared" si="639"/>
        <v>0</v>
      </c>
      <c r="CA275" s="53">
        <f>CB275+CC275+CD275+CE275</f>
        <v>0</v>
      </c>
      <c r="CB275" s="53">
        <f>BQ275+BV275</f>
        <v>0</v>
      </c>
      <c r="CC275" s="171"/>
      <c r="CD275" s="171"/>
      <c r="CE275" s="171"/>
      <c r="CF275" s="25">
        <f t="shared" si="640"/>
        <v>0</v>
      </c>
      <c r="CG275" s="25">
        <f t="shared" si="641"/>
        <v>0</v>
      </c>
      <c r="CH275" s="25">
        <f t="shared" si="642"/>
        <v>0</v>
      </c>
      <c r="CI275" s="25">
        <f t="shared" si="643"/>
        <v>0</v>
      </c>
      <c r="CJ275" s="25"/>
      <c r="CK275" s="306"/>
      <c r="CL275" s="307"/>
      <c r="CM275" s="307"/>
      <c r="CN275" s="25">
        <f>CO275+CP275+CQ275+CR275</f>
        <v>0</v>
      </c>
      <c r="CO275" s="21"/>
      <c r="CP275" s="171"/>
      <c r="CQ275" s="171"/>
      <c r="CR275" s="171"/>
      <c r="CS275" s="25">
        <f>CT275+CU275+CV275+CW275</f>
        <v>0</v>
      </c>
      <c r="CT275" s="21"/>
      <c r="CU275" s="171"/>
      <c r="CV275" s="171"/>
      <c r="CW275" s="171"/>
      <c r="CX275" s="307"/>
      <c r="CY275" s="307"/>
      <c r="CZ275" s="307"/>
      <c r="DA275" s="307"/>
      <c r="DB275" s="307"/>
      <c r="DC275" s="307"/>
      <c r="DD275" s="307"/>
      <c r="DE275" s="307"/>
      <c r="DF275" s="309"/>
      <c r="DG275" s="306"/>
      <c r="DH275" s="306"/>
      <c r="DI275" s="310"/>
      <c r="DJ275" s="307"/>
      <c r="DK275" s="307"/>
      <c r="DL275" s="307"/>
      <c r="DM275" s="307"/>
      <c r="DN275" s="307"/>
      <c r="DO275" s="307"/>
      <c r="DP275" s="307"/>
      <c r="DQ275" s="53">
        <f t="shared" si="650"/>
        <v>0</v>
      </c>
      <c r="DR275" s="21"/>
      <c r="DS275" s="53"/>
      <c r="DT275" s="53"/>
      <c r="DU275" s="311"/>
      <c r="DV275" s="53">
        <f t="shared" si="651"/>
        <v>0</v>
      </c>
      <c r="DW275" s="53"/>
      <c r="DX275" s="171"/>
      <c r="DY275" s="312"/>
      <c r="DZ275" s="171"/>
      <c r="EA275" s="372"/>
      <c r="EB275" s="372"/>
      <c r="EC275" s="372"/>
      <c r="ED275" s="372"/>
      <c r="EE275" s="372"/>
      <c r="EF275" s="372"/>
      <c r="EG275" s="372"/>
      <c r="EH275" s="372"/>
      <c r="EI275" s="372"/>
      <c r="EJ275" s="372"/>
      <c r="EK275" s="372"/>
      <c r="EL275" s="372"/>
      <c r="EM275" s="372"/>
      <c r="EN275" s="372"/>
      <c r="EO275" s="372"/>
      <c r="EP275" s="372"/>
      <c r="EQ275" s="372"/>
      <c r="ER275" s="372"/>
      <c r="ES275" s="372"/>
      <c r="ET275" s="372"/>
      <c r="EU275" s="372"/>
      <c r="EV275" s="372"/>
      <c r="EW275" s="372"/>
      <c r="EX275" s="372"/>
      <c r="EY275" s="372"/>
      <c r="EZ275" s="372"/>
      <c r="FA275" s="372"/>
      <c r="FB275" s="372"/>
      <c r="FC275" s="372"/>
      <c r="FD275" s="372"/>
      <c r="FE275" s="372"/>
      <c r="FF275" s="372"/>
      <c r="FG275" s="372"/>
      <c r="FH275" s="372"/>
      <c r="FI275" s="372"/>
      <c r="FJ275" s="372"/>
      <c r="FK275" s="372"/>
      <c r="FL275" s="372"/>
      <c r="FM275" s="372"/>
      <c r="FN275" s="372"/>
      <c r="FO275" s="372"/>
      <c r="FP275" s="372"/>
      <c r="FQ275" s="372"/>
      <c r="FR275" s="372"/>
      <c r="FS275" s="372"/>
      <c r="FT275" s="372"/>
      <c r="FU275" s="372"/>
      <c r="FV275" s="372"/>
      <c r="FW275" s="372"/>
      <c r="FX275" s="372"/>
      <c r="FY275" s="372"/>
      <c r="FZ275" s="372"/>
      <c r="GA275" s="372"/>
      <c r="GB275" s="372"/>
      <c r="GC275" s="372"/>
      <c r="GD275" s="372"/>
      <c r="GE275" s="372"/>
      <c r="GF275" s="372"/>
      <c r="GG275" s="372"/>
      <c r="GH275" s="372"/>
      <c r="GI275" s="372"/>
      <c r="GJ275" s="372"/>
      <c r="GK275" s="372"/>
      <c r="GL275" s="372"/>
      <c r="GM275" s="372"/>
      <c r="GN275" s="372"/>
      <c r="GO275" s="372"/>
      <c r="GP275" s="372"/>
      <c r="GQ275" s="372"/>
      <c r="GR275" s="372"/>
    </row>
    <row r="276" spans="2:200" s="59" customFormat="1" ht="16.5" customHeight="1" x14ac:dyDescent="0.3">
      <c r="B276" s="24"/>
      <c r="C276" s="141"/>
      <c r="D276" s="24"/>
      <c r="E276" s="142"/>
      <c r="F276" s="24"/>
      <c r="G276" s="141"/>
      <c r="H276" s="24"/>
      <c r="I276" s="24"/>
      <c r="J276" s="24"/>
      <c r="K276" s="24"/>
      <c r="L276" s="24"/>
      <c r="M276" s="179"/>
      <c r="N276" s="182" t="s">
        <v>286</v>
      </c>
      <c r="O276" s="182"/>
      <c r="P276" s="182"/>
      <c r="Q276" s="182"/>
      <c r="R276" s="182"/>
      <c r="S276" s="182"/>
      <c r="T276" s="183"/>
      <c r="U276" s="183"/>
      <c r="V276" s="25">
        <f>W276+X276+Y276+Z276</f>
        <v>0</v>
      </c>
      <c r="W276" s="21"/>
      <c r="X276" s="21"/>
      <c r="Y276" s="21"/>
      <c r="Z276" s="21"/>
      <c r="AA276" s="25">
        <f>AB276+AC276+AD276+AE276</f>
        <v>0</v>
      </c>
      <c r="AB276" s="21"/>
      <c r="AC276" s="21"/>
      <c r="AD276" s="21"/>
      <c r="AE276" s="21"/>
      <c r="AF276" s="25">
        <f>AG276+AH276+AI276+AJ276</f>
        <v>0</v>
      </c>
      <c r="AG276" s="21"/>
      <c r="AH276" s="21"/>
      <c r="AI276" s="21"/>
      <c r="AJ276" s="21"/>
      <c r="AK276" s="25">
        <f>AL276+AM276+AN276+AO276</f>
        <v>0</v>
      </c>
      <c r="AL276" s="21"/>
      <c r="AM276" s="21"/>
      <c r="AN276" s="21"/>
      <c r="AO276" s="21"/>
      <c r="AP276" s="21"/>
      <c r="AQ276" s="25">
        <f>AR276+AS276+AT276+AU276</f>
        <v>0</v>
      </c>
      <c r="AR276" s="21"/>
      <c r="AS276" s="54"/>
      <c r="AT276" s="54"/>
      <c r="AU276" s="54"/>
      <c r="AV276" s="25">
        <f t="shared" si="635"/>
        <v>0</v>
      </c>
      <c r="AW276" s="25">
        <f t="shared" si="636"/>
        <v>0</v>
      </c>
      <c r="AX276" s="54">
        <f t="shared" si="637"/>
        <v>0</v>
      </c>
      <c r="AY276" s="54">
        <f t="shared" si="638"/>
        <v>0</v>
      </c>
      <c r="AZ276" s="54"/>
      <c r="BA276" s="25">
        <f>BB276+BC276+BD276+BE276</f>
        <v>0</v>
      </c>
      <c r="BB276" s="21"/>
      <c r="BC276" s="54"/>
      <c r="BD276" s="54"/>
      <c r="BE276" s="54"/>
      <c r="BF276" s="25">
        <f>BG276+BH276+BI276+BJ276</f>
        <v>0</v>
      </c>
      <c r="BG276" s="21"/>
      <c r="BH276" s="54"/>
      <c r="BI276" s="54"/>
      <c r="BJ276" s="54"/>
      <c r="BK276" s="25">
        <f>BL276+BM276+BN276+BO276</f>
        <v>0</v>
      </c>
      <c r="BL276" s="21"/>
      <c r="BM276" s="171"/>
      <c r="BN276" s="171"/>
      <c r="BO276" s="171"/>
      <c r="BP276" s="25">
        <f>BQ276+BR276+BS276+BT276</f>
        <v>0</v>
      </c>
      <c r="BQ276" s="21"/>
      <c r="BR276" s="171"/>
      <c r="BS276" s="171"/>
      <c r="BT276" s="171"/>
      <c r="BU276" s="305">
        <f>BV276+BW276+BX276+BY276</f>
        <v>0</v>
      </c>
      <c r="BV276" s="53"/>
      <c r="BW276" s="171"/>
      <c r="BX276" s="171"/>
      <c r="BY276" s="171"/>
      <c r="BZ276" s="21">
        <f t="shared" si="639"/>
        <v>0</v>
      </c>
      <c r="CA276" s="53">
        <f>CB276+CC276+CD276+CE276</f>
        <v>0</v>
      </c>
      <c r="CB276" s="53">
        <f>BQ276+BV276</f>
        <v>0</v>
      </c>
      <c r="CC276" s="171"/>
      <c r="CD276" s="171"/>
      <c r="CE276" s="171"/>
      <c r="CF276" s="25">
        <f t="shared" si="640"/>
        <v>0</v>
      </c>
      <c r="CG276" s="25">
        <f t="shared" si="641"/>
        <v>0</v>
      </c>
      <c r="CH276" s="25">
        <f t="shared" si="642"/>
        <v>0</v>
      </c>
      <c r="CI276" s="25">
        <f t="shared" si="643"/>
        <v>0</v>
      </c>
      <c r="CJ276" s="25"/>
      <c r="CK276" s="306"/>
      <c r="CL276" s="307"/>
      <c r="CM276" s="307"/>
      <c r="CN276" s="25">
        <f>CO276+CP276+CQ276+CR276</f>
        <v>0</v>
      </c>
      <c r="CO276" s="21"/>
      <c r="CP276" s="171"/>
      <c r="CQ276" s="171"/>
      <c r="CR276" s="171"/>
      <c r="CS276" s="25">
        <f>CT276+CU276+CV276+CW276</f>
        <v>0</v>
      </c>
      <c r="CT276" s="21"/>
      <c r="CU276" s="171"/>
      <c r="CV276" s="171"/>
      <c r="CW276" s="171"/>
      <c r="CX276" s="307"/>
      <c r="CY276" s="307"/>
      <c r="CZ276" s="307"/>
      <c r="DA276" s="307"/>
      <c r="DB276" s="307"/>
      <c r="DC276" s="307"/>
      <c r="DD276" s="307"/>
      <c r="DE276" s="307"/>
      <c r="DF276" s="309"/>
      <c r="DG276" s="306"/>
      <c r="DH276" s="306"/>
      <c r="DI276" s="310"/>
      <c r="DJ276" s="307"/>
      <c r="DK276" s="307"/>
      <c r="DL276" s="307"/>
      <c r="DM276" s="307"/>
      <c r="DN276" s="307"/>
      <c r="DO276" s="307"/>
      <c r="DP276" s="307"/>
      <c r="DQ276" s="53">
        <f t="shared" si="650"/>
        <v>0</v>
      </c>
      <c r="DR276" s="21"/>
      <c r="DS276" s="53"/>
      <c r="DT276" s="53"/>
      <c r="DU276" s="311"/>
      <c r="DV276" s="53">
        <f t="shared" si="651"/>
        <v>0</v>
      </c>
      <c r="DW276" s="53"/>
      <c r="DX276" s="171"/>
      <c r="DY276" s="312"/>
      <c r="DZ276" s="171"/>
      <c r="EA276" s="372"/>
      <c r="EB276" s="372"/>
      <c r="EC276" s="372"/>
      <c r="ED276" s="372"/>
      <c r="EE276" s="372"/>
      <c r="EF276" s="372"/>
      <c r="EG276" s="372"/>
      <c r="EH276" s="372"/>
      <c r="EI276" s="372"/>
      <c r="EJ276" s="372"/>
      <c r="EK276" s="372"/>
      <c r="EL276" s="372"/>
      <c r="EM276" s="372"/>
      <c r="EN276" s="372"/>
      <c r="EO276" s="372"/>
      <c r="EP276" s="372"/>
      <c r="EQ276" s="372"/>
      <c r="ER276" s="372"/>
      <c r="ES276" s="372"/>
      <c r="ET276" s="372"/>
      <c r="EU276" s="372"/>
      <c r="EV276" s="372"/>
      <c r="EW276" s="372"/>
      <c r="EX276" s="372"/>
      <c r="EY276" s="372"/>
      <c r="EZ276" s="372"/>
      <c r="FA276" s="372"/>
      <c r="FB276" s="372"/>
      <c r="FC276" s="372"/>
      <c r="FD276" s="372"/>
      <c r="FE276" s="372"/>
      <c r="FF276" s="372"/>
      <c r="FG276" s="372"/>
      <c r="FH276" s="372"/>
      <c r="FI276" s="372"/>
      <c r="FJ276" s="372"/>
      <c r="FK276" s="372"/>
      <c r="FL276" s="372"/>
      <c r="FM276" s="372"/>
      <c r="FN276" s="372"/>
      <c r="FO276" s="372"/>
      <c r="FP276" s="372"/>
      <c r="FQ276" s="372"/>
      <c r="FR276" s="372"/>
      <c r="FS276" s="372"/>
      <c r="FT276" s="372"/>
      <c r="FU276" s="372"/>
      <c r="FV276" s="372"/>
      <c r="FW276" s="372"/>
      <c r="FX276" s="372"/>
      <c r="FY276" s="372"/>
      <c r="FZ276" s="372"/>
      <c r="GA276" s="372"/>
      <c r="GB276" s="372"/>
      <c r="GC276" s="372"/>
      <c r="GD276" s="372"/>
      <c r="GE276" s="372"/>
      <c r="GF276" s="372"/>
      <c r="GG276" s="372"/>
      <c r="GH276" s="372"/>
      <c r="GI276" s="372"/>
      <c r="GJ276" s="372"/>
      <c r="GK276" s="372"/>
      <c r="GL276" s="372"/>
      <c r="GM276" s="372"/>
      <c r="GN276" s="372"/>
      <c r="GO276" s="372"/>
      <c r="GP276" s="372"/>
      <c r="GQ276" s="372"/>
      <c r="GR276" s="372"/>
    </row>
    <row r="277" spans="2:200" s="59" customFormat="1" ht="49.2" customHeight="1" x14ac:dyDescent="0.3">
      <c r="B277" s="24"/>
      <c r="C277" s="141"/>
      <c r="D277" s="24"/>
      <c r="E277" s="142"/>
      <c r="F277" s="24"/>
      <c r="G277" s="141"/>
      <c r="H277" s="24"/>
      <c r="I277" s="24"/>
      <c r="J277" s="24"/>
      <c r="K277" s="24"/>
      <c r="L277" s="24"/>
      <c r="M277" s="303">
        <v>4</v>
      </c>
      <c r="N277" s="349" t="s">
        <v>408</v>
      </c>
      <c r="O277" s="184"/>
      <c r="P277" s="184"/>
      <c r="Q277" s="184"/>
      <c r="R277" s="184"/>
      <c r="S277" s="184"/>
      <c r="T277" s="21"/>
      <c r="U277" s="21">
        <v>1</v>
      </c>
      <c r="V277" s="21">
        <f>V278+V279</f>
        <v>15700</v>
      </c>
      <c r="W277" s="21">
        <f>W278+W279</f>
        <v>15700</v>
      </c>
      <c r="X277" s="21"/>
      <c r="Y277" s="21"/>
      <c r="Z277" s="21"/>
      <c r="AA277" s="21">
        <f>AA278+AA279</f>
        <v>15700</v>
      </c>
      <c r="AB277" s="21">
        <f>AB278+AB279</f>
        <v>15700</v>
      </c>
      <c r="AC277" s="21"/>
      <c r="AD277" s="21"/>
      <c r="AE277" s="21"/>
      <c r="AF277" s="21">
        <f>AF278+AF279</f>
        <v>0</v>
      </c>
      <c r="AG277" s="21">
        <f>AG278+AG279</f>
        <v>0</v>
      </c>
      <c r="AH277" s="21"/>
      <c r="AI277" s="21"/>
      <c r="AJ277" s="21"/>
      <c r="AK277" s="25">
        <f>AK278+AK279</f>
        <v>0</v>
      </c>
      <c r="AL277" s="21">
        <f>AL278+AL279</f>
        <v>0</v>
      </c>
      <c r="AM277" s="21"/>
      <c r="AN277" s="21"/>
      <c r="AO277" s="21"/>
      <c r="AP277" s="21" t="s">
        <v>430</v>
      </c>
      <c r="AQ277" s="21">
        <f>AQ278+AQ279</f>
        <v>15700</v>
      </c>
      <c r="AR277" s="21">
        <f>AR278+AR279</f>
        <v>15700</v>
      </c>
      <c r="AS277" s="54"/>
      <c r="AT277" s="54"/>
      <c r="AU277" s="54"/>
      <c r="AV277" s="21">
        <f t="shared" si="635"/>
        <v>0</v>
      </c>
      <c r="AW277" s="21">
        <f t="shared" si="636"/>
        <v>0</v>
      </c>
      <c r="AX277" s="53">
        <f t="shared" si="637"/>
        <v>0</v>
      </c>
      <c r="AY277" s="53">
        <f t="shared" si="638"/>
        <v>0</v>
      </c>
      <c r="AZ277" s="54"/>
      <c r="BA277" s="21">
        <f>BA278+BA279</f>
        <v>2844.5320000000002</v>
      </c>
      <c r="BB277" s="21"/>
      <c r="BC277" s="54"/>
      <c r="BD277" s="54"/>
      <c r="BE277" s="54"/>
      <c r="BF277" s="21">
        <f>BF278+BF279</f>
        <v>0</v>
      </c>
      <c r="BG277" s="21">
        <f>BG278+BG279</f>
        <v>0</v>
      </c>
      <c r="BH277" s="54"/>
      <c r="BI277" s="54"/>
      <c r="BJ277" s="54"/>
      <c r="BK277" s="21">
        <f>BK278+BK279</f>
        <v>2844.5320000000002</v>
      </c>
      <c r="BL277" s="21">
        <f>BL278+BL279</f>
        <v>2844.5320000000002</v>
      </c>
      <c r="BM277" s="171"/>
      <c r="BN277" s="171"/>
      <c r="BO277" s="171"/>
      <c r="BP277" s="21">
        <f>BP278+BP279</f>
        <v>2844.5320000000002</v>
      </c>
      <c r="BQ277" s="21">
        <f>BQ278+BQ279</f>
        <v>2844.5320000000002</v>
      </c>
      <c r="BR277" s="171"/>
      <c r="BS277" s="171"/>
      <c r="BT277" s="171"/>
      <c r="BU277" s="305">
        <f>BU278+BU279</f>
        <v>215.66422</v>
      </c>
      <c r="BV277" s="53">
        <f>BV278+BV279</f>
        <v>215.66422</v>
      </c>
      <c r="BW277" s="171"/>
      <c r="BX277" s="171"/>
      <c r="BY277" s="171"/>
      <c r="BZ277" s="21">
        <f t="shared" si="639"/>
        <v>3060.1962200000003</v>
      </c>
      <c r="CA277" s="53">
        <f>CA278+CA279</f>
        <v>3060.1962200000003</v>
      </c>
      <c r="CB277" s="53">
        <f>CB278+CB279</f>
        <v>3060.1962200000003</v>
      </c>
      <c r="CC277" s="171"/>
      <c r="CD277" s="171"/>
      <c r="CE277" s="171"/>
      <c r="CF277" s="25">
        <f t="shared" si="640"/>
        <v>0</v>
      </c>
      <c r="CG277" s="25">
        <f t="shared" si="641"/>
        <v>0</v>
      </c>
      <c r="CH277" s="25">
        <f t="shared" si="642"/>
        <v>0</v>
      </c>
      <c r="CI277" s="25">
        <f t="shared" si="643"/>
        <v>0</v>
      </c>
      <c r="CJ277" s="25"/>
      <c r="CK277" s="306"/>
      <c r="CL277" s="307"/>
      <c r="CM277" s="307"/>
      <c r="CN277" s="22">
        <f>CN278+CN279</f>
        <v>0</v>
      </c>
      <c r="CO277" s="22">
        <f>CO278+CO279</f>
        <v>0</v>
      </c>
      <c r="CP277" s="171"/>
      <c r="CQ277" s="171"/>
      <c r="CR277" s="171"/>
      <c r="CS277" s="22">
        <f>CS278+CS279</f>
        <v>0</v>
      </c>
      <c r="CT277" s="22">
        <f>CT278+CT279</f>
        <v>0</v>
      </c>
      <c r="CU277" s="171"/>
      <c r="CV277" s="171"/>
      <c r="CW277" s="171"/>
      <c r="CX277" s="307"/>
      <c r="CY277" s="307"/>
      <c r="CZ277" s="307"/>
      <c r="DA277" s="307"/>
      <c r="DB277" s="307"/>
      <c r="DC277" s="307"/>
      <c r="DD277" s="307"/>
      <c r="DE277" s="307"/>
      <c r="DF277" s="309"/>
      <c r="DG277" s="306"/>
      <c r="DH277" s="306"/>
      <c r="DI277" s="310"/>
      <c r="DJ277" s="307"/>
      <c r="DK277" s="307"/>
      <c r="DL277" s="307"/>
      <c r="DM277" s="307"/>
      <c r="DN277" s="307"/>
      <c r="DO277" s="307"/>
      <c r="DP277" s="307"/>
      <c r="DQ277" s="53">
        <f t="shared" si="650"/>
        <v>2844.5320000000002</v>
      </c>
      <c r="DR277" s="21">
        <f>DR278+DR279</f>
        <v>2844.5320000000002</v>
      </c>
      <c r="DS277" s="53"/>
      <c r="DT277" s="53"/>
      <c r="DU277" s="311"/>
      <c r="DV277" s="53">
        <f t="shared" si="651"/>
        <v>215.66422</v>
      </c>
      <c r="DW277" s="53">
        <f>DW278+DW279</f>
        <v>215.66422</v>
      </c>
      <c r="DX277" s="171"/>
      <c r="DY277" s="312"/>
      <c r="DZ277" s="171"/>
      <c r="EA277" s="372"/>
      <c r="EB277" s="372"/>
      <c r="EC277" s="372"/>
      <c r="ED277" s="372"/>
      <c r="EE277" s="372"/>
      <c r="EF277" s="372"/>
      <c r="EG277" s="372"/>
      <c r="EH277" s="372"/>
      <c r="EI277" s="372"/>
      <c r="EJ277" s="372"/>
      <c r="EK277" s="372"/>
      <c r="EL277" s="372"/>
      <c r="EM277" s="372"/>
      <c r="EN277" s="372"/>
      <c r="EO277" s="372"/>
      <c r="EP277" s="372"/>
      <c r="EQ277" s="372"/>
      <c r="ER277" s="372"/>
      <c r="ES277" s="372"/>
      <c r="ET277" s="372"/>
      <c r="EU277" s="372"/>
      <c r="EV277" s="372"/>
      <c r="EW277" s="372"/>
      <c r="EX277" s="372"/>
      <c r="EY277" s="372"/>
      <c r="EZ277" s="372"/>
      <c r="FA277" s="372"/>
      <c r="FB277" s="372"/>
      <c r="FC277" s="372"/>
      <c r="FD277" s="372"/>
      <c r="FE277" s="372"/>
      <c r="FF277" s="372"/>
      <c r="FG277" s="372"/>
      <c r="FH277" s="372"/>
      <c r="FI277" s="372"/>
      <c r="FJ277" s="372"/>
      <c r="FK277" s="372"/>
      <c r="FL277" s="372"/>
      <c r="FM277" s="372"/>
      <c r="FN277" s="372"/>
      <c r="FO277" s="372"/>
      <c r="FP277" s="372"/>
      <c r="FQ277" s="372"/>
      <c r="FR277" s="372"/>
      <c r="FS277" s="372"/>
      <c r="FT277" s="372"/>
      <c r="FU277" s="372"/>
      <c r="FV277" s="372"/>
      <c r="FW277" s="372"/>
      <c r="FX277" s="372"/>
      <c r="FY277" s="372"/>
      <c r="FZ277" s="372"/>
      <c r="GA277" s="372"/>
      <c r="GB277" s="372"/>
      <c r="GC277" s="372"/>
      <c r="GD277" s="372"/>
      <c r="GE277" s="372"/>
      <c r="GF277" s="372"/>
      <c r="GG277" s="372"/>
      <c r="GH277" s="372"/>
      <c r="GI277" s="372"/>
      <c r="GJ277" s="372"/>
      <c r="GK277" s="372"/>
      <c r="GL277" s="372"/>
      <c r="GM277" s="372"/>
      <c r="GN277" s="372"/>
      <c r="GO277" s="372"/>
      <c r="GP277" s="372"/>
      <c r="GQ277" s="372"/>
      <c r="GR277" s="372"/>
    </row>
    <row r="278" spans="2:200" s="59" customFormat="1" ht="16.5" customHeight="1" x14ac:dyDescent="0.3">
      <c r="B278" s="24"/>
      <c r="C278" s="141"/>
      <c r="D278" s="24"/>
      <c r="E278" s="142"/>
      <c r="F278" s="24"/>
      <c r="G278" s="141"/>
      <c r="H278" s="24"/>
      <c r="I278" s="24"/>
      <c r="J278" s="24"/>
      <c r="K278" s="24"/>
      <c r="L278" s="24"/>
      <c r="M278" s="179"/>
      <c r="N278" s="174" t="s">
        <v>287</v>
      </c>
      <c r="O278" s="174"/>
      <c r="P278" s="174"/>
      <c r="Q278" s="174"/>
      <c r="R278" s="174"/>
      <c r="S278" s="174"/>
      <c r="T278" s="175"/>
      <c r="U278" s="175"/>
      <c r="V278" s="25">
        <f>W278+X278+Y278+Z278</f>
        <v>15700</v>
      </c>
      <c r="W278" s="21">
        <v>15700</v>
      </c>
      <c r="X278" s="21"/>
      <c r="Y278" s="21"/>
      <c r="Z278" s="21"/>
      <c r="AA278" s="25">
        <f>AB278+AC278+AD278+AE278</f>
        <v>15700</v>
      </c>
      <c r="AB278" s="21">
        <v>15700</v>
      </c>
      <c r="AC278" s="21"/>
      <c r="AD278" s="21"/>
      <c r="AE278" s="21"/>
      <c r="AF278" s="25">
        <f>AG278+AH278+AI278+AJ278</f>
        <v>0</v>
      </c>
      <c r="AG278" s="21"/>
      <c r="AH278" s="21"/>
      <c r="AI278" s="21"/>
      <c r="AJ278" s="21"/>
      <c r="AK278" s="25">
        <f>AL278+AM278+AN278+AO278</f>
        <v>0</v>
      </c>
      <c r="AL278" s="21"/>
      <c r="AM278" s="21"/>
      <c r="AN278" s="21"/>
      <c r="AO278" s="21"/>
      <c r="AP278" s="21"/>
      <c r="AQ278" s="25">
        <f>AR278+AS278+AT278+AU278</f>
        <v>15700</v>
      </c>
      <c r="AR278" s="21">
        <v>15700</v>
      </c>
      <c r="AS278" s="54"/>
      <c r="AT278" s="54"/>
      <c r="AU278" s="54"/>
      <c r="AV278" s="25">
        <f t="shared" si="635"/>
        <v>0</v>
      </c>
      <c r="AW278" s="25">
        <f t="shared" si="636"/>
        <v>0</v>
      </c>
      <c r="AX278" s="54">
        <f t="shared" si="637"/>
        <v>0</v>
      </c>
      <c r="AY278" s="54">
        <f t="shared" si="638"/>
        <v>0</v>
      </c>
      <c r="AZ278" s="54"/>
      <c r="BA278" s="25">
        <f>BB278+BC278+BD278+BE278</f>
        <v>2844.5320000000002</v>
      </c>
      <c r="BB278" s="21">
        <v>2844.5320000000002</v>
      </c>
      <c r="BC278" s="54"/>
      <c r="BD278" s="54"/>
      <c r="BE278" s="54"/>
      <c r="BF278" s="25">
        <f>BG278+BH278+BI278+BJ278</f>
        <v>0</v>
      </c>
      <c r="BG278" s="21"/>
      <c r="BH278" s="54"/>
      <c r="BI278" s="54"/>
      <c r="BJ278" s="54"/>
      <c r="BK278" s="25">
        <f>BL278+BM278+BN278+BO278</f>
        <v>2844.5320000000002</v>
      </c>
      <c r="BL278" s="21">
        <v>2844.5320000000002</v>
      </c>
      <c r="BM278" s="171"/>
      <c r="BN278" s="171"/>
      <c r="BO278" s="171"/>
      <c r="BP278" s="25">
        <f>BQ278+BR278+BS278+BT278</f>
        <v>2844.5320000000002</v>
      </c>
      <c r="BQ278" s="21">
        <v>2844.5320000000002</v>
      </c>
      <c r="BR278" s="171"/>
      <c r="BS278" s="171"/>
      <c r="BT278" s="171"/>
      <c r="BU278" s="305">
        <f>BV278+BW278+BX278+BY278</f>
        <v>215.66422</v>
      </c>
      <c r="BV278" s="53">
        <v>215.66422</v>
      </c>
      <c r="BW278" s="171"/>
      <c r="BX278" s="171"/>
      <c r="BY278" s="171"/>
      <c r="BZ278" s="21">
        <f t="shared" si="639"/>
        <v>3060.1962200000003</v>
      </c>
      <c r="CA278" s="53">
        <f>CB278</f>
        <v>3060.1962200000003</v>
      </c>
      <c r="CB278" s="53">
        <f>BQ278+BV278</f>
        <v>3060.1962200000003</v>
      </c>
      <c r="CC278" s="171"/>
      <c r="CD278" s="171"/>
      <c r="CE278" s="171"/>
      <c r="CF278" s="25">
        <f t="shared" si="640"/>
        <v>0</v>
      </c>
      <c r="CG278" s="25">
        <f t="shared" si="641"/>
        <v>0</v>
      </c>
      <c r="CH278" s="25">
        <f t="shared" si="642"/>
        <v>0</v>
      </c>
      <c r="CI278" s="25">
        <f t="shared" si="643"/>
        <v>0</v>
      </c>
      <c r="CJ278" s="25"/>
      <c r="CK278" s="306"/>
      <c r="CL278" s="307"/>
      <c r="CM278" s="307"/>
      <c r="CN278" s="25">
        <f>CO278+CP278+CQ278+CR278</f>
        <v>0</v>
      </c>
      <c r="CO278" s="21"/>
      <c r="CP278" s="171"/>
      <c r="CQ278" s="171"/>
      <c r="CR278" s="171"/>
      <c r="CS278" s="25">
        <f>CT278+CU278+CV278+CW278</f>
        <v>0</v>
      </c>
      <c r="CT278" s="21"/>
      <c r="CU278" s="171"/>
      <c r="CV278" s="171"/>
      <c r="CW278" s="171"/>
      <c r="CX278" s="307"/>
      <c r="CY278" s="307"/>
      <c r="CZ278" s="307"/>
      <c r="DA278" s="307"/>
      <c r="DB278" s="307"/>
      <c r="DC278" s="307"/>
      <c r="DD278" s="307"/>
      <c r="DE278" s="307"/>
      <c r="DF278" s="309"/>
      <c r="DG278" s="306"/>
      <c r="DH278" s="306"/>
      <c r="DI278" s="310"/>
      <c r="DJ278" s="307"/>
      <c r="DK278" s="307"/>
      <c r="DL278" s="307"/>
      <c r="DM278" s="307"/>
      <c r="DN278" s="307"/>
      <c r="DO278" s="307"/>
      <c r="DP278" s="307"/>
      <c r="DQ278" s="53">
        <f t="shared" si="650"/>
        <v>2844.5320000000002</v>
      </c>
      <c r="DR278" s="21">
        <v>2844.5320000000002</v>
      </c>
      <c r="DS278" s="53"/>
      <c r="DT278" s="53"/>
      <c r="DU278" s="311"/>
      <c r="DV278" s="53">
        <f t="shared" si="651"/>
        <v>215.66422</v>
      </c>
      <c r="DW278" s="53">
        <v>215.66422</v>
      </c>
      <c r="DX278" s="171"/>
      <c r="DY278" s="312"/>
      <c r="DZ278" s="171"/>
      <c r="EA278" s="372"/>
      <c r="EB278" s="372"/>
      <c r="EC278" s="372"/>
      <c r="ED278" s="372"/>
      <c r="EE278" s="372"/>
      <c r="EF278" s="372"/>
      <c r="EG278" s="372"/>
      <c r="EH278" s="372"/>
      <c r="EI278" s="372"/>
      <c r="EJ278" s="372"/>
      <c r="EK278" s="372"/>
      <c r="EL278" s="372"/>
      <c r="EM278" s="372"/>
      <c r="EN278" s="372"/>
      <c r="EO278" s="372"/>
      <c r="EP278" s="372"/>
      <c r="EQ278" s="372"/>
      <c r="ER278" s="372"/>
      <c r="ES278" s="372"/>
      <c r="ET278" s="372"/>
      <c r="EU278" s="372"/>
      <c r="EV278" s="372"/>
      <c r="EW278" s="372"/>
      <c r="EX278" s="372"/>
      <c r="EY278" s="372"/>
      <c r="EZ278" s="372"/>
      <c r="FA278" s="372"/>
      <c r="FB278" s="372"/>
      <c r="FC278" s="372"/>
      <c r="FD278" s="372"/>
      <c r="FE278" s="372"/>
      <c r="FF278" s="372"/>
      <c r="FG278" s="372"/>
      <c r="FH278" s="372"/>
      <c r="FI278" s="372"/>
      <c r="FJ278" s="372"/>
      <c r="FK278" s="372"/>
      <c r="FL278" s="372"/>
      <c r="FM278" s="372"/>
      <c r="FN278" s="372"/>
      <c r="FO278" s="372"/>
      <c r="FP278" s="372"/>
      <c r="FQ278" s="372"/>
      <c r="FR278" s="372"/>
      <c r="FS278" s="372"/>
      <c r="FT278" s="372"/>
      <c r="FU278" s="372"/>
      <c r="FV278" s="372"/>
      <c r="FW278" s="372"/>
      <c r="FX278" s="372"/>
      <c r="FY278" s="372"/>
      <c r="FZ278" s="372"/>
      <c r="GA278" s="372"/>
      <c r="GB278" s="372"/>
      <c r="GC278" s="372"/>
      <c r="GD278" s="372"/>
      <c r="GE278" s="372"/>
      <c r="GF278" s="372"/>
      <c r="GG278" s="372"/>
      <c r="GH278" s="372"/>
      <c r="GI278" s="372"/>
      <c r="GJ278" s="372"/>
      <c r="GK278" s="372"/>
      <c r="GL278" s="372"/>
      <c r="GM278" s="372"/>
      <c r="GN278" s="372"/>
      <c r="GO278" s="372"/>
      <c r="GP278" s="372"/>
      <c r="GQ278" s="372"/>
      <c r="GR278" s="372"/>
    </row>
    <row r="279" spans="2:200" s="59" customFormat="1" ht="16.5" customHeight="1" x14ac:dyDescent="0.3">
      <c r="B279" s="24"/>
      <c r="C279" s="141"/>
      <c r="D279" s="24"/>
      <c r="E279" s="142"/>
      <c r="F279" s="24"/>
      <c r="G279" s="141"/>
      <c r="H279" s="24"/>
      <c r="I279" s="24"/>
      <c r="J279" s="24"/>
      <c r="K279" s="24"/>
      <c r="L279" s="24"/>
      <c r="M279" s="179"/>
      <c r="N279" s="174" t="s">
        <v>286</v>
      </c>
      <c r="O279" s="174"/>
      <c r="P279" s="174"/>
      <c r="Q279" s="174"/>
      <c r="R279" s="174"/>
      <c r="S279" s="174"/>
      <c r="T279" s="175"/>
      <c r="U279" s="175"/>
      <c r="V279" s="25">
        <f>W279+X279+Y279+Z279</f>
        <v>0</v>
      </c>
      <c r="W279" s="21"/>
      <c r="X279" s="21"/>
      <c r="Y279" s="21"/>
      <c r="Z279" s="21"/>
      <c r="AA279" s="25">
        <f>AB279+AC279+AD279+AE279</f>
        <v>0</v>
      </c>
      <c r="AB279" s="21"/>
      <c r="AC279" s="21"/>
      <c r="AD279" s="21"/>
      <c r="AE279" s="21"/>
      <c r="AF279" s="25">
        <f>AG279+AH279+AI279+AJ279</f>
        <v>0</v>
      </c>
      <c r="AG279" s="21"/>
      <c r="AH279" s="21"/>
      <c r="AI279" s="21"/>
      <c r="AJ279" s="21"/>
      <c r="AK279" s="25">
        <f>AL279+AM279+AN279+AO279</f>
        <v>0</v>
      </c>
      <c r="AL279" s="21"/>
      <c r="AM279" s="21"/>
      <c r="AN279" s="21"/>
      <c r="AO279" s="21"/>
      <c r="AP279" s="21"/>
      <c r="AQ279" s="25">
        <f>AR279+AS279+AT279+AU279</f>
        <v>0</v>
      </c>
      <c r="AR279" s="21"/>
      <c r="AS279" s="54"/>
      <c r="AT279" s="54"/>
      <c r="AU279" s="54"/>
      <c r="AV279" s="25">
        <f t="shared" si="635"/>
        <v>0</v>
      </c>
      <c r="AW279" s="25">
        <f t="shared" si="636"/>
        <v>0</v>
      </c>
      <c r="AX279" s="54">
        <f t="shared" si="637"/>
        <v>0</v>
      </c>
      <c r="AY279" s="54">
        <f t="shared" si="638"/>
        <v>0</v>
      </c>
      <c r="AZ279" s="54"/>
      <c r="BA279" s="25">
        <f>BB279+BC279+BD279+BE279</f>
        <v>0</v>
      </c>
      <c r="BB279" s="21"/>
      <c r="BC279" s="54"/>
      <c r="BD279" s="54"/>
      <c r="BE279" s="54"/>
      <c r="BF279" s="25">
        <f>BG279+BH279+BI279+BJ279</f>
        <v>0</v>
      </c>
      <c r="BG279" s="21"/>
      <c r="BH279" s="54"/>
      <c r="BI279" s="54"/>
      <c r="BJ279" s="54"/>
      <c r="BK279" s="25">
        <f>BL279+BM279+BN279+BO279</f>
        <v>0</v>
      </c>
      <c r="BL279" s="21"/>
      <c r="BM279" s="171"/>
      <c r="BN279" s="171"/>
      <c r="BO279" s="171"/>
      <c r="BP279" s="25">
        <f>BQ279+BR279+BS279+BT279</f>
        <v>0</v>
      </c>
      <c r="BQ279" s="21"/>
      <c r="BR279" s="171"/>
      <c r="BS279" s="171"/>
      <c r="BT279" s="171"/>
      <c r="BU279" s="305"/>
      <c r="BV279" s="53"/>
      <c r="BW279" s="171"/>
      <c r="BX279" s="171"/>
      <c r="BY279" s="171"/>
      <c r="BZ279" s="21">
        <f t="shared" si="639"/>
        <v>0</v>
      </c>
      <c r="CA279" s="53">
        <f>CB279</f>
        <v>0</v>
      </c>
      <c r="CB279" s="53">
        <f>BQ279+BV279</f>
        <v>0</v>
      </c>
      <c r="CC279" s="171"/>
      <c r="CD279" s="171"/>
      <c r="CE279" s="171"/>
      <c r="CF279" s="25">
        <f t="shared" si="640"/>
        <v>0</v>
      </c>
      <c r="CG279" s="25">
        <f t="shared" si="641"/>
        <v>0</v>
      </c>
      <c r="CH279" s="25">
        <f t="shared" si="642"/>
        <v>0</v>
      </c>
      <c r="CI279" s="25">
        <f t="shared" si="643"/>
        <v>0</v>
      </c>
      <c r="CJ279" s="25"/>
      <c r="CK279" s="306"/>
      <c r="CL279" s="307"/>
      <c r="CM279" s="307"/>
      <c r="CN279" s="25">
        <f>CO279+CP279+CQ279+CR279</f>
        <v>0</v>
      </c>
      <c r="CO279" s="21"/>
      <c r="CP279" s="171"/>
      <c r="CQ279" s="171"/>
      <c r="CR279" s="171"/>
      <c r="CS279" s="25">
        <f>CT279+CU279+CV279+CW279</f>
        <v>0</v>
      </c>
      <c r="CT279" s="21"/>
      <c r="CU279" s="171"/>
      <c r="CV279" s="171"/>
      <c r="CW279" s="171"/>
      <c r="CX279" s="307"/>
      <c r="CY279" s="307"/>
      <c r="CZ279" s="307"/>
      <c r="DA279" s="307"/>
      <c r="DB279" s="307"/>
      <c r="DC279" s="307"/>
      <c r="DD279" s="307"/>
      <c r="DE279" s="307"/>
      <c r="DF279" s="309"/>
      <c r="DG279" s="306"/>
      <c r="DH279" s="306"/>
      <c r="DI279" s="310"/>
      <c r="DJ279" s="307"/>
      <c r="DK279" s="307"/>
      <c r="DL279" s="307"/>
      <c r="DM279" s="307"/>
      <c r="DN279" s="307"/>
      <c r="DO279" s="307"/>
      <c r="DP279" s="307"/>
      <c r="DQ279" s="53">
        <f t="shared" si="650"/>
        <v>0</v>
      </c>
      <c r="DR279" s="21"/>
      <c r="DS279" s="53"/>
      <c r="DT279" s="53"/>
      <c r="DU279" s="311"/>
      <c r="DV279" s="53">
        <f t="shared" si="651"/>
        <v>0</v>
      </c>
      <c r="DW279" s="53"/>
      <c r="DX279" s="171"/>
      <c r="DY279" s="312"/>
      <c r="DZ279" s="171"/>
      <c r="EA279" s="372"/>
      <c r="EB279" s="372"/>
      <c r="EC279" s="372"/>
      <c r="ED279" s="372"/>
      <c r="EE279" s="372"/>
      <c r="EF279" s="372"/>
      <c r="EG279" s="372"/>
      <c r="EH279" s="372"/>
      <c r="EI279" s="372"/>
      <c r="EJ279" s="372"/>
      <c r="EK279" s="372"/>
      <c r="EL279" s="372"/>
      <c r="EM279" s="372"/>
      <c r="EN279" s="372"/>
      <c r="EO279" s="372"/>
      <c r="EP279" s="372"/>
      <c r="EQ279" s="372"/>
      <c r="ER279" s="372"/>
      <c r="ES279" s="372"/>
      <c r="ET279" s="372"/>
      <c r="EU279" s="372"/>
      <c r="EV279" s="372"/>
      <c r="EW279" s="372"/>
      <c r="EX279" s="372"/>
      <c r="EY279" s="372"/>
      <c r="EZ279" s="372"/>
      <c r="FA279" s="372"/>
      <c r="FB279" s="372"/>
      <c r="FC279" s="372"/>
      <c r="FD279" s="372"/>
      <c r="FE279" s="372"/>
      <c r="FF279" s="372"/>
      <c r="FG279" s="372"/>
      <c r="FH279" s="372"/>
      <c r="FI279" s="372"/>
      <c r="FJ279" s="372"/>
      <c r="FK279" s="372"/>
      <c r="FL279" s="372"/>
      <c r="FM279" s="372"/>
      <c r="FN279" s="372"/>
      <c r="FO279" s="372"/>
      <c r="FP279" s="372"/>
      <c r="FQ279" s="372"/>
      <c r="FR279" s="372"/>
      <c r="FS279" s="372"/>
      <c r="FT279" s="372"/>
      <c r="FU279" s="372"/>
      <c r="FV279" s="372"/>
      <c r="FW279" s="372"/>
      <c r="FX279" s="372"/>
      <c r="FY279" s="372"/>
      <c r="FZ279" s="372"/>
      <c r="GA279" s="372"/>
      <c r="GB279" s="372"/>
      <c r="GC279" s="372"/>
      <c r="GD279" s="372"/>
      <c r="GE279" s="372"/>
      <c r="GF279" s="372"/>
      <c r="GG279" s="372"/>
      <c r="GH279" s="372"/>
      <c r="GI279" s="372"/>
      <c r="GJ279" s="372"/>
      <c r="GK279" s="372"/>
      <c r="GL279" s="372"/>
      <c r="GM279" s="372"/>
      <c r="GN279" s="372"/>
      <c r="GO279" s="372"/>
      <c r="GP279" s="372"/>
      <c r="GQ279" s="372"/>
      <c r="GR279" s="372"/>
    </row>
    <row r="280" spans="2:200" s="59" customFormat="1" ht="51.6" customHeight="1" x14ac:dyDescent="0.3">
      <c r="B280" s="24"/>
      <c r="C280" s="141"/>
      <c r="D280" s="24"/>
      <c r="E280" s="142"/>
      <c r="F280" s="24"/>
      <c r="G280" s="141"/>
      <c r="H280" s="24"/>
      <c r="I280" s="24"/>
      <c r="J280" s="24"/>
      <c r="K280" s="24"/>
      <c r="L280" s="24"/>
      <c r="M280" s="303">
        <v>5</v>
      </c>
      <c r="N280" s="349" t="s">
        <v>409</v>
      </c>
      <c r="O280" s="185"/>
      <c r="P280" s="185"/>
      <c r="Q280" s="185"/>
      <c r="R280" s="185"/>
      <c r="S280" s="185"/>
      <c r="T280" s="484"/>
      <c r="U280" s="484">
        <v>2</v>
      </c>
      <c r="V280" s="21">
        <f>V281+V282</f>
        <v>47437.22</v>
      </c>
      <c r="W280" s="21">
        <f>W281+W282</f>
        <v>47437.22</v>
      </c>
      <c r="X280" s="21"/>
      <c r="Y280" s="21"/>
      <c r="Z280" s="21"/>
      <c r="AA280" s="21">
        <f>AA281+AA282</f>
        <v>36328.699999999997</v>
      </c>
      <c r="AB280" s="21">
        <f>AB281+AB282</f>
        <v>36328.699999999997</v>
      </c>
      <c r="AC280" s="21"/>
      <c r="AD280" s="21"/>
      <c r="AE280" s="21"/>
      <c r="AF280" s="21">
        <f>AF281+AF282</f>
        <v>0</v>
      </c>
      <c r="AG280" s="21">
        <f>AG281+AG282</f>
        <v>0</v>
      </c>
      <c r="AH280" s="21"/>
      <c r="AI280" s="21"/>
      <c r="AJ280" s="21"/>
      <c r="AK280" s="25">
        <f>AK281+AK282</f>
        <v>0</v>
      </c>
      <c r="AL280" s="21">
        <f>AL281+AL282</f>
        <v>0</v>
      </c>
      <c r="AM280" s="21"/>
      <c r="AN280" s="21"/>
      <c r="AO280" s="21"/>
      <c r="AP280" s="407" t="s">
        <v>459</v>
      </c>
      <c r="AQ280" s="21">
        <f>AQ281+AQ282</f>
        <v>47437.22</v>
      </c>
      <c r="AR280" s="21">
        <f>AR281+AR282</f>
        <v>47437.22</v>
      </c>
      <c r="AS280" s="54"/>
      <c r="AT280" s="54"/>
      <c r="AU280" s="54"/>
      <c r="AV280" s="21">
        <f t="shared" si="635"/>
        <v>0</v>
      </c>
      <c r="AW280" s="21">
        <f t="shared" si="636"/>
        <v>0</v>
      </c>
      <c r="AX280" s="53">
        <f t="shared" si="637"/>
        <v>0</v>
      </c>
      <c r="AY280" s="53">
        <f t="shared" si="638"/>
        <v>0</v>
      </c>
      <c r="AZ280" s="54"/>
      <c r="BA280" s="21">
        <f>BA281+BA282</f>
        <v>5720.1060600000001</v>
      </c>
      <c r="BB280" s="21"/>
      <c r="BC280" s="54"/>
      <c r="BD280" s="54"/>
      <c r="BE280" s="54"/>
      <c r="BF280" s="21">
        <f>BF281+BF282</f>
        <v>0</v>
      </c>
      <c r="BG280" s="21">
        <f>BG281+BG282</f>
        <v>0</v>
      </c>
      <c r="BH280" s="54"/>
      <c r="BI280" s="54"/>
      <c r="BJ280" s="54"/>
      <c r="BK280" s="21">
        <f>BK281+BK282</f>
        <v>5720.1060600000001</v>
      </c>
      <c r="BL280" s="21">
        <f>BL281+BL282</f>
        <v>5720.1060600000001</v>
      </c>
      <c r="BM280" s="171"/>
      <c r="BN280" s="171"/>
      <c r="BO280" s="171"/>
      <c r="BP280" s="21">
        <f>BP281+BP282</f>
        <v>5720.1060600000001</v>
      </c>
      <c r="BQ280" s="21">
        <f>BQ281+BQ282</f>
        <v>5720.1060600000001</v>
      </c>
      <c r="BR280" s="171"/>
      <c r="BS280" s="171"/>
      <c r="BT280" s="171"/>
      <c r="BU280" s="305">
        <f>BU281+BU282</f>
        <v>119.05448</v>
      </c>
      <c r="BV280" s="53">
        <f>BV281+BV282</f>
        <v>119.05448</v>
      </c>
      <c r="BW280" s="171"/>
      <c r="BX280" s="171"/>
      <c r="BY280" s="171"/>
      <c r="BZ280" s="21">
        <f t="shared" si="639"/>
        <v>5839.1605399999989</v>
      </c>
      <c r="CA280" s="53">
        <f>CA281+CA282</f>
        <v>5839.1605399999989</v>
      </c>
      <c r="CB280" s="53">
        <f t="shared" si="649"/>
        <v>5839.1605399999999</v>
      </c>
      <c r="CC280" s="171"/>
      <c r="CD280" s="171"/>
      <c r="CE280" s="171"/>
      <c r="CF280" s="25">
        <f t="shared" si="640"/>
        <v>0</v>
      </c>
      <c r="CG280" s="25">
        <f t="shared" si="641"/>
        <v>0</v>
      </c>
      <c r="CH280" s="25">
        <f t="shared" si="642"/>
        <v>0</v>
      </c>
      <c r="CI280" s="25">
        <f t="shared" si="643"/>
        <v>0</v>
      </c>
      <c r="CJ280" s="25"/>
      <c r="CK280" s="306"/>
      <c r="CL280" s="307"/>
      <c r="CM280" s="307"/>
      <c r="CN280" s="22">
        <f>CN281+CN282</f>
        <v>0</v>
      </c>
      <c r="CO280" s="22">
        <f>CO281+CO282</f>
        <v>0</v>
      </c>
      <c r="CP280" s="171"/>
      <c r="CQ280" s="171"/>
      <c r="CR280" s="171"/>
      <c r="CS280" s="22">
        <f>CS281+CS282</f>
        <v>0</v>
      </c>
      <c r="CT280" s="22">
        <f>CT281+CT282</f>
        <v>0</v>
      </c>
      <c r="CU280" s="171"/>
      <c r="CV280" s="171"/>
      <c r="CW280" s="171"/>
      <c r="CX280" s="307"/>
      <c r="CY280" s="307"/>
      <c r="CZ280" s="307"/>
      <c r="DA280" s="307"/>
      <c r="DB280" s="307"/>
      <c r="DC280" s="307"/>
      <c r="DD280" s="307"/>
      <c r="DE280" s="307"/>
      <c r="DF280" s="309"/>
      <c r="DG280" s="306"/>
      <c r="DH280" s="306"/>
      <c r="DI280" s="310"/>
      <c r="DJ280" s="307"/>
      <c r="DK280" s="307"/>
      <c r="DL280" s="307"/>
      <c r="DM280" s="307"/>
      <c r="DN280" s="307"/>
      <c r="DO280" s="307"/>
      <c r="DP280" s="307"/>
      <c r="DQ280" s="53">
        <f t="shared" si="650"/>
        <v>5720.1060600000001</v>
      </c>
      <c r="DR280" s="21">
        <f>DR281+DR282</f>
        <v>5720.1060600000001</v>
      </c>
      <c r="DS280" s="53"/>
      <c r="DT280" s="53"/>
      <c r="DU280" s="311"/>
      <c r="DV280" s="53">
        <f t="shared" si="651"/>
        <v>119.05448</v>
      </c>
      <c r="DW280" s="53">
        <f>DW281+DW282</f>
        <v>119.05448</v>
      </c>
      <c r="DX280" s="171"/>
      <c r="DY280" s="312"/>
      <c r="DZ280" s="171"/>
      <c r="EA280" s="372"/>
      <c r="EB280" s="372"/>
      <c r="EC280" s="372"/>
      <c r="ED280" s="372"/>
      <c r="EE280" s="372"/>
      <c r="EF280" s="372"/>
      <c r="EG280" s="372"/>
      <c r="EH280" s="372"/>
      <c r="EI280" s="372"/>
      <c r="EJ280" s="372"/>
      <c r="EK280" s="372"/>
      <c r="EL280" s="372"/>
      <c r="EM280" s="372"/>
      <c r="EN280" s="372"/>
      <c r="EO280" s="372"/>
      <c r="EP280" s="372"/>
      <c r="EQ280" s="372"/>
      <c r="ER280" s="372"/>
      <c r="ES280" s="372"/>
      <c r="ET280" s="372"/>
      <c r="EU280" s="372"/>
      <c r="EV280" s="372"/>
      <c r="EW280" s="372"/>
      <c r="EX280" s="372"/>
      <c r="EY280" s="372"/>
      <c r="EZ280" s="372"/>
      <c r="FA280" s="372"/>
      <c r="FB280" s="372"/>
      <c r="FC280" s="372"/>
      <c r="FD280" s="372"/>
      <c r="FE280" s="372"/>
      <c r="FF280" s="372"/>
      <c r="FG280" s="372"/>
      <c r="FH280" s="372"/>
      <c r="FI280" s="372"/>
      <c r="FJ280" s="372"/>
      <c r="FK280" s="372"/>
      <c r="FL280" s="372"/>
      <c r="FM280" s="372"/>
      <c r="FN280" s="372"/>
      <c r="FO280" s="372"/>
      <c r="FP280" s="372"/>
      <c r="FQ280" s="372"/>
      <c r="FR280" s="372"/>
      <c r="FS280" s="372"/>
      <c r="FT280" s="372"/>
      <c r="FU280" s="372"/>
      <c r="FV280" s="372"/>
      <c r="FW280" s="372"/>
      <c r="FX280" s="372"/>
      <c r="FY280" s="372"/>
      <c r="FZ280" s="372"/>
      <c r="GA280" s="372"/>
      <c r="GB280" s="372"/>
      <c r="GC280" s="372"/>
      <c r="GD280" s="372"/>
      <c r="GE280" s="372"/>
      <c r="GF280" s="372"/>
      <c r="GG280" s="372"/>
      <c r="GH280" s="372"/>
      <c r="GI280" s="372"/>
      <c r="GJ280" s="372"/>
      <c r="GK280" s="372"/>
      <c r="GL280" s="372"/>
      <c r="GM280" s="372"/>
      <c r="GN280" s="372"/>
      <c r="GO280" s="372"/>
      <c r="GP280" s="372"/>
      <c r="GQ280" s="372"/>
      <c r="GR280" s="372"/>
    </row>
    <row r="281" spans="2:200" s="59" customFormat="1" ht="19.5" customHeight="1" x14ac:dyDescent="0.3">
      <c r="B281" s="24"/>
      <c r="C281" s="141"/>
      <c r="D281" s="24"/>
      <c r="E281" s="142"/>
      <c r="F281" s="24"/>
      <c r="G281" s="141"/>
      <c r="H281" s="24"/>
      <c r="I281" s="24"/>
      <c r="J281" s="24"/>
      <c r="K281" s="24"/>
      <c r="L281" s="24"/>
      <c r="M281" s="173"/>
      <c r="N281" s="174" t="s">
        <v>287</v>
      </c>
      <c r="O281" s="186"/>
      <c r="P281" s="186"/>
      <c r="Q281" s="186"/>
      <c r="R281" s="186"/>
      <c r="S281" s="186"/>
      <c r="T281" s="485"/>
      <c r="U281" s="485"/>
      <c r="V281" s="25">
        <f t="shared" ref="V281:V282" si="652">W281+X281+Y281+Z281</f>
        <v>36328.699999999997</v>
      </c>
      <c r="W281" s="21">
        <v>36328.699999999997</v>
      </c>
      <c r="X281" s="21"/>
      <c r="Y281" s="21"/>
      <c r="Z281" s="21"/>
      <c r="AA281" s="25">
        <f t="shared" ref="AA281:AA282" si="653">AB281+AC281+AD281+AE281</f>
        <v>36328.699999999997</v>
      </c>
      <c r="AB281" s="21">
        <v>36328.699999999997</v>
      </c>
      <c r="AC281" s="21"/>
      <c r="AD281" s="21"/>
      <c r="AE281" s="21"/>
      <c r="AF281" s="25">
        <f t="shared" ref="AF281:AF282" si="654">AG281+AH281+AI281+AJ281</f>
        <v>0</v>
      </c>
      <c r="AG281" s="21"/>
      <c r="AH281" s="21"/>
      <c r="AI281" s="21"/>
      <c r="AJ281" s="21"/>
      <c r="AK281" s="25">
        <f t="shared" ref="AK281:AK282" si="655">AL281+AM281+AN281+AO281</f>
        <v>0</v>
      </c>
      <c r="AL281" s="21"/>
      <c r="AM281" s="21"/>
      <c r="AN281" s="21"/>
      <c r="AO281" s="21"/>
      <c r="AP281" s="487"/>
      <c r="AQ281" s="25">
        <f t="shared" ref="AQ281:AQ294" si="656">AR281+AS281+AT281+AU281</f>
        <v>36328.699999999997</v>
      </c>
      <c r="AR281" s="21">
        <v>36328.699999999997</v>
      </c>
      <c r="AS281" s="54"/>
      <c r="AT281" s="54"/>
      <c r="AU281" s="54"/>
      <c r="AV281" s="25">
        <f t="shared" si="635"/>
        <v>0</v>
      </c>
      <c r="AW281" s="25">
        <f t="shared" si="636"/>
        <v>0</v>
      </c>
      <c r="AX281" s="54">
        <f t="shared" si="637"/>
        <v>0</v>
      </c>
      <c r="AY281" s="54">
        <f t="shared" si="638"/>
        <v>0</v>
      </c>
      <c r="AZ281" s="54"/>
      <c r="BA281" s="25">
        <f t="shared" ref="BA281:BA282" si="657">BB281+BC281+BD281+BE281</f>
        <v>4445.9042099999997</v>
      </c>
      <c r="BB281" s="21">
        <f>2548.47552+1897.42869</f>
        <v>4445.9042099999997</v>
      </c>
      <c r="BC281" s="54"/>
      <c r="BD281" s="54"/>
      <c r="BE281" s="54"/>
      <c r="BF281" s="25">
        <f t="shared" ref="BF281:BF282" si="658">BG281+BH281+BI281+BJ281</f>
        <v>0</v>
      </c>
      <c r="BG281" s="21"/>
      <c r="BH281" s="54"/>
      <c r="BI281" s="54"/>
      <c r="BJ281" s="54"/>
      <c r="BK281" s="25">
        <f t="shared" ref="BK281:BK282" si="659">BL281+BM281+BN281+BO281</f>
        <v>4445.9042099999997</v>
      </c>
      <c r="BL281" s="21">
        <f>2548.47552+1897.42869</f>
        <v>4445.9042099999997</v>
      </c>
      <c r="BM281" s="171"/>
      <c r="BN281" s="171"/>
      <c r="BO281" s="171"/>
      <c r="BP281" s="25">
        <f t="shared" ref="BP281:BP282" si="660">BQ281+BR281+BS281+BT281</f>
        <v>4445.9042099999997</v>
      </c>
      <c r="BQ281" s="21">
        <f>2548.33922+1897.56499</f>
        <v>4445.9042099999997</v>
      </c>
      <c r="BR281" s="171"/>
      <c r="BS281" s="171"/>
      <c r="BT281" s="171"/>
      <c r="BU281" s="305">
        <f t="shared" ref="BU281:BU282" si="661">BV281+BW281+BX281+BY281</f>
        <v>119.05448</v>
      </c>
      <c r="BV281" s="53">
        <f>68.24426+50.81022</f>
        <v>119.05448</v>
      </c>
      <c r="BW281" s="171"/>
      <c r="BX281" s="171"/>
      <c r="BY281" s="171"/>
      <c r="BZ281" s="21">
        <f t="shared" si="639"/>
        <v>4564.9586899999995</v>
      </c>
      <c r="CA281" s="53">
        <f>CB281</f>
        <v>4564.9586899999995</v>
      </c>
      <c r="CB281" s="53">
        <f>BQ281+BV281</f>
        <v>4564.9586899999995</v>
      </c>
      <c r="CC281" s="171"/>
      <c r="CD281" s="171"/>
      <c r="CE281" s="171"/>
      <c r="CF281" s="25">
        <f t="shared" si="640"/>
        <v>0</v>
      </c>
      <c r="CG281" s="25">
        <f t="shared" si="641"/>
        <v>0</v>
      </c>
      <c r="CH281" s="25">
        <f t="shared" si="642"/>
        <v>0</v>
      </c>
      <c r="CI281" s="25">
        <f t="shared" si="643"/>
        <v>0</v>
      </c>
      <c r="CJ281" s="25"/>
      <c r="CK281" s="306"/>
      <c r="CL281" s="307"/>
      <c r="CM281" s="307"/>
      <c r="CN281" s="25">
        <f t="shared" ref="CN281:CN282" si="662">CO281+CP281+CQ281+CR281</f>
        <v>0</v>
      </c>
      <c r="CO281" s="21"/>
      <c r="CP281" s="171"/>
      <c r="CQ281" s="171"/>
      <c r="CR281" s="171"/>
      <c r="CS281" s="25">
        <f t="shared" ref="CS281:CS282" si="663">CT281+CU281+CV281+CW281</f>
        <v>0</v>
      </c>
      <c r="CT281" s="21"/>
      <c r="CU281" s="171"/>
      <c r="CV281" s="171"/>
      <c r="CW281" s="171"/>
      <c r="CX281" s="307"/>
      <c r="CY281" s="307"/>
      <c r="CZ281" s="307"/>
      <c r="DA281" s="307"/>
      <c r="DB281" s="307"/>
      <c r="DC281" s="307"/>
      <c r="DD281" s="307"/>
      <c r="DE281" s="307"/>
      <c r="DF281" s="309"/>
      <c r="DG281" s="306"/>
      <c r="DH281" s="306"/>
      <c r="DI281" s="310"/>
      <c r="DJ281" s="307"/>
      <c r="DK281" s="307"/>
      <c r="DL281" s="307"/>
      <c r="DM281" s="307"/>
      <c r="DN281" s="307"/>
      <c r="DO281" s="307"/>
      <c r="DP281" s="307"/>
      <c r="DQ281" s="53">
        <f t="shared" si="650"/>
        <v>4445.9042099999997</v>
      </c>
      <c r="DR281" s="21">
        <f>2548.47552+1897.42869</f>
        <v>4445.9042099999997</v>
      </c>
      <c r="DS281" s="53"/>
      <c r="DT281" s="53"/>
      <c r="DU281" s="311"/>
      <c r="DV281" s="53">
        <f t="shared" si="651"/>
        <v>119.05448</v>
      </c>
      <c r="DW281" s="53">
        <v>119.05448</v>
      </c>
      <c r="DX281" s="171"/>
      <c r="DY281" s="312"/>
      <c r="DZ281" s="171"/>
      <c r="EA281" s="372"/>
      <c r="EB281" s="372"/>
      <c r="EC281" s="372"/>
      <c r="ED281" s="372"/>
      <c r="EE281" s="372"/>
      <c r="EF281" s="372"/>
      <c r="EG281" s="372"/>
      <c r="EH281" s="372"/>
      <c r="EI281" s="372"/>
      <c r="EJ281" s="372"/>
      <c r="EK281" s="372"/>
      <c r="EL281" s="372"/>
      <c r="EM281" s="372"/>
      <c r="EN281" s="372"/>
      <c r="EO281" s="372"/>
      <c r="EP281" s="372"/>
      <c r="EQ281" s="372"/>
      <c r="ER281" s="372"/>
      <c r="ES281" s="372"/>
      <c r="ET281" s="372"/>
      <c r="EU281" s="372"/>
      <c r="EV281" s="372"/>
      <c r="EW281" s="372"/>
      <c r="EX281" s="372"/>
      <c r="EY281" s="372"/>
      <c r="EZ281" s="372"/>
      <c r="FA281" s="372"/>
      <c r="FB281" s="372"/>
      <c r="FC281" s="372"/>
      <c r="FD281" s="372"/>
      <c r="FE281" s="372"/>
      <c r="FF281" s="372"/>
      <c r="FG281" s="372"/>
      <c r="FH281" s="372"/>
      <c r="FI281" s="372"/>
      <c r="FJ281" s="372"/>
      <c r="FK281" s="372"/>
      <c r="FL281" s="372"/>
      <c r="FM281" s="372"/>
      <c r="FN281" s="372"/>
      <c r="FO281" s="372"/>
      <c r="FP281" s="372"/>
      <c r="FQ281" s="372"/>
      <c r="FR281" s="372"/>
      <c r="FS281" s="372"/>
      <c r="FT281" s="372"/>
      <c r="FU281" s="372"/>
      <c r="FV281" s="372"/>
      <c r="FW281" s="372"/>
      <c r="FX281" s="372"/>
      <c r="FY281" s="372"/>
      <c r="FZ281" s="372"/>
      <c r="GA281" s="372"/>
      <c r="GB281" s="372"/>
      <c r="GC281" s="372"/>
      <c r="GD281" s="372"/>
      <c r="GE281" s="372"/>
      <c r="GF281" s="372"/>
      <c r="GG281" s="372"/>
      <c r="GH281" s="372"/>
      <c r="GI281" s="372"/>
      <c r="GJ281" s="372"/>
      <c r="GK281" s="372"/>
      <c r="GL281" s="372"/>
      <c r="GM281" s="372"/>
      <c r="GN281" s="372"/>
      <c r="GO281" s="372"/>
      <c r="GP281" s="372"/>
      <c r="GQ281" s="372"/>
      <c r="GR281" s="372"/>
    </row>
    <row r="282" spans="2:200" s="59" customFormat="1" ht="19.5" customHeight="1" x14ac:dyDescent="0.3">
      <c r="B282" s="24"/>
      <c r="C282" s="141"/>
      <c r="D282" s="24"/>
      <c r="E282" s="142"/>
      <c r="F282" s="24"/>
      <c r="G282" s="141"/>
      <c r="H282" s="24"/>
      <c r="I282" s="24"/>
      <c r="J282" s="24"/>
      <c r="K282" s="24"/>
      <c r="L282" s="24"/>
      <c r="M282" s="173"/>
      <c r="N282" s="174" t="s">
        <v>286</v>
      </c>
      <c r="O282" s="186"/>
      <c r="P282" s="186"/>
      <c r="Q282" s="186"/>
      <c r="R282" s="186"/>
      <c r="S282" s="186"/>
      <c r="T282" s="485"/>
      <c r="U282" s="485"/>
      <c r="V282" s="25">
        <f t="shared" si="652"/>
        <v>11108.52</v>
      </c>
      <c r="W282" s="21">
        <v>11108.52</v>
      </c>
      <c r="X282" s="21"/>
      <c r="Y282" s="21"/>
      <c r="Z282" s="21"/>
      <c r="AA282" s="25">
        <f t="shared" si="653"/>
        <v>0</v>
      </c>
      <c r="AB282" s="21"/>
      <c r="AC282" s="21"/>
      <c r="AD282" s="21"/>
      <c r="AE282" s="21"/>
      <c r="AF282" s="25">
        <f t="shared" si="654"/>
        <v>0</v>
      </c>
      <c r="AG282" s="21"/>
      <c r="AH282" s="21"/>
      <c r="AI282" s="21"/>
      <c r="AJ282" s="21"/>
      <c r="AK282" s="25">
        <f t="shared" si="655"/>
        <v>0</v>
      </c>
      <c r="AL282" s="21"/>
      <c r="AM282" s="21"/>
      <c r="AN282" s="21"/>
      <c r="AO282" s="21"/>
      <c r="AP282" s="487"/>
      <c r="AQ282" s="25">
        <f t="shared" si="656"/>
        <v>11108.52</v>
      </c>
      <c r="AR282" s="21">
        <v>11108.52</v>
      </c>
      <c r="AS282" s="54"/>
      <c r="AT282" s="54"/>
      <c r="AU282" s="54"/>
      <c r="AV282" s="25">
        <f t="shared" si="635"/>
        <v>0</v>
      </c>
      <c r="AW282" s="25">
        <f t="shared" si="636"/>
        <v>0</v>
      </c>
      <c r="AX282" s="54">
        <f t="shared" si="637"/>
        <v>0</v>
      </c>
      <c r="AY282" s="54">
        <f t="shared" si="638"/>
        <v>0</v>
      </c>
      <c r="AZ282" s="54"/>
      <c r="BA282" s="25">
        <f t="shared" si="657"/>
        <v>1274.2018499999999</v>
      </c>
      <c r="BB282" s="21">
        <f>730.39635+543.8055</f>
        <v>1274.2018499999999</v>
      </c>
      <c r="BC282" s="54"/>
      <c r="BD282" s="54"/>
      <c r="BE282" s="54"/>
      <c r="BF282" s="25">
        <f t="shared" si="658"/>
        <v>0</v>
      </c>
      <c r="BG282" s="21"/>
      <c r="BH282" s="54"/>
      <c r="BI282" s="54"/>
      <c r="BJ282" s="54"/>
      <c r="BK282" s="25">
        <f t="shared" si="659"/>
        <v>1274.2018499999999</v>
      </c>
      <c r="BL282" s="21">
        <f>730.39635+543.8055</f>
        <v>1274.2018499999999</v>
      </c>
      <c r="BM282" s="171"/>
      <c r="BN282" s="171"/>
      <c r="BO282" s="171"/>
      <c r="BP282" s="25">
        <f t="shared" si="660"/>
        <v>1274.2018499999999</v>
      </c>
      <c r="BQ282" s="21">
        <f>730.53265+543.6692</f>
        <v>1274.2018499999999</v>
      </c>
      <c r="BR282" s="171"/>
      <c r="BS282" s="171"/>
      <c r="BT282" s="171"/>
      <c r="BU282" s="305">
        <f t="shared" si="661"/>
        <v>0</v>
      </c>
      <c r="BV282" s="53"/>
      <c r="BW282" s="171"/>
      <c r="BX282" s="171"/>
      <c r="BY282" s="171"/>
      <c r="BZ282" s="21">
        <f t="shared" si="639"/>
        <v>1274.2018499999999</v>
      </c>
      <c r="CA282" s="53">
        <f>CB282</f>
        <v>1274.2018499999999</v>
      </c>
      <c r="CB282" s="53">
        <f>BQ282+BV282</f>
        <v>1274.2018499999999</v>
      </c>
      <c r="CC282" s="171"/>
      <c r="CD282" s="171"/>
      <c r="CE282" s="171"/>
      <c r="CF282" s="25">
        <f t="shared" si="640"/>
        <v>0</v>
      </c>
      <c r="CG282" s="25">
        <f t="shared" si="641"/>
        <v>0</v>
      </c>
      <c r="CH282" s="25">
        <f t="shared" si="642"/>
        <v>0</v>
      </c>
      <c r="CI282" s="25">
        <f t="shared" si="643"/>
        <v>0</v>
      </c>
      <c r="CJ282" s="25"/>
      <c r="CK282" s="306"/>
      <c r="CL282" s="307"/>
      <c r="CM282" s="307"/>
      <c r="CN282" s="25">
        <f t="shared" si="662"/>
        <v>0</v>
      </c>
      <c r="CO282" s="21"/>
      <c r="CP282" s="171"/>
      <c r="CQ282" s="171"/>
      <c r="CR282" s="171"/>
      <c r="CS282" s="25">
        <f t="shared" si="663"/>
        <v>0</v>
      </c>
      <c r="CT282" s="21"/>
      <c r="CU282" s="171"/>
      <c r="CV282" s="171"/>
      <c r="CW282" s="171"/>
      <c r="CX282" s="307"/>
      <c r="CY282" s="307"/>
      <c r="CZ282" s="307"/>
      <c r="DA282" s="307"/>
      <c r="DB282" s="307"/>
      <c r="DC282" s="307"/>
      <c r="DD282" s="307"/>
      <c r="DE282" s="307"/>
      <c r="DF282" s="309"/>
      <c r="DG282" s="306"/>
      <c r="DH282" s="306"/>
      <c r="DI282" s="310"/>
      <c r="DJ282" s="307"/>
      <c r="DK282" s="307"/>
      <c r="DL282" s="307"/>
      <c r="DM282" s="307"/>
      <c r="DN282" s="307"/>
      <c r="DO282" s="307"/>
      <c r="DP282" s="307"/>
      <c r="DQ282" s="53">
        <f t="shared" si="650"/>
        <v>1274.2018499999999</v>
      </c>
      <c r="DR282" s="21">
        <f>730.39635+543.8055</f>
        <v>1274.2018499999999</v>
      </c>
      <c r="DS282" s="53"/>
      <c r="DT282" s="53"/>
      <c r="DU282" s="311"/>
      <c r="DV282" s="53">
        <f t="shared" si="651"/>
        <v>0</v>
      </c>
      <c r="DW282" s="53"/>
      <c r="DX282" s="171"/>
      <c r="DY282" s="312"/>
      <c r="DZ282" s="171"/>
      <c r="EA282" s="372"/>
      <c r="EB282" s="372"/>
      <c r="EC282" s="372"/>
      <c r="ED282" s="372"/>
      <c r="EE282" s="372"/>
      <c r="EF282" s="372"/>
      <c r="EG282" s="372"/>
      <c r="EH282" s="372"/>
      <c r="EI282" s="372"/>
      <c r="EJ282" s="372"/>
      <c r="EK282" s="372"/>
      <c r="EL282" s="372"/>
      <c r="EM282" s="372"/>
      <c r="EN282" s="372"/>
      <c r="EO282" s="372"/>
      <c r="EP282" s="372"/>
      <c r="EQ282" s="372"/>
      <c r="ER282" s="372"/>
      <c r="ES282" s="372"/>
      <c r="ET282" s="372"/>
      <c r="EU282" s="372"/>
      <c r="EV282" s="372"/>
      <c r="EW282" s="372"/>
      <c r="EX282" s="372"/>
      <c r="EY282" s="372"/>
      <c r="EZ282" s="372"/>
      <c r="FA282" s="372"/>
      <c r="FB282" s="372"/>
      <c r="FC282" s="372"/>
      <c r="FD282" s="372"/>
      <c r="FE282" s="372"/>
      <c r="FF282" s="372"/>
      <c r="FG282" s="372"/>
      <c r="FH282" s="372"/>
      <c r="FI282" s="372"/>
      <c r="FJ282" s="372"/>
      <c r="FK282" s="372"/>
      <c r="FL282" s="372"/>
      <c r="FM282" s="372"/>
      <c r="FN282" s="372"/>
      <c r="FO282" s="372"/>
      <c r="FP282" s="372"/>
      <c r="FQ282" s="372"/>
      <c r="FR282" s="372"/>
      <c r="FS282" s="372"/>
      <c r="FT282" s="372"/>
      <c r="FU282" s="372"/>
      <c r="FV282" s="372"/>
      <c r="FW282" s="372"/>
      <c r="FX282" s="372"/>
      <c r="FY282" s="372"/>
      <c r="FZ282" s="372"/>
      <c r="GA282" s="372"/>
      <c r="GB282" s="372"/>
      <c r="GC282" s="372"/>
      <c r="GD282" s="372"/>
      <c r="GE282" s="372"/>
      <c r="GF282" s="372"/>
      <c r="GG282" s="372"/>
      <c r="GH282" s="372"/>
      <c r="GI282" s="372"/>
      <c r="GJ282" s="372"/>
      <c r="GK282" s="372"/>
      <c r="GL282" s="372"/>
      <c r="GM282" s="372"/>
      <c r="GN282" s="372"/>
      <c r="GO282" s="372"/>
      <c r="GP282" s="372"/>
      <c r="GQ282" s="372"/>
      <c r="GR282" s="372"/>
    </row>
    <row r="283" spans="2:200" s="59" customFormat="1" ht="51.6" customHeight="1" x14ac:dyDescent="0.3">
      <c r="B283" s="24"/>
      <c r="C283" s="141"/>
      <c r="D283" s="24"/>
      <c r="E283" s="142"/>
      <c r="F283" s="24"/>
      <c r="G283" s="141"/>
      <c r="H283" s="24"/>
      <c r="I283" s="24"/>
      <c r="J283" s="24"/>
      <c r="K283" s="24"/>
      <c r="L283" s="24"/>
      <c r="M283" s="303">
        <v>6</v>
      </c>
      <c r="N283" s="349" t="s">
        <v>410</v>
      </c>
      <c r="O283" s="187"/>
      <c r="P283" s="187"/>
      <c r="Q283" s="187"/>
      <c r="R283" s="187"/>
      <c r="S283" s="187"/>
      <c r="T283" s="485"/>
      <c r="U283" s="485"/>
      <c r="V283" s="21">
        <f>V284+V285</f>
        <v>14374.34</v>
      </c>
      <c r="W283" s="21">
        <f>W284+W285</f>
        <v>14374.34</v>
      </c>
      <c r="X283" s="21"/>
      <c r="Y283" s="21"/>
      <c r="Z283" s="21"/>
      <c r="AA283" s="21">
        <f>AA284+AA285</f>
        <v>10200.799999999999</v>
      </c>
      <c r="AB283" s="21">
        <f>AB284+AB285</f>
        <v>10200.799999999999</v>
      </c>
      <c r="AC283" s="21"/>
      <c r="AD283" s="21"/>
      <c r="AE283" s="21"/>
      <c r="AF283" s="21">
        <f>AF284+AF285</f>
        <v>0</v>
      </c>
      <c r="AG283" s="21">
        <f>AG284+AG285</f>
        <v>0</v>
      </c>
      <c r="AH283" s="21"/>
      <c r="AI283" s="21"/>
      <c r="AJ283" s="21"/>
      <c r="AK283" s="25">
        <f>AK284+AK285</f>
        <v>0</v>
      </c>
      <c r="AL283" s="21">
        <f>AL284+AL285</f>
        <v>0</v>
      </c>
      <c r="AM283" s="21"/>
      <c r="AN283" s="21"/>
      <c r="AO283" s="21"/>
      <c r="AP283" s="487"/>
      <c r="AQ283" s="21">
        <f>AQ284+AQ285</f>
        <v>14374.34</v>
      </c>
      <c r="AR283" s="21">
        <f>AR284+AR285</f>
        <v>14374.34</v>
      </c>
      <c r="AS283" s="54"/>
      <c r="AT283" s="54"/>
      <c r="AU283" s="54"/>
      <c r="AV283" s="21">
        <f t="shared" si="635"/>
        <v>0</v>
      </c>
      <c r="AW283" s="21">
        <f t="shared" si="636"/>
        <v>0</v>
      </c>
      <c r="AX283" s="53">
        <f t="shared" si="637"/>
        <v>0</v>
      </c>
      <c r="AY283" s="53">
        <f t="shared" si="638"/>
        <v>0</v>
      </c>
      <c r="AZ283" s="54"/>
      <c r="BA283" s="21">
        <f>BA284+BA285</f>
        <v>12297.111370000001</v>
      </c>
      <c r="BB283" s="21"/>
      <c r="BC283" s="54"/>
      <c r="BD283" s="54"/>
      <c r="BE283" s="54"/>
      <c r="BF283" s="21">
        <f>BF284+BF285</f>
        <v>0</v>
      </c>
      <c r="BG283" s="21">
        <f>BG284+BG285</f>
        <v>0</v>
      </c>
      <c r="BH283" s="54"/>
      <c r="BI283" s="54"/>
      <c r="BJ283" s="54"/>
      <c r="BK283" s="21">
        <f>BK284+BK285</f>
        <v>12297.111370000001</v>
      </c>
      <c r="BL283" s="21">
        <f>BL284+BL285</f>
        <v>12297.111370000001</v>
      </c>
      <c r="BM283" s="171"/>
      <c r="BN283" s="171"/>
      <c r="BO283" s="171"/>
      <c r="BP283" s="21">
        <f>BP284+BP285</f>
        <v>12297.111370000001</v>
      </c>
      <c r="BQ283" s="21">
        <f>BQ284+BQ285</f>
        <v>12297.111370000001</v>
      </c>
      <c r="BR283" s="171"/>
      <c r="BS283" s="171"/>
      <c r="BT283" s="171"/>
      <c r="BU283" s="305">
        <f>BU284+BU285</f>
        <v>359.69308999999998</v>
      </c>
      <c r="BV283" s="53">
        <f>BV284+BV285</f>
        <v>359.69308999999998</v>
      </c>
      <c r="BW283" s="171"/>
      <c r="BX283" s="171"/>
      <c r="BY283" s="171"/>
      <c r="BZ283" s="21">
        <f t="shared" si="639"/>
        <v>12656.804460000001</v>
      </c>
      <c r="CA283" s="53">
        <f>CA284+CA285</f>
        <v>12656.804460000001</v>
      </c>
      <c r="CB283" s="53">
        <f t="shared" ref="CB283" si="664">BQ283+BV283</f>
        <v>12656.804460000001</v>
      </c>
      <c r="CC283" s="171"/>
      <c r="CD283" s="171"/>
      <c r="CE283" s="171"/>
      <c r="CF283" s="25">
        <f t="shared" si="640"/>
        <v>0</v>
      </c>
      <c r="CG283" s="25">
        <f t="shared" si="641"/>
        <v>0</v>
      </c>
      <c r="CH283" s="25">
        <f t="shared" si="642"/>
        <v>0</v>
      </c>
      <c r="CI283" s="25">
        <f t="shared" si="643"/>
        <v>0</v>
      </c>
      <c r="CJ283" s="25"/>
      <c r="CK283" s="306"/>
      <c r="CL283" s="307"/>
      <c r="CM283" s="307"/>
      <c r="CN283" s="22">
        <f>CN284+CN285</f>
        <v>0</v>
      </c>
      <c r="CO283" s="22">
        <f>CO284+CO285</f>
        <v>0</v>
      </c>
      <c r="CP283" s="171"/>
      <c r="CQ283" s="171"/>
      <c r="CR283" s="171"/>
      <c r="CS283" s="22">
        <f>CS284+CS285</f>
        <v>0</v>
      </c>
      <c r="CT283" s="22">
        <f>CT284+CT285</f>
        <v>0</v>
      </c>
      <c r="CU283" s="171"/>
      <c r="CV283" s="171"/>
      <c r="CW283" s="171"/>
      <c r="CX283" s="307"/>
      <c r="CY283" s="307"/>
      <c r="CZ283" s="307"/>
      <c r="DA283" s="307"/>
      <c r="DB283" s="307"/>
      <c r="DC283" s="307"/>
      <c r="DD283" s="307"/>
      <c r="DE283" s="307"/>
      <c r="DF283" s="309"/>
      <c r="DG283" s="306"/>
      <c r="DH283" s="306"/>
      <c r="DI283" s="310"/>
      <c r="DJ283" s="307"/>
      <c r="DK283" s="307"/>
      <c r="DL283" s="307"/>
      <c r="DM283" s="307"/>
      <c r="DN283" s="307"/>
      <c r="DO283" s="307"/>
      <c r="DP283" s="307"/>
      <c r="DQ283" s="53">
        <f t="shared" si="650"/>
        <v>12297.111370000001</v>
      </c>
      <c r="DR283" s="21">
        <f>DR284+DR285</f>
        <v>12297.111370000001</v>
      </c>
      <c r="DS283" s="53"/>
      <c r="DT283" s="53"/>
      <c r="DU283" s="311"/>
      <c r="DV283" s="53">
        <f t="shared" si="651"/>
        <v>359.69308999999998</v>
      </c>
      <c r="DW283" s="53">
        <f>DW284+DW285</f>
        <v>359.69308999999998</v>
      </c>
      <c r="DX283" s="171"/>
      <c r="DY283" s="312"/>
      <c r="DZ283" s="171"/>
      <c r="EA283" s="372"/>
      <c r="EB283" s="372"/>
      <c r="EC283" s="372"/>
      <c r="ED283" s="372"/>
      <c r="EE283" s="372"/>
      <c r="EF283" s="372"/>
      <c r="EG283" s="372"/>
      <c r="EH283" s="372"/>
      <c r="EI283" s="372"/>
      <c r="EJ283" s="372"/>
      <c r="EK283" s="372"/>
      <c r="EL283" s="372"/>
      <c r="EM283" s="372"/>
      <c r="EN283" s="372"/>
      <c r="EO283" s="372"/>
      <c r="EP283" s="372"/>
      <c r="EQ283" s="372"/>
      <c r="ER283" s="372"/>
      <c r="ES283" s="372"/>
      <c r="ET283" s="372"/>
      <c r="EU283" s="372"/>
      <c r="EV283" s="372"/>
      <c r="EW283" s="372"/>
      <c r="EX283" s="372"/>
      <c r="EY283" s="372"/>
      <c r="EZ283" s="372"/>
      <c r="FA283" s="372"/>
      <c r="FB283" s="372"/>
      <c r="FC283" s="372"/>
      <c r="FD283" s="372"/>
      <c r="FE283" s="372"/>
      <c r="FF283" s="372"/>
      <c r="FG283" s="372"/>
      <c r="FH283" s="372"/>
      <c r="FI283" s="372"/>
      <c r="FJ283" s="372"/>
      <c r="FK283" s="372"/>
      <c r="FL283" s="372"/>
      <c r="FM283" s="372"/>
      <c r="FN283" s="372"/>
      <c r="FO283" s="372"/>
      <c r="FP283" s="372"/>
      <c r="FQ283" s="372"/>
      <c r="FR283" s="372"/>
      <c r="FS283" s="372"/>
      <c r="FT283" s="372"/>
      <c r="FU283" s="372"/>
      <c r="FV283" s="372"/>
      <c r="FW283" s="372"/>
      <c r="FX283" s="372"/>
      <c r="FY283" s="372"/>
      <c r="FZ283" s="372"/>
      <c r="GA283" s="372"/>
      <c r="GB283" s="372"/>
      <c r="GC283" s="372"/>
      <c r="GD283" s="372"/>
      <c r="GE283" s="372"/>
      <c r="GF283" s="372"/>
      <c r="GG283" s="372"/>
      <c r="GH283" s="372"/>
      <c r="GI283" s="372"/>
      <c r="GJ283" s="372"/>
      <c r="GK283" s="372"/>
      <c r="GL283" s="372"/>
      <c r="GM283" s="372"/>
      <c r="GN283" s="372"/>
      <c r="GO283" s="372"/>
      <c r="GP283" s="372"/>
      <c r="GQ283" s="372"/>
      <c r="GR283" s="372"/>
    </row>
    <row r="284" spans="2:200" s="59" customFormat="1" ht="19.5" customHeight="1" x14ac:dyDescent="0.3">
      <c r="B284" s="24"/>
      <c r="C284" s="141"/>
      <c r="D284" s="24"/>
      <c r="E284" s="142"/>
      <c r="F284" s="24"/>
      <c r="G284" s="141"/>
      <c r="H284" s="24"/>
      <c r="I284" s="24"/>
      <c r="J284" s="24"/>
      <c r="K284" s="24"/>
      <c r="L284" s="24"/>
      <c r="M284" s="173"/>
      <c r="N284" s="174" t="s">
        <v>287</v>
      </c>
      <c r="O284" s="186"/>
      <c r="P284" s="186"/>
      <c r="Q284" s="186"/>
      <c r="R284" s="186"/>
      <c r="S284" s="186"/>
      <c r="T284" s="485"/>
      <c r="U284" s="485"/>
      <c r="V284" s="25">
        <f t="shared" ref="V284:V285" si="665">W284+X284+Y284+Z284</f>
        <v>10200.799999999999</v>
      </c>
      <c r="W284" s="21">
        <v>10200.799999999999</v>
      </c>
      <c r="X284" s="21"/>
      <c r="Y284" s="21"/>
      <c r="Z284" s="21"/>
      <c r="AA284" s="25">
        <f t="shared" ref="AA284:AA285" si="666">AB284+AC284+AD284+AE284</f>
        <v>10200.799999999999</v>
      </c>
      <c r="AB284" s="21">
        <v>10200.799999999999</v>
      </c>
      <c r="AC284" s="21"/>
      <c r="AD284" s="21"/>
      <c r="AE284" s="21"/>
      <c r="AF284" s="25">
        <f t="shared" ref="AF284:AF285" si="667">AG284+AH284+AI284+AJ284</f>
        <v>0</v>
      </c>
      <c r="AG284" s="21"/>
      <c r="AH284" s="21"/>
      <c r="AI284" s="21"/>
      <c r="AJ284" s="21"/>
      <c r="AK284" s="25">
        <f t="shared" ref="AK284:AK285" si="668">AL284+AM284+AN284+AO284</f>
        <v>0</v>
      </c>
      <c r="AL284" s="21"/>
      <c r="AM284" s="21"/>
      <c r="AN284" s="21"/>
      <c r="AO284" s="21"/>
      <c r="AP284" s="487"/>
      <c r="AQ284" s="25">
        <f t="shared" ref="AQ284:AQ285" si="669">AR284+AS284+AT284+AU284</f>
        <v>10200.799999999999</v>
      </c>
      <c r="AR284" s="21">
        <v>10200.799999999999</v>
      </c>
      <c r="AS284" s="54"/>
      <c r="AT284" s="54"/>
      <c r="AU284" s="54"/>
      <c r="AV284" s="25">
        <f t="shared" si="635"/>
        <v>0</v>
      </c>
      <c r="AW284" s="25">
        <f t="shared" si="636"/>
        <v>0</v>
      </c>
      <c r="AX284" s="54">
        <f t="shared" si="637"/>
        <v>0</v>
      </c>
      <c r="AY284" s="54">
        <f t="shared" si="638"/>
        <v>0</v>
      </c>
      <c r="AZ284" s="54"/>
      <c r="BA284" s="25">
        <f t="shared" ref="BA284:BA285" si="670">BB284+BC284+BD284+BE284</f>
        <v>8907.6532800000004</v>
      </c>
      <c r="BB284" s="21">
        <v>8907.6532800000004</v>
      </c>
      <c r="BC284" s="54"/>
      <c r="BD284" s="54"/>
      <c r="BE284" s="54"/>
      <c r="BF284" s="25">
        <f t="shared" ref="BF284:BF285" si="671">BG284+BH284+BI284+BJ284</f>
        <v>0</v>
      </c>
      <c r="BG284" s="21"/>
      <c r="BH284" s="54"/>
      <c r="BI284" s="54"/>
      <c r="BJ284" s="54"/>
      <c r="BK284" s="25">
        <f t="shared" ref="BK284:BK285" si="672">BL284+BM284+BN284+BO284</f>
        <v>8907.6532800000004</v>
      </c>
      <c r="BL284" s="21">
        <v>8907.6532800000004</v>
      </c>
      <c r="BM284" s="171"/>
      <c r="BN284" s="171"/>
      <c r="BO284" s="171"/>
      <c r="BP284" s="25">
        <f t="shared" ref="BP284:BP285" si="673">BQ284+BR284+BS284+BT284</f>
        <v>8907.6532800000004</v>
      </c>
      <c r="BQ284" s="21">
        <v>8907.6532800000004</v>
      </c>
      <c r="BR284" s="171"/>
      <c r="BS284" s="171"/>
      <c r="BT284" s="171"/>
      <c r="BU284" s="305">
        <f t="shared" ref="BU284:BU285" si="674">BV284+BW284+BX284+BY284</f>
        <v>359.69308999999998</v>
      </c>
      <c r="BV284" s="53">
        <v>359.69308999999998</v>
      </c>
      <c r="BW284" s="171"/>
      <c r="BX284" s="171"/>
      <c r="BY284" s="171"/>
      <c r="BZ284" s="21">
        <f t="shared" si="639"/>
        <v>9267.3463700000011</v>
      </c>
      <c r="CA284" s="53">
        <f>CB284</f>
        <v>9267.3463700000011</v>
      </c>
      <c r="CB284" s="53">
        <f>BQ284+BV284</f>
        <v>9267.3463700000011</v>
      </c>
      <c r="CC284" s="171"/>
      <c r="CD284" s="171"/>
      <c r="CE284" s="171"/>
      <c r="CF284" s="25">
        <f t="shared" si="640"/>
        <v>0</v>
      </c>
      <c r="CG284" s="25">
        <f t="shared" si="641"/>
        <v>0</v>
      </c>
      <c r="CH284" s="25">
        <f t="shared" si="642"/>
        <v>0</v>
      </c>
      <c r="CI284" s="25">
        <f t="shared" si="643"/>
        <v>0</v>
      </c>
      <c r="CJ284" s="25"/>
      <c r="CK284" s="306"/>
      <c r="CL284" s="307"/>
      <c r="CM284" s="307"/>
      <c r="CN284" s="25">
        <f t="shared" ref="CN284:CN285" si="675">CO284+CP284+CQ284+CR284</f>
        <v>0</v>
      </c>
      <c r="CO284" s="21"/>
      <c r="CP284" s="171"/>
      <c r="CQ284" s="171"/>
      <c r="CR284" s="171"/>
      <c r="CS284" s="25">
        <f t="shared" ref="CS284:CS285" si="676">CT284+CU284+CV284+CW284</f>
        <v>0</v>
      </c>
      <c r="CT284" s="21"/>
      <c r="CU284" s="171"/>
      <c r="CV284" s="171"/>
      <c r="CW284" s="171"/>
      <c r="CX284" s="307"/>
      <c r="CY284" s="307"/>
      <c r="CZ284" s="307"/>
      <c r="DA284" s="307"/>
      <c r="DB284" s="307"/>
      <c r="DC284" s="307"/>
      <c r="DD284" s="307"/>
      <c r="DE284" s="307"/>
      <c r="DF284" s="309"/>
      <c r="DG284" s="306"/>
      <c r="DH284" s="306"/>
      <c r="DI284" s="310"/>
      <c r="DJ284" s="307"/>
      <c r="DK284" s="307"/>
      <c r="DL284" s="307"/>
      <c r="DM284" s="307"/>
      <c r="DN284" s="307"/>
      <c r="DO284" s="307"/>
      <c r="DP284" s="307"/>
      <c r="DQ284" s="53">
        <f t="shared" si="650"/>
        <v>8907.6532800000004</v>
      </c>
      <c r="DR284" s="21">
        <v>8907.6532800000004</v>
      </c>
      <c r="DS284" s="53"/>
      <c r="DT284" s="53"/>
      <c r="DU284" s="311"/>
      <c r="DV284" s="53">
        <f t="shared" si="651"/>
        <v>359.69308999999998</v>
      </c>
      <c r="DW284" s="53">
        <v>359.69308999999998</v>
      </c>
      <c r="DX284" s="171"/>
      <c r="DY284" s="312"/>
      <c r="DZ284" s="171"/>
      <c r="EA284" s="372"/>
      <c r="EB284" s="372"/>
      <c r="EC284" s="372"/>
      <c r="ED284" s="372"/>
      <c r="EE284" s="372"/>
      <c r="EF284" s="372"/>
      <c r="EG284" s="372"/>
      <c r="EH284" s="372"/>
      <c r="EI284" s="372"/>
      <c r="EJ284" s="372"/>
      <c r="EK284" s="372"/>
      <c r="EL284" s="372"/>
      <c r="EM284" s="372"/>
      <c r="EN284" s="372"/>
      <c r="EO284" s="372"/>
      <c r="EP284" s="372"/>
      <c r="EQ284" s="372"/>
      <c r="ER284" s="372"/>
      <c r="ES284" s="372"/>
      <c r="ET284" s="372"/>
      <c r="EU284" s="372"/>
      <c r="EV284" s="372"/>
      <c r="EW284" s="372"/>
      <c r="EX284" s="372"/>
      <c r="EY284" s="372"/>
      <c r="EZ284" s="372"/>
      <c r="FA284" s="372"/>
      <c r="FB284" s="372"/>
      <c r="FC284" s="372"/>
      <c r="FD284" s="372"/>
      <c r="FE284" s="372"/>
      <c r="FF284" s="372"/>
      <c r="FG284" s="372"/>
      <c r="FH284" s="372"/>
      <c r="FI284" s="372"/>
      <c r="FJ284" s="372"/>
      <c r="FK284" s="372"/>
      <c r="FL284" s="372"/>
      <c r="FM284" s="372"/>
      <c r="FN284" s="372"/>
      <c r="FO284" s="372"/>
      <c r="FP284" s="372"/>
      <c r="FQ284" s="372"/>
      <c r="FR284" s="372"/>
      <c r="FS284" s="372"/>
      <c r="FT284" s="372"/>
      <c r="FU284" s="372"/>
      <c r="FV284" s="372"/>
      <c r="FW284" s="372"/>
      <c r="FX284" s="372"/>
      <c r="FY284" s="372"/>
      <c r="FZ284" s="372"/>
      <c r="GA284" s="372"/>
      <c r="GB284" s="372"/>
      <c r="GC284" s="372"/>
      <c r="GD284" s="372"/>
      <c r="GE284" s="372"/>
      <c r="GF284" s="372"/>
      <c r="GG284" s="372"/>
      <c r="GH284" s="372"/>
      <c r="GI284" s="372"/>
      <c r="GJ284" s="372"/>
      <c r="GK284" s="372"/>
      <c r="GL284" s="372"/>
      <c r="GM284" s="372"/>
      <c r="GN284" s="372"/>
      <c r="GO284" s="372"/>
      <c r="GP284" s="372"/>
      <c r="GQ284" s="372"/>
      <c r="GR284" s="372"/>
    </row>
    <row r="285" spans="2:200" s="59" customFormat="1" ht="19.5" customHeight="1" x14ac:dyDescent="0.3">
      <c r="B285" s="24"/>
      <c r="C285" s="141"/>
      <c r="D285" s="24"/>
      <c r="E285" s="142"/>
      <c r="F285" s="24"/>
      <c r="G285" s="141"/>
      <c r="H285" s="24"/>
      <c r="I285" s="24"/>
      <c r="J285" s="24"/>
      <c r="K285" s="24"/>
      <c r="L285" s="24"/>
      <c r="M285" s="173"/>
      <c r="N285" s="174" t="s">
        <v>286</v>
      </c>
      <c r="O285" s="188"/>
      <c r="P285" s="188"/>
      <c r="Q285" s="188"/>
      <c r="R285" s="188"/>
      <c r="S285" s="188"/>
      <c r="T285" s="486"/>
      <c r="U285" s="486"/>
      <c r="V285" s="25">
        <f t="shared" si="665"/>
        <v>4173.54</v>
      </c>
      <c r="W285" s="21">
        <v>4173.54</v>
      </c>
      <c r="X285" s="21"/>
      <c r="Y285" s="21"/>
      <c r="Z285" s="21"/>
      <c r="AA285" s="25">
        <f t="shared" si="666"/>
        <v>0</v>
      </c>
      <c r="AB285" s="21"/>
      <c r="AC285" s="21"/>
      <c r="AD285" s="21"/>
      <c r="AE285" s="21"/>
      <c r="AF285" s="25">
        <f t="shared" si="667"/>
        <v>0</v>
      </c>
      <c r="AG285" s="21"/>
      <c r="AH285" s="21"/>
      <c r="AI285" s="21"/>
      <c r="AJ285" s="21"/>
      <c r="AK285" s="25">
        <f t="shared" si="668"/>
        <v>0</v>
      </c>
      <c r="AL285" s="21"/>
      <c r="AM285" s="21"/>
      <c r="AN285" s="21"/>
      <c r="AO285" s="21"/>
      <c r="AP285" s="488"/>
      <c r="AQ285" s="25">
        <f t="shared" si="669"/>
        <v>4173.54</v>
      </c>
      <c r="AR285" s="21">
        <v>4173.54</v>
      </c>
      <c r="AS285" s="54"/>
      <c r="AT285" s="54"/>
      <c r="AU285" s="54"/>
      <c r="AV285" s="25">
        <f t="shared" si="635"/>
        <v>0</v>
      </c>
      <c r="AW285" s="25">
        <f t="shared" si="636"/>
        <v>0</v>
      </c>
      <c r="AX285" s="54">
        <f t="shared" si="637"/>
        <v>0</v>
      </c>
      <c r="AY285" s="54">
        <f t="shared" si="638"/>
        <v>0</v>
      </c>
      <c r="AZ285" s="54"/>
      <c r="BA285" s="25">
        <f t="shared" si="670"/>
        <v>3389.4580900000001</v>
      </c>
      <c r="BB285" s="21">
        <v>3389.4580900000001</v>
      </c>
      <c r="BC285" s="54"/>
      <c r="BD285" s="54"/>
      <c r="BE285" s="54"/>
      <c r="BF285" s="25">
        <f t="shared" si="671"/>
        <v>0</v>
      </c>
      <c r="BG285" s="21"/>
      <c r="BH285" s="54"/>
      <c r="BI285" s="54"/>
      <c r="BJ285" s="54"/>
      <c r="BK285" s="25">
        <f t="shared" si="672"/>
        <v>3389.4580900000001</v>
      </c>
      <c r="BL285" s="21">
        <v>3389.4580900000001</v>
      </c>
      <c r="BM285" s="171"/>
      <c r="BN285" s="171"/>
      <c r="BO285" s="171"/>
      <c r="BP285" s="25">
        <f t="shared" si="673"/>
        <v>3389.4580900000001</v>
      </c>
      <c r="BQ285" s="21">
        <v>3389.4580900000001</v>
      </c>
      <c r="BR285" s="171"/>
      <c r="BS285" s="171"/>
      <c r="BT285" s="171"/>
      <c r="BU285" s="305">
        <f t="shared" si="674"/>
        <v>0</v>
      </c>
      <c r="BV285" s="53"/>
      <c r="BW285" s="171"/>
      <c r="BX285" s="171"/>
      <c r="BY285" s="171"/>
      <c r="BZ285" s="21">
        <f t="shared" si="639"/>
        <v>3389.4580900000001</v>
      </c>
      <c r="CA285" s="53">
        <f>CB285</f>
        <v>3389.4580900000001</v>
      </c>
      <c r="CB285" s="53">
        <f>BQ285+BV285</f>
        <v>3389.4580900000001</v>
      </c>
      <c r="CC285" s="171"/>
      <c r="CD285" s="171"/>
      <c r="CE285" s="171"/>
      <c r="CF285" s="25">
        <f t="shared" si="640"/>
        <v>0</v>
      </c>
      <c r="CG285" s="25">
        <f t="shared" si="641"/>
        <v>0</v>
      </c>
      <c r="CH285" s="25">
        <f t="shared" si="642"/>
        <v>0</v>
      </c>
      <c r="CI285" s="25">
        <f t="shared" si="643"/>
        <v>0</v>
      </c>
      <c r="CJ285" s="25"/>
      <c r="CK285" s="306"/>
      <c r="CL285" s="307"/>
      <c r="CM285" s="307"/>
      <c r="CN285" s="25">
        <f t="shared" si="675"/>
        <v>0</v>
      </c>
      <c r="CO285" s="21"/>
      <c r="CP285" s="171"/>
      <c r="CQ285" s="171"/>
      <c r="CR285" s="171"/>
      <c r="CS285" s="25">
        <f t="shared" si="676"/>
        <v>0</v>
      </c>
      <c r="CT285" s="21"/>
      <c r="CU285" s="171"/>
      <c r="CV285" s="171"/>
      <c r="CW285" s="171"/>
      <c r="CX285" s="307"/>
      <c r="CY285" s="307"/>
      <c r="CZ285" s="307"/>
      <c r="DA285" s="307"/>
      <c r="DB285" s="307"/>
      <c r="DC285" s="307"/>
      <c r="DD285" s="307"/>
      <c r="DE285" s="307"/>
      <c r="DF285" s="309"/>
      <c r="DG285" s="306"/>
      <c r="DH285" s="306"/>
      <c r="DI285" s="310"/>
      <c r="DJ285" s="307"/>
      <c r="DK285" s="307"/>
      <c r="DL285" s="307"/>
      <c r="DM285" s="307"/>
      <c r="DN285" s="307"/>
      <c r="DO285" s="307"/>
      <c r="DP285" s="307"/>
      <c r="DQ285" s="53">
        <f t="shared" si="650"/>
        <v>3389.4580900000001</v>
      </c>
      <c r="DR285" s="21">
        <v>3389.4580900000001</v>
      </c>
      <c r="DS285" s="53"/>
      <c r="DT285" s="53"/>
      <c r="DU285" s="311"/>
      <c r="DV285" s="53">
        <f t="shared" si="651"/>
        <v>0</v>
      </c>
      <c r="DW285" s="53"/>
      <c r="DX285" s="171"/>
      <c r="DY285" s="312"/>
      <c r="DZ285" s="171"/>
      <c r="EA285" s="372"/>
      <c r="EB285" s="372"/>
      <c r="EC285" s="372"/>
      <c r="ED285" s="372"/>
      <c r="EE285" s="372"/>
      <c r="EF285" s="372"/>
      <c r="EG285" s="372"/>
      <c r="EH285" s="372"/>
      <c r="EI285" s="372"/>
      <c r="EJ285" s="372"/>
      <c r="EK285" s="372"/>
      <c r="EL285" s="372"/>
      <c r="EM285" s="372"/>
      <c r="EN285" s="372"/>
      <c r="EO285" s="372"/>
      <c r="EP285" s="372"/>
      <c r="EQ285" s="372"/>
      <c r="ER285" s="372"/>
      <c r="ES285" s="372"/>
      <c r="ET285" s="372"/>
      <c r="EU285" s="372"/>
      <c r="EV285" s="372"/>
      <c r="EW285" s="372"/>
      <c r="EX285" s="372"/>
      <c r="EY285" s="372"/>
      <c r="EZ285" s="372"/>
      <c r="FA285" s="372"/>
      <c r="FB285" s="372"/>
      <c r="FC285" s="372"/>
      <c r="FD285" s="372"/>
      <c r="FE285" s="372"/>
      <c r="FF285" s="372"/>
      <c r="FG285" s="372"/>
      <c r="FH285" s="372"/>
      <c r="FI285" s="372"/>
      <c r="FJ285" s="372"/>
      <c r="FK285" s="372"/>
      <c r="FL285" s="372"/>
      <c r="FM285" s="372"/>
      <c r="FN285" s="372"/>
      <c r="FO285" s="372"/>
      <c r="FP285" s="372"/>
      <c r="FQ285" s="372"/>
      <c r="FR285" s="372"/>
      <c r="FS285" s="372"/>
      <c r="FT285" s="372"/>
      <c r="FU285" s="372"/>
      <c r="FV285" s="372"/>
      <c r="FW285" s="372"/>
      <c r="FX285" s="372"/>
      <c r="FY285" s="372"/>
      <c r="FZ285" s="372"/>
      <c r="GA285" s="372"/>
      <c r="GB285" s="372"/>
      <c r="GC285" s="372"/>
      <c r="GD285" s="372"/>
      <c r="GE285" s="372"/>
      <c r="GF285" s="372"/>
      <c r="GG285" s="372"/>
      <c r="GH285" s="372"/>
      <c r="GI285" s="372"/>
      <c r="GJ285" s="372"/>
      <c r="GK285" s="372"/>
      <c r="GL285" s="372"/>
      <c r="GM285" s="372"/>
      <c r="GN285" s="372"/>
      <c r="GO285" s="372"/>
      <c r="GP285" s="372"/>
      <c r="GQ285" s="372"/>
      <c r="GR285" s="372"/>
    </row>
    <row r="286" spans="2:200" s="59" customFormat="1" ht="51.6" customHeight="1" x14ac:dyDescent="0.3">
      <c r="B286" s="24"/>
      <c r="C286" s="141"/>
      <c r="D286" s="24"/>
      <c r="E286" s="142"/>
      <c r="F286" s="24"/>
      <c r="G286" s="141"/>
      <c r="H286" s="24"/>
      <c r="I286" s="24"/>
      <c r="J286" s="24"/>
      <c r="K286" s="24"/>
      <c r="L286" s="24"/>
      <c r="M286" s="303">
        <v>7</v>
      </c>
      <c r="N286" s="349" t="s">
        <v>411</v>
      </c>
      <c r="O286" s="184"/>
      <c r="P286" s="184"/>
      <c r="Q286" s="184"/>
      <c r="R286" s="184"/>
      <c r="S286" s="184"/>
      <c r="T286" s="29"/>
      <c r="U286" s="29">
        <v>1</v>
      </c>
      <c r="V286" s="21">
        <f>V287+V288</f>
        <v>12821.901</v>
      </c>
      <c r="W286" s="21">
        <f>W287+W288</f>
        <v>12821.901</v>
      </c>
      <c r="X286" s="21"/>
      <c r="Y286" s="21"/>
      <c r="Z286" s="21"/>
      <c r="AA286" s="21">
        <f>AA287+AA288</f>
        <v>12821.901</v>
      </c>
      <c r="AB286" s="21">
        <f>AB287+AB288</f>
        <v>12821.901</v>
      </c>
      <c r="AC286" s="21"/>
      <c r="AD286" s="21"/>
      <c r="AE286" s="21"/>
      <c r="AF286" s="21">
        <f>AF287+AF288</f>
        <v>0</v>
      </c>
      <c r="AG286" s="21">
        <f>AG287+AG288</f>
        <v>0</v>
      </c>
      <c r="AH286" s="21"/>
      <c r="AI286" s="21"/>
      <c r="AJ286" s="21"/>
      <c r="AK286" s="25">
        <f>AK287+AK288</f>
        <v>0</v>
      </c>
      <c r="AL286" s="21">
        <f>AL287+AL288</f>
        <v>0</v>
      </c>
      <c r="AM286" s="21"/>
      <c r="AN286" s="21"/>
      <c r="AO286" s="21"/>
      <c r="AP286" s="21" t="s">
        <v>416</v>
      </c>
      <c r="AQ286" s="21">
        <f>AQ287+AQ288</f>
        <v>12821.901</v>
      </c>
      <c r="AR286" s="21">
        <f>AR287+AR288</f>
        <v>12821.901</v>
      </c>
      <c r="AS286" s="54"/>
      <c r="AT286" s="54"/>
      <c r="AU286" s="54"/>
      <c r="AV286" s="21">
        <f t="shared" si="635"/>
        <v>0</v>
      </c>
      <c r="AW286" s="21">
        <f t="shared" si="636"/>
        <v>0</v>
      </c>
      <c r="AX286" s="53">
        <f t="shared" si="637"/>
        <v>0</v>
      </c>
      <c r="AY286" s="53">
        <f t="shared" si="638"/>
        <v>0</v>
      </c>
      <c r="AZ286" s="54"/>
      <c r="BA286" s="21">
        <f>BA287+BA288</f>
        <v>11912.71645</v>
      </c>
      <c r="BB286" s="21"/>
      <c r="BC286" s="54"/>
      <c r="BD286" s="54"/>
      <c r="BE286" s="54"/>
      <c r="BF286" s="21">
        <f>BF287+BF288</f>
        <v>0</v>
      </c>
      <c r="BG286" s="21">
        <f>BG287+BG288</f>
        <v>0</v>
      </c>
      <c r="BH286" s="54"/>
      <c r="BI286" s="54"/>
      <c r="BJ286" s="54"/>
      <c r="BK286" s="21">
        <f>BK287+BK288</f>
        <v>11912.71645</v>
      </c>
      <c r="BL286" s="21">
        <f>BL287+BL288</f>
        <v>11912.71645</v>
      </c>
      <c r="BM286" s="171"/>
      <c r="BN286" s="171"/>
      <c r="BO286" s="171"/>
      <c r="BP286" s="21">
        <f>BP287+BP288</f>
        <v>11912.71645</v>
      </c>
      <c r="BQ286" s="21">
        <f>BQ287+BQ288</f>
        <v>11912.71645</v>
      </c>
      <c r="BR286" s="171"/>
      <c r="BS286" s="171"/>
      <c r="BT286" s="171"/>
      <c r="BU286" s="305">
        <f>BU287+BU288</f>
        <v>323.85091999999997</v>
      </c>
      <c r="BV286" s="53">
        <f>BV287+BV288</f>
        <v>323.85091999999997</v>
      </c>
      <c r="BW286" s="171"/>
      <c r="BX286" s="171"/>
      <c r="BY286" s="171"/>
      <c r="BZ286" s="21">
        <f t="shared" si="639"/>
        <v>12236.567370000001</v>
      </c>
      <c r="CA286" s="53">
        <f>CA287+CA288</f>
        <v>12236.567370000001</v>
      </c>
      <c r="CB286" s="53">
        <f t="shared" ref="CB286" si="677">BQ286+BV286</f>
        <v>12236.567370000001</v>
      </c>
      <c r="CC286" s="171"/>
      <c r="CD286" s="171"/>
      <c r="CE286" s="171"/>
      <c r="CF286" s="25">
        <f t="shared" si="640"/>
        <v>0</v>
      </c>
      <c r="CG286" s="25">
        <f t="shared" si="641"/>
        <v>0</v>
      </c>
      <c r="CH286" s="25">
        <f t="shared" si="642"/>
        <v>0</v>
      </c>
      <c r="CI286" s="25">
        <f t="shared" si="643"/>
        <v>0</v>
      </c>
      <c r="CJ286" s="25"/>
      <c r="CK286" s="306"/>
      <c r="CL286" s="307"/>
      <c r="CM286" s="307"/>
      <c r="CN286" s="22">
        <f>CN287+CN288</f>
        <v>0</v>
      </c>
      <c r="CO286" s="22">
        <f>CO287+CO288</f>
        <v>0</v>
      </c>
      <c r="CP286" s="171"/>
      <c r="CQ286" s="171"/>
      <c r="CR286" s="171"/>
      <c r="CS286" s="22">
        <f>CS287+CS288</f>
        <v>0</v>
      </c>
      <c r="CT286" s="22">
        <f>CT287+CT288</f>
        <v>0</v>
      </c>
      <c r="CU286" s="171"/>
      <c r="CV286" s="171"/>
      <c r="CW286" s="171"/>
      <c r="CX286" s="307"/>
      <c r="CY286" s="307"/>
      <c r="CZ286" s="307"/>
      <c r="DA286" s="307"/>
      <c r="DB286" s="307"/>
      <c r="DC286" s="307"/>
      <c r="DD286" s="307"/>
      <c r="DE286" s="307"/>
      <c r="DF286" s="309"/>
      <c r="DG286" s="306"/>
      <c r="DH286" s="306"/>
      <c r="DI286" s="310"/>
      <c r="DJ286" s="307"/>
      <c r="DK286" s="307"/>
      <c r="DL286" s="307"/>
      <c r="DM286" s="307"/>
      <c r="DN286" s="307"/>
      <c r="DO286" s="307"/>
      <c r="DP286" s="307"/>
      <c r="DQ286" s="53">
        <f t="shared" si="650"/>
        <v>11912.71645</v>
      </c>
      <c r="DR286" s="21">
        <f>DR287+DR288</f>
        <v>11912.71645</v>
      </c>
      <c r="DS286" s="53"/>
      <c r="DT286" s="53"/>
      <c r="DU286" s="311"/>
      <c r="DV286" s="53">
        <f t="shared" si="651"/>
        <v>323.85091999999997</v>
      </c>
      <c r="DW286" s="53">
        <f>DW287+DW288</f>
        <v>323.85091999999997</v>
      </c>
      <c r="DX286" s="171"/>
      <c r="DY286" s="312"/>
      <c r="DZ286" s="171"/>
      <c r="EA286" s="372"/>
      <c r="EB286" s="372"/>
      <c r="EC286" s="372"/>
      <c r="ED286" s="372"/>
      <c r="EE286" s="372"/>
      <c r="EF286" s="372"/>
      <c r="EG286" s="372"/>
      <c r="EH286" s="372"/>
      <c r="EI286" s="372"/>
      <c r="EJ286" s="372"/>
      <c r="EK286" s="372"/>
      <c r="EL286" s="372"/>
      <c r="EM286" s="372"/>
      <c r="EN286" s="372"/>
      <c r="EO286" s="372"/>
      <c r="EP286" s="372"/>
      <c r="EQ286" s="372"/>
      <c r="ER286" s="372"/>
      <c r="ES286" s="372"/>
      <c r="ET286" s="372"/>
      <c r="EU286" s="372"/>
      <c r="EV286" s="372"/>
      <c r="EW286" s="372"/>
      <c r="EX286" s="372"/>
      <c r="EY286" s="372"/>
      <c r="EZ286" s="372"/>
      <c r="FA286" s="372"/>
      <c r="FB286" s="372"/>
      <c r="FC286" s="372"/>
      <c r="FD286" s="372"/>
      <c r="FE286" s="372"/>
      <c r="FF286" s="372"/>
      <c r="FG286" s="372"/>
      <c r="FH286" s="372"/>
      <c r="FI286" s="372"/>
      <c r="FJ286" s="372"/>
      <c r="FK286" s="372"/>
      <c r="FL286" s="372"/>
      <c r="FM286" s="372"/>
      <c r="FN286" s="372"/>
      <c r="FO286" s="372"/>
      <c r="FP286" s="372"/>
      <c r="FQ286" s="372"/>
      <c r="FR286" s="372"/>
      <c r="FS286" s="372"/>
      <c r="FT286" s="372"/>
      <c r="FU286" s="372"/>
      <c r="FV286" s="372"/>
      <c r="FW286" s="372"/>
      <c r="FX286" s="372"/>
      <c r="FY286" s="372"/>
      <c r="FZ286" s="372"/>
      <c r="GA286" s="372"/>
      <c r="GB286" s="372"/>
      <c r="GC286" s="372"/>
      <c r="GD286" s="372"/>
      <c r="GE286" s="372"/>
      <c r="GF286" s="372"/>
      <c r="GG286" s="372"/>
      <c r="GH286" s="372"/>
      <c r="GI286" s="372"/>
      <c r="GJ286" s="372"/>
      <c r="GK286" s="372"/>
      <c r="GL286" s="372"/>
      <c r="GM286" s="372"/>
      <c r="GN286" s="372"/>
      <c r="GO286" s="372"/>
      <c r="GP286" s="372"/>
      <c r="GQ286" s="372"/>
      <c r="GR286" s="372"/>
    </row>
    <row r="287" spans="2:200" s="59" customFormat="1" ht="19.5" customHeight="1" x14ac:dyDescent="0.3">
      <c r="B287" s="24"/>
      <c r="C287" s="141"/>
      <c r="D287" s="24"/>
      <c r="E287" s="142"/>
      <c r="F287" s="24"/>
      <c r="G287" s="141"/>
      <c r="H287" s="24"/>
      <c r="I287" s="24"/>
      <c r="J287" s="24"/>
      <c r="K287" s="24"/>
      <c r="L287" s="24"/>
      <c r="M287" s="173"/>
      <c r="N287" s="174" t="s">
        <v>287</v>
      </c>
      <c r="O287" s="174"/>
      <c r="P287" s="174"/>
      <c r="Q287" s="174"/>
      <c r="R287" s="174"/>
      <c r="S287" s="174"/>
      <c r="T287" s="175"/>
      <c r="U287" s="175"/>
      <c r="V287" s="25">
        <f t="shared" ref="V287:W288" si="678">W287+X287+Y287+Z287</f>
        <v>12821.901</v>
      </c>
      <c r="W287" s="21">
        <v>12821.901</v>
      </c>
      <c r="X287" s="21"/>
      <c r="Y287" s="21"/>
      <c r="Z287" s="21"/>
      <c r="AA287" s="25">
        <f t="shared" ref="AA287:AA288" si="679">AB287+AC287+AD287+AE287</f>
        <v>12821.901</v>
      </c>
      <c r="AB287" s="21">
        <v>12821.901</v>
      </c>
      <c r="AC287" s="21"/>
      <c r="AD287" s="21"/>
      <c r="AE287" s="21"/>
      <c r="AF287" s="25">
        <f t="shared" ref="AF287:AF288" si="680">AG287+AH287+AI287+AJ287</f>
        <v>0</v>
      </c>
      <c r="AG287" s="21"/>
      <c r="AH287" s="21"/>
      <c r="AI287" s="21"/>
      <c r="AJ287" s="21"/>
      <c r="AK287" s="25">
        <f t="shared" ref="AK287:AK288" si="681">AL287+AM287+AN287+AO287</f>
        <v>0</v>
      </c>
      <c r="AL287" s="21"/>
      <c r="AM287" s="21"/>
      <c r="AN287" s="21"/>
      <c r="AO287" s="21"/>
      <c r="AP287" s="21"/>
      <c r="AQ287" s="25">
        <f t="shared" ref="AQ287:AQ288" si="682">AR287+AS287+AT287+AU287</f>
        <v>12821.901</v>
      </c>
      <c r="AR287" s="21">
        <v>12821.901</v>
      </c>
      <c r="AS287" s="54"/>
      <c r="AT287" s="54"/>
      <c r="AU287" s="54"/>
      <c r="AV287" s="25">
        <f t="shared" si="635"/>
        <v>0</v>
      </c>
      <c r="AW287" s="25">
        <f t="shared" si="636"/>
        <v>0</v>
      </c>
      <c r="AX287" s="54">
        <f t="shared" si="637"/>
        <v>0</v>
      </c>
      <c r="AY287" s="54">
        <f t="shared" si="638"/>
        <v>0</v>
      </c>
      <c r="AZ287" s="54"/>
      <c r="BA287" s="25">
        <f t="shared" ref="BA287:BA288" si="683">BB287+BC287+BD287+BE287</f>
        <v>11912.71645</v>
      </c>
      <c r="BB287" s="21">
        <f>9955.9739+719.01923+1237.72332</f>
        <v>11912.71645</v>
      </c>
      <c r="BC287" s="54"/>
      <c r="BD287" s="54"/>
      <c r="BE287" s="54"/>
      <c r="BF287" s="25">
        <f t="shared" ref="BF287:BF288" si="684">BG287+BH287+BI287+BJ287</f>
        <v>0</v>
      </c>
      <c r="BG287" s="21"/>
      <c r="BH287" s="54"/>
      <c r="BI287" s="54"/>
      <c r="BJ287" s="54"/>
      <c r="BK287" s="25">
        <f t="shared" ref="BK287:BK288" si="685">BL287+BM287+BN287+BO287</f>
        <v>11912.71645</v>
      </c>
      <c r="BL287" s="21">
        <f>9955.9739+719.01923+1237.72332</f>
        <v>11912.71645</v>
      </c>
      <c r="BM287" s="171"/>
      <c r="BN287" s="171"/>
      <c r="BO287" s="171"/>
      <c r="BP287" s="25">
        <f t="shared" ref="BP287:BP288" si="686">BQ287+BR287+BS287+BT287</f>
        <v>11912.71645</v>
      </c>
      <c r="BQ287" s="21">
        <f>9955.9739+719.01923+1237.72332</f>
        <v>11912.71645</v>
      </c>
      <c r="BR287" s="171"/>
      <c r="BS287" s="171"/>
      <c r="BT287" s="171"/>
      <c r="BU287" s="305">
        <f t="shared" ref="BU287:BU288" si="687">BV287+BW287+BX287+BY287</f>
        <v>323.85091999999997</v>
      </c>
      <c r="BV287" s="53">
        <f>17.95307+135.48332+0.96334+4.2554+82.40111+82.79468</f>
        <v>323.85091999999997</v>
      </c>
      <c r="BW287" s="171"/>
      <c r="BX287" s="171"/>
      <c r="BY287" s="171"/>
      <c r="BZ287" s="21">
        <f t="shared" si="639"/>
        <v>12236.567370000001</v>
      </c>
      <c r="CA287" s="53">
        <f>CB287</f>
        <v>12236.567370000001</v>
      </c>
      <c r="CB287" s="53">
        <f>BQ287+BV287</f>
        <v>12236.567370000001</v>
      </c>
      <c r="CC287" s="171"/>
      <c r="CD287" s="171"/>
      <c r="CE287" s="171"/>
      <c r="CF287" s="25">
        <f t="shared" si="640"/>
        <v>0</v>
      </c>
      <c r="CG287" s="25">
        <f t="shared" si="641"/>
        <v>0</v>
      </c>
      <c r="CH287" s="25">
        <f t="shared" si="642"/>
        <v>0</v>
      </c>
      <c r="CI287" s="25">
        <f t="shared" si="643"/>
        <v>0</v>
      </c>
      <c r="CJ287" s="25"/>
      <c r="CK287" s="306"/>
      <c r="CL287" s="307"/>
      <c r="CM287" s="307"/>
      <c r="CN287" s="25">
        <f t="shared" ref="CN287:CN288" si="688">CO287+CP287+CQ287+CR287</f>
        <v>0</v>
      </c>
      <c r="CO287" s="21"/>
      <c r="CP287" s="171"/>
      <c r="CQ287" s="171"/>
      <c r="CR287" s="171"/>
      <c r="CS287" s="25">
        <f t="shared" ref="CS287:CS288" si="689">CT287+CU287+CV287+CW287</f>
        <v>0</v>
      </c>
      <c r="CT287" s="21"/>
      <c r="CU287" s="171"/>
      <c r="CV287" s="171"/>
      <c r="CW287" s="171"/>
      <c r="CX287" s="307"/>
      <c r="CY287" s="307"/>
      <c r="CZ287" s="307"/>
      <c r="DA287" s="307"/>
      <c r="DB287" s="307"/>
      <c r="DC287" s="307"/>
      <c r="DD287" s="307"/>
      <c r="DE287" s="307"/>
      <c r="DF287" s="309"/>
      <c r="DG287" s="306"/>
      <c r="DH287" s="306"/>
      <c r="DI287" s="310"/>
      <c r="DJ287" s="307"/>
      <c r="DK287" s="307"/>
      <c r="DL287" s="307"/>
      <c r="DM287" s="307"/>
      <c r="DN287" s="307"/>
      <c r="DO287" s="307"/>
      <c r="DP287" s="307"/>
      <c r="DQ287" s="53">
        <f t="shared" si="650"/>
        <v>11912.71645</v>
      </c>
      <c r="DR287" s="21">
        <f>9955.9739+719.01923+1237.72332</f>
        <v>11912.71645</v>
      </c>
      <c r="DS287" s="53"/>
      <c r="DT287" s="53"/>
      <c r="DU287" s="311"/>
      <c r="DV287" s="53">
        <f t="shared" si="651"/>
        <v>323.85091999999997</v>
      </c>
      <c r="DW287" s="53">
        <v>323.85091999999997</v>
      </c>
      <c r="DX287" s="171"/>
      <c r="DY287" s="312"/>
      <c r="DZ287" s="171"/>
      <c r="EA287" s="372"/>
      <c r="EB287" s="372"/>
      <c r="EC287" s="372"/>
      <c r="ED287" s="372"/>
      <c r="EE287" s="372"/>
      <c r="EF287" s="372"/>
      <c r="EG287" s="372"/>
      <c r="EH287" s="372"/>
      <c r="EI287" s="372"/>
      <c r="EJ287" s="372"/>
      <c r="EK287" s="372"/>
      <c r="EL287" s="372"/>
      <c r="EM287" s="372"/>
      <c r="EN287" s="372"/>
      <c r="EO287" s="372"/>
      <c r="EP287" s="372"/>
      <c r="EQ287" s="372"/>
      <c r="ER287" s="372"/>
      <c r="ES287" s="372"/>
      <c r="ET287" s="372"/>
      <c r="EU287" s="372"/>
      <c r="EV287" s="372"/>
      <c r="EW287" s="372"/>
      <c r="EX287" s="372"/>
      <c r="EY287" s="372"/>
      <c r="EZ287" s="372"/>
      <c r="FA287" s="372"/>
      <c r="FB287" s="372"/>
      <c r="FC287" s="372"/>
      <c r="FD287" s="372"/>
      <c r="FE287" s="372"/>
      <c r="FF287" s="372"/>
      <c r="FG287" s="372"/>
      <c r="FH287" s="372"/>
      <c r="FI287" s="372"/>
      <c r="FJ287" s="372"/>
      <c r="FK287" s="372"/>
      <c r="FL287" s="372"/>
      <c r="FM287" s="372"/>
      <c r="FN287" s="372"/>
      <c r="FO287" s="372"/>
      <c r="FP287" s="372"/>
      <c r="FQ287" s="372"/>
      <c r="FR287" s="372"/>
      <c r="FS287" s="372"/>
      <c r="FT287" s="372"/>
      <c r="FU287" s="372"/>
      <c r="FV287" s="372"/>
      <c r="FW287" s="372"/>
      <c r="FX287" s="372"/>
      <c r="FY287" s="372"/>
      <c r="FZ287" s="372"/>
      <c r="GA287" s="372"/>
      <c r="GB287" s="372"/>
      <c r="GC287" s="372"/>
      <c r="GD287" s="372"/>
      <c r="GE287" s="372"/>
      <c r="GF287" s="372"/>
      <c r="GG287" s="372"/>
      <c r="GH287" s="372"/>
      <c r="GI287" s="372"/>
      <c r="GJ287" s="372"/>
      <c r="GK287" s="372"/>
      <c r="GL287" s="372"/>
      <c r="GM287" s="372"/>
      <c r="GN287" s="372"/>
      <c r="GO287" s="372"/>
      <c r="GP287" s="372"/>
      <c r="GQ287" s="372"/>
      <c r="GR287" s="372"/>
    </row>
    <row r="288" spans="2:200" s="59" customFormat="1" ht="19.5" customHeight="1" x14ac:dyDescent="0.3">
      <c r="B288" s="24"/>
      <c r="C288" s="141"/>
      <c r="D288" s="24"/>
      <c r="E288" s="142"/>
      <c r="F288" s="24"/>
      <c r="G288" s="141"/>
      <c r="H288" s="24"/>
      <c r="I288" s="24"/>
      <c r="J288" s="24"/>
      <c r="K288" s="24"/>
      <c r="L288" s="24"/>
      <c r="M288" s="173"/>
      <c r="N288" s="174" t="s">
        <v>286</v>
      </c>
      <c r="O288" s="174"/>
      <c r="P288" s="174"/>
      <c r="Q288" s="174"/>
      <c r="R288" s="174"/>
      <c r="S288" s="174"/>
      <c r="T288" s="175"/>
      <c r="U288" s="175"/>
      <c r="V288" s="25">
        <f t="shared" si="678"/>
        <v>0</v>
      </c>
      <c r="W288" s="314">
        <f t="shared" si="678"/>
        <v>0</v>
      </c>
      <c r="X288" s="21"/>
      <c r="Y288" s="21"/>
      <c r="Z288" s="21"/>
      <c r="AA288" s="25">
        <f t="shared" si="679"/>
        <v>0</v>
      </c>
      <c r="AB288" s="21"/>
      <c r="AC288" s="21"/>
      <c r="AD288" s="21"/>
      <c r="AE288" s="21"/>
      <c r="AF288" s="25">
        <f t="shared" si="680"/>
        <v>0</v>
      </c>
      <c r="AG288" s="21"/>
      <c r="AH288" s="21"/>
      <c r="AI288" s="21"/>
      <c r="AJ288" s="21"/>
      <c r="AK288" s="25">
        <f t="shared" si="681"/>
        <v>0</v>
      </c>
      <c r="AL288" s="21"/>
      <c r="AM288" s="21"/>
      <c r="AN288" s="21"/>
      <c r="AO288" s="21"/>
      <c r="AP288" s="21"/>
      <c r="AQ288" s="25">
        <f t="shared" si="682"/>
        <v>0</v>
      </c>
      <c r="AR288" s="21">
        <v>0</v>
      </c>
      <c r="AS288" s="54"/>
      <c r="AT288" s="54"/>
      <c r="AU288" s="54"/>
      <c r="AV288" s="25">
        <f t="shared" si="635"/>
        <v>0</v>
      </c>
      <c r="AW288" s="25">
        <f t="shared" si="636"/>
        <v>0</v>
      </c>
      <c r="AX288" s="54">
        <f t="shared" si="637"/>
        <v>0</v>
      </c>
      <c r="AY288" s="54">
        <f t="shared" si="638"/>
        <v>0</v>
      </c>
      <c r="AZ288" s="54"/>
      <c r="BA288" s="25">
        <f t="shared" si="683"/>
        <v>0</v>
      </c>
      <c r="BB288" s="21"/>
      <c r="BC288" s="54"/>
      <c r="BD288" s="54"/>
      <c r="BE288" s="54"/>
      <c r="BF288" s="25">
        <f t="shared" si="684"/>
        <v>0</v>
      </c>
      <c r="BG288" s="21"/>
      <c r="BH288" s="54"/>
      <c r="BI288" s="54"/>
      <c r="BJ288" s="54"/>
      <c r="BK288" s="25">
        <f t="shared" si="685"/>
        <v>0</v>
      </c>
      <c r="BL288" s="21">
        <v>0</v>
      </c>
      <c r="BM288" s="171"/>
      <c r="BN288" s="171"/>
      <c r="BO288" s="171"/>
      <c r="BP288" s="25">
        <f t="shared" si="686"/>
        <v>0</v>
      </c>
      <c r="BQ288" s="21">
        <v>0</v>
      </c>
      <c r="BR288" s="171"/>
      <c r="BS288" s="171"/>
      <c r="BT288" s="171"/>
      <c r="BU288" s="305">
        <f t="shared" si="687"/>
        <v>0</v>
      </c>
      <c r="BV288" s="53">
        <v>0</v>
      </c>
      <c r="BW288" s="171"/>
      <c r="BX288" s="171"/>
      <c r="BY288" s="171"/>
      <c r="BZ288" s="21">
        <f t="shared" si="639"/>
        <v>0</v>
      </c>
      <c r="CA288" s="53">
        <f>CB288</f>
        <v>0</v>
      </c>
      <c r="CB288" s="53">
        <f>BQ288+BV288</f>
        <v>0</v>
      </c>
      <c r="CC288" s="171"/>
      <c r="CD288" s="171"/>
      <c r="CE288" s="171"/>
      <c r="CF288" s="25">
        <f t="shared" si="640"/>
        <v>0</v>
      </c>
      <c r="CG288" s="25">
        <f t="shared" si="641"/>
        <v>0</v>
      </c>
      <c r="CH288" s="25">
        <f t="shared" si="642"/>
        <v>0</v>
      </c>
      <c r="CI288" s="25">
        <f t="shared" si="643"/>
        <v>0</v>
      </c>
      <c r="CJ288" s="25"/>
      <c r="CK288" s="306"/>
      <c r="CL288" s="307"/>
      <c r="CM288" s="307"/>
      <c r="CN288" s="25">
        <f t="shared" si="688"/>
        <v>0</v>
      </c>
      <c r="CO288" s="21"/>
      <c r="CP288" s="171"/>
      <c r="CQ288" s="171"/>
      <c r="CR288" s="171"/>
      <c r="CS288" s="25">
        <f t="shared" si="689"/>
        <v>0</v>
      </c>
      <c r="CT288" s="21"/>
      <c r="CU288" s="171"/>
      <c r="CV288" s="171"/>
      <c r="CW288" s="171"/>
      <c r="CX288" s="307"/>
      <c r="CY288" s="307"/>
      <c r="CZ288" s="307"/>
      <c r="DA288" s="307"/>
      <c r="DB288" s="307"/>
      <c r="DC288" s="307"/>
      <c r="DD288" s="307"/>
      <c r="DE288" s="307"/>
      <c r="DF288" s="309"/>
      <c r="DG288" s="306"/>
      <c r="DH288" s="306"/>
      <c r="DI288" s="310"/>
      <c r="DJ288" s="307"/>
      <c r="DK288" s="307"/>
      <c r="DL288" s="307"/>
      <c r="DM288" s="307"/>
      <c r="DN288" s="307"/>
      <c r="DO288" s="307"/>
      <c r="DP288" s="307"/>
      <c r="DQ288" s="53">
        <f t="shared" si="650"/>
        <v>0</v>
      </c>
      <c r="DR288" s="21"/>
      <c r="DS288" s="53"/>
      <c r="DT288" s="53"/>
      <c r="DU288" s="311"/>
      <c r="DV288" s="53">
        <f t="shared" si="651"/>
        <v>0</v>
      </c>
      <c r="DW288" s="53"/>
      <c r="DX288" s="171"/>
      <c r="DY288" s="312"/>
      <c r="DZ288" s="171"/>
      <c r="EA288" s="372"/>
      <c r="EB288" s="372"/>
      <c r="EC288" s="372"/>
      <c r="ED288" s="372"/>
      <c r="EE288" s="372"/>
      <c r="EF288" s="372"/>
      <c r="EG288" s="372"/>
      <c r="EH288" s="372"/>
      <c r="EI288" s="372"/>
      <c r="EJ288" s="372"/>
      <c r="EK288" s="372"/>
      <c r="EL288" s="372"/>
      <c r="EM288" s="372"/>
      <c r="EN288" s="372"/>
      <c r="EO288" s="372"/>
      <c r="EP288" s="372"/>
      <c r="EQ288" s="372"/>
      <c r="ER288" s="372"/>
      <c r="ES288" s="372"/>
      <c r="ET288" s="372"/>
      <c r="EU288" s="372"/>
      <c r="EV288" s="372"/>
      <c r="EW288" s="372"/>
      <c r="EX288" s="372"/>
      <c r="EY288" s="372"/>
      <c r="EZ288" s="372"/>
      <c r="FA288" s="372"/>
      <c r="FB288" s="372"/>
      <c r="FC288" s="372"/>
      <c r="FD288" s="372"/>
      <c r="FE288" s="372"/>
      <c r="FF288" s="372"/>
      <c r="FG288" s="372"/>
      <c r="FH288" s="372"/>
      <c r="FI288" s="372"/>
      <c r="FJ288" s="372"/>
      <c r="FK288" s="372"/>
      <c r="FL288" s="372"/>
      <c r="FM288" s="372"/>
      <c r="FN288" s="372"/>
      <c r="FO288" s="372"/>
      <c r="FP288" s="372"/>
      <c r="FQ288" s="372"/>
      <c r="FR288" s="372"/>
      <c r="FS288" s="372"/>
      <c r="FT288" s="372"/>
      <c r="FU288" s="372"/>
      <c r="FV288" s="372"/>
      <c r="FW288" s="372"/>
      <c r="FX288" s="372"/>
      <c r="FY288" s="372"/>
      <c r="FZ288" s="372"/>
      <c r="GA288" s="372"/>
      <c r="GB288" s="372"/>
      <c r="GC288" s="372"/>
      <c r="GD288" s="372"/>
      <c r="GE288" s="372"/>
      <c r="GF288" s="372"/>
      <c r="GG288" s="372"/>
      <c r="GH288" s="372"/>
      <c r="GI288" s="372"/>
      <c r="GJ288" s="372"/>
      <c r="GK288" s="372"/>
      <c r="GL288" s="372"/>
      <c r="GM288" s="372"/>
      <c r="GN288" s="372"/>
      <c r="GO288" s="372"/>
      <c r="GP288" s="372"/>
      <c r="GQ288" s="372"/>
      <c r="GR288" s="372"/>
    </row>
    <row r="289" spans="2:200" s="59" customFormat="1" ht="51.6" customHeight="1" x14ac:dyDescent="0.3">
      <c r="B289" s="24"/>
      <c r="C289" s="141"/>
      <c r="D289" s="24"/>
      <c r="E289" s="142"/>
      <c r="F289" s="24"/>
      <c r="G289" s="141"/>
      <c r="H289" s="24"/>
      <c r="I289" s="24"/>
      <c r="J289" s="24"/>
      <c r="K289" s="24"/>
      <c r="L289" s="24"/>
      <c r="M289" s="303">
        <v>8</v>
      </c>
      <c r="N289" s="349" t="s">
        <v>412</v>
      </c>
      <c r="O289" s="184"/>
      <c r="P289" s="184"/>
      <c r="Q289" s="184"/>
      <c r="R289" s="184"/>
      <c r="S289" s="184"/>
      <c r="T289" s="29"/>
      <c r="U289" s="29">
        <v>1</v>
      </c>
      <c r="V289" s="21">
        <f>V290+V291</f>
        <v>29855.4</v>
      </c>
      <c r="W289" s="21">
        <f>W290+W291</f>
        <v>29855.4</v>
      </c>
      <c r="X289" s="21"/>
      <c r="Y289" s="21"/>
      <c r="Z289" s="21"/>
      <c r="AA289" s="21">
        <f>AA290+AA291</f>
        <v>29855.4</v>
      </c>
      <c r="AB289" s="21">
        <f>AB290+AB291</f>
        <v>29855.4</v>
      </c>
      <c r="AC289" s="21"/>
      <c r="AD289" s="21"/>
      <c r="AE289" s="21"/>
      <c r="AF289" s="21">
        <f>AF290+AF291</f>
        <v>0</v>
      </c>
      <c r="AG289" s="21">
        <f>AG290+AG291</f>
        <v>0</v>
      </c>
      <c r="AH289" s="21"/>
      <c r="AI289" s="21"/>
      <c r="AJ289" s="21"/>
      <c r="AK289" s="25">
        <f>AK290+AK291</f>
        <v>0</v>
      </c>
      <c r="AL289" s="21">
        <f>AL290+AL291</f>
        <v>0</v>
      </c>
      <c r="AM289" s="21"/>
      <c r="AN289" s="21"/>
      <c r="AO289" s="21"/>
      <c r="AP289" s="21" t="s">
        <v>425</v>
      </c>
      <c r="AQ289" s="21">
        <f>AQ290+AQ291</f>
        <v>29855.4</v>
      </c>
      <c r="AR289" s="21">
        <f>AR290+AR291</f>
        <v>29855.4</v>
      </c>
      <c r="AS289" s="54"/>
      <c r="AT289" s="54"/>
      <c r="AU289" s="54"/>
      <c r="AV289" s="21">
        <f t="shared" si="635"/>
        <v>0</v>
      </c>
      <c r="AW289" s="21">
        <f t="shared" si="636"/>
        <v>0</v>
      </c>
      <c r="AX289" s="53">
        <f t="shared" si="637"/>
        <v>0</v>
      </c>
      <c r="AY289" s="53">
        <f t="shared" si="638"/>
        <v>0</v>
      </c>
      <c r="AZ289" s="54"/>
      <c r="BA289" s="21">
        <f>BA290+BA291</f>
        <v>24778.6</v>
      </c>
      <c r="BB289" s="21"/>
      <c r="BC289" s="54"/>
      <c r="BD289" s="54"/>
      <c r="BE289" s="54"/>
      <c r="BF289" s="21">
        <f>BF290+BF291</f>
        <v>0</v>
      </c>
      <c r="BG289" s="21">
        <f>BG290+BG291</f>
        <v>0</v>
      </c>
      <c r="BH289" s="54"/>
      <c r="BI289" s="54"/>
      <c r="BJ289" s="54"/>
      <c r="BK289" s="21">
        <f>BK290+BK291</f>
        <v>24778.6</v>
      </c>
      <c r="BL289" s="21">
        <f>BL290+BL291</f>
        <v>24778.6</v>
      </c>
      <c r="BM289" s="171"/>
      <c r="BN289" s="171"/>
      <c r="BO289" s="171"/>
      <c r="BP289" s="21">
        <f>BP290+BP291</f>
        <v>24778.6</v>
      </c>
      <c r="BQ289" s="21">
        <f>BQ290+BQ291</f>
        <v>24778.6</v>
      </c>
      <c r="BR289" s="171"/>
      <c r="BS289" s="171"/>
      <c r="BT289" s="171"/>
      <c r="BU289" s="305">
        <f>BU290+BU291</f>
        <v>1780.5059200000001</v>
      </c>
      <c r="BV289" s="53">
        <f>BV290+BV291</f>
        <v>1780.5059200000001</v>
      </c>
      <c r="BW289" s="171"/>
      <c r="BX289" s="171"/>
      <c r="BY289" s="171"/>
      <c r="BZ289" s="21">
        <f t="shared" si="639"/>
        <v>26559.105919999998</v>
      </c>
      <c r="CA289" s="53">
        <f>CA290+CA291</f>
        <v>26559.105919999998</v>
      </c>
      <c r="CB289" s="53">
        <f t="shared" ref="CB289" si="690">BQ289+BV289</f>
        <v>26559.105919999998</v>
      </c>
      <c r="CC289" s="171"/>
      <c r="CD289" s="171"/>
      <c r="CE289" s="171"/>
      <c r="CF289" s="25">
        <f t="shared" si="640"/>
        <v>0</v>
      </c>
      <c r="CG289" s="25">
        <f t="shared" si="641"/>
        <v>0</v>
      </c>
      <c r="CH289" s="25">
        <f t="shared" si="642"/>
        <v>0</v>
      </c>
      <c r="CI289" s="25">
        <f t="shared" si="643"/>
        <v>0</v>
      </c>
      <c r="CJ289" s="25"/>
      <c r="CK289" s="306"/>
      <c r="CL289" s="307"/>
      <c r="CM289" s="307"/>
      <c r="CN289" s="22">
        <f>CN290+CN291</f>
        <v>0</v>
      </c>
      <c r="CO289" s="22">
        <f>CO290+CO291</f>
        <v>0</v>
      </c>
      <c r="CP289" s="171"/>
      <c r="CQ289" s="171"/>
      <c r="CR289" s="171"/>
      <c r="CS289" s="22">
        <f>CS290+CS291</f>
        <v>0</v>
      </c>
      <c r="CT289" s="22">
        <f>CT290+CT291</f>
        <v>0</v>
      </c>
      <c r="CU289" s="171"/>
      <c r="CV289" s="171"/>
      <c r="CW289" s="171"/>
      <c r="CX289" s="307"/>
      <c r="CY289" s="307"/>
      <c r="CZ289" s="307"/>
      <c r="DA289" s="307"/>
      <c r="DB289" s="307"/>
      <c r="DC289" s="307"/>
      <c r="DD289" s="307"/>
      <c r="DE289" s="307"/>
      <c r="DF289" s="309"/>
      <c r="DG289" s="306"/>
      <c r="DH289" s="306"/>
      <c r="DI289" s="310"/>
      <c r="DJ289" s="307"/>
      <c r="DK289" s="307"/>
      <c r="DL289" s="307"/>
      <c r="DM289" s="307"/>
      <c r="DN289" s="307"/>
      <c r="DO289" s="307"/>
      <c r="DP289" s="307"/>
      <c r="DQ289" s="53">
        <f t="shared" si="650"/>
        <v>24778.6</v>
      </c>
      <c r="DR289" s="21">
        <f>DR290+DR291</f>
        <v>24778.6</v>
      </c>
      <c r="DS289" s="53"/>
      <c r="DT289" s="53"/>
      <c r="DU289" s="311"/>
      <c r="DV289" s="53">
        <f t="shared" si="651"/>
        <v>1780.5059200000001</v>
      </c>
      <c r="DW289" s="53">
        <f>DW290+DW291</f>
        <v>1780.5059200000001</v>
      </c>
      <c r="DX289" s="171"/>
      <c r="DY289" s="312"/>
      <c r="DZ289" s="171"/>
      <c r="EA289" s="372"/>
      <c r="EB289" s="372"/>
      <c r="EC289" s="372"/>
      <c r="ED289" s="372"/>
      <c r="EE289" s="372"/>
      <c r="EF289" s="372"/>
      <c r="EG289" s="372"/>
      <c r="EH289" s="372"/>
      <c r="EI289" s="372"/>
      <c r="EJ289" s="372"/>
      <c r="EK289" s="372"/>
      <c r="EL289" s="372"/>
      <c r="EM289" s="372"/>
      <c r="EN289" s="372"/>
      <c r="EO289" s="372"/>
      <c r="EP289" s="372"/>
      <c r="EQ289" s="372"/>
      <c r="ER289" s="372"/>
      <c r="ES289" s="372"/>
      <c r="ET289" s="372"/>
      <c r="EU289" s="372"/>
      <c r="EV289" s="372"/>
      <c r="EW289" s="372"/>
      <c r="EX289" s="372"/>
      <c r="EY289" s="372"/>
      <c r="EZ289" s="372"/>
      <c r="FA289" s="372"/>
      <c r="FB289" s="372"/>
      <c r="FC289" s="372"/>
      <c r="FD289" s="372"/>
      <c r="FE289" s="372"/>
      <c r="FF289" s="372"/>
      <c r="FG289" s="372"/>
      <c r="FH289" s="372"/>
      <c r="FI289" s="372"/>
      <c r="FJ289" s="372"/>
      <c r="FK289" s="372"/>
      <c r="FL289" s="372"/>
      <c r="FM289" s="372"/>
      <c r="FN289" s="372"/>
      <c r="FO289" s="372"/>
      <c r="FP289" s="372"/>
      <c r="FQ289" s="372"/>
      <c r="FR289" s="372"/>
      <c r="FS289" s="372"/>
      <c r="FT289" s="372"/>
      <c r="FU289" s="372"/>
      <c r="FV289" s="372"/>
      <c r="FW289" s="372"/>
      <c r="FX289" s="372"/>
      <c r="FY289" s="372"/>
      <c r="FZ289" s="372"/>
      <c r="GA289" s="372"/>
      <c r="GB289" s="372"/>
      <c r="GC289" s="372"/>
      <c r="GD289" s="372"/>
      <c r="GE289" s="372"/>
      <c r="GF289" s="372"/>
      <c r="GG289" s="372"/>
      <c r="GH289" s="372"/>
      <c r="GI289" s="372"/>
      <c r="GJ289" s="372"/>
      <c r="GK289" s="372"/>
      <c r="GL289" s="372"/>
      <c r="GM289" s="372"/>
      <c r="GN289" s="372"/>
      <c r="GO289" s="372"/>
      <c r="GP289" s="372"/>
      <c r="GQ289" s="372"/>
      <c r="GR289" s="372"/>
    </row>
    <row r="290" spans="2:200" s="59" customFormat="1" ht="19.5" customHeight="1" x14ac:dyDescent="0.3">
      <c r="B290" s="24"/>
      <c r="C290" s="141"/>
      <c r="D290" s="24"/>
      <c r="E290" s="142"/>
      <c r="F290" s="24"/>
      <c r="G290" s="141"/>
      <c r="H290" s="24"/>
      <c r="I290" s="24"/>
      <c r="J290" s="24"/>
      <c r="K290" s="24"/>
      <c r="L290" s="24"/>
      <c r="M290" s="173"/>
      <c r="N290" s="174" t="s">
        <v>287</v>
      </c>
      <c r="O290" s="174"/>
      <c r="P290" s="174"/>
      <c r="Q290" s="189"/>
      <c r="R290" s="189"/>
      <c r="S290" s="189"/>
      <c r="T290" s="175"/>
      <c r="U290" s="175"/>
      <c r="V290" s="25">
        <f t="shared" ref="V290:V294" si="691">W290+X290+Y290+Z290</f>
        <v>29855.4</v>
      </c>
      <c r="W290" s="21">
        <v>29855.4</v>
      </c>
      <c r="X290" s="21"/>
      <c r="Y290" s="21"/>
      <c r="Z290" s="21"/>
      <c r="AA290" s="25">
        <f t="shared" ref="AA290:AA291" si="692">AB290+AC290+AD290+AE290</f>
        <v>29855.4</v>
      </c>
      <c r="AB290" s="21">
        <v>29855.4</v>
      </c>
      <c r="AC290" s="21"/>
      <c r="AD290" s="21"/>
      <c r="AE290" s="21"/>
      <c r="AF290" s="25">
        <f t="shared" ref="AF290:AF291" si="693">AG290+AH290+AI290+AJ290</f>
        <v>0</v>
      </c>
      <c r="AG290" s="21"/>
      <c r="AH290" s="21"/>
      <c r="AI290" s="21"/>
      <c r="AJ290" s="21"/>
      <c r="AK290" s="25">
        <f t="shared" ref="AK290:AK291" si="694">AL290+AM290+AN290+AO290</f>
        <v>0</v>
      </c>
      <c r="AL290" s="21"/>
      <c r="AM290" s="21"/>
      <c r="AN290" s="21"/>
      <c r="AO290" s="21"/>
      <c r="AP290" s="21"/>
      <c r="AQ290" s="25">
        <f t="shared" ref="AQ290:AQ291" si="695">AR290+AS290+AT290+AU290</f>
        <v>29855.4</v>
      </c>
      <c r="AR290" s="21">
        <v>29855.4</v>
      </c>
      <c r="AS290" s="54"/>
      <c r="AT290" s="54"/>
      <c r="AU290" s="54"/>
      <c r="AV290" s="25">
        <f t="shared" si="635"/>
        <v>0</v>
      </c>
      <c r="AW290" s="25">
        <f t="shared" si="636"/>
        <v>0</v>
      </c>
      <c r="AX290" s="54">
        <f t="shared" si="637"/>
        <v>0</v>
      </c>
      <c r="AY290" s="54">
        <f t="shared" si="638"/>
        <v>0</v>
      </c>
      <c r="AZ290" s="54"/>
      <c r="BA290" s="25">
        <f t="shared" ref="BA290:BA291" si="696">BB290+BC290+BD290+BE290</f>
        <v>24778.6</v>
      </c>
      <c r="BB290" s="21">
        <f>11220.3+585+616.311+12356.989</f>
        <v>24778.6</v>
      </c>
      <c r="BC290" s="54"/>
      <c r="BD290" s="54"/>
      <c r="BE290" s="54"/>
      <c r="BF290" s="25">
        <f t="shared" ref="BF290:BF291" si="697">BG290+BH290+BI290+BJ290</f>
        <v>0</v>
      </c>
      <c r="BG290" s="21"/>
      <c r="BH290" s="54"/>
      <c r="BI290" s="54"/>
      <c r="BJ290" s="54"/>
      <c r="BK290" s="25">
        <f t="shared" ref="BK290:BK291" si="698">BL290+BM290+BN290+BO290</f>
        <v>24778.6</v>
      </c>
      <c r="BL290" s="21">
        <f>11220.3+585+616.311+12356.989</f>
        <v>24778.6</v>
      </c>
      <c r="BM290" s="171"/>
      <c r="BN290" s="171"/>
      <c r="BO290" s="171"/>
      <c r="BP290" s="25">
        <f t="shared" ref="BP290:BP293" si="699">BQ290+BR290+BS290+BT290</f>
        <v>24778.6</v>
      </c>
      <c r="BQ290" s="21">
        <f>11220.3+585+616.311+12356.989</f>
        <v>24778.6</v>
      </c>
      <c r="BR290" s="171"/>
      <c r="BS290" s="171"/>
      <c r="BT290" s="171"/>
      <c r="BU290" s="305">
        <f t="shared" ref="BU290:BU293" si="700">BV290+BW290+BX290+BY290</f>
        <v>1780.5059200000001</v>
      </c>
      <c r="BV290" s="53">
        <f>590.59185+45+140.18164+31.12876+32.4376+232.8494+57.87866+175.38122+475.05679</f>
        <v>1780.5059200000001</v>
      </c>
      <c r="BW290" s="171"/>
      <c r="BX290" s="171"/>
      <c r="BY290" s="171"/>
      <c r="BZ290" s="21">
        <f t="shared" si="639"/>
        <v>26559.105919999998</v>
      </c>
      <c r="CA290" s="53">
        <f>CB290</f>
        <v>26559.105919999998</v>
      </c>
      <c r="CB290" s="53">
        <f>BQ290+BV290</f>
        <v>26559.105919999998</v>
      </c>
      <c r="CC290" s="171"/>
      <c r="CD290" s="171"/>
      <c r="CE290" s="171"/>
      <c r="CF290" s="25">
        <f t="shared" si="640"/>
        <v>0</v>
      </c>
      <c r="CG290" s="25">
        <f t="shared" si="641"/>
        <v>0</v>
      </c>
      <c r="CH290" s="25">
        <f t="shared" si="642"/>
        <v>0</v>
      </c>
      <c r="CI290" s="25">
        <f t="shared" si="643"/>
        <v>0</v>
      </c>
      <c r="CJ290" s="25"/>
      <c r="CK290" s="306"/>
      <c r="CL290" s="307"/>
      <c r="CM290" s="307"/>
      <c r="CN290" s="25">
        <f t="shared" ref="CN290:CN294" si="701">CO290+CP290+CQ290+CR290</f>
        <v>0</v>
      </c>
      <c r="CO290" s="21"/>
      <c r="CP290" s="171"/>
      <c r="CQ290" s="171"/>
      <c r="CR290" s="171"/>
      <c r="CS290" s="25">
        <f t="shared" ref="CS290:CS294" si="702">CT290+CU290+CV290+CW290</f>
        <v>0</v>
      </c>
      <c r="CT290" s="21"/>
      <c r="CU290" s="171"/>
      <c r="CV290" s="171"/>
      <c r="CW290" s="171"/>
      <c r="CX290" s="307"/>
      <c r="CY290" s="307"/>
      <c r="CZ290" s="307"/>
      <c r="DA290" s="307"/>
      <c r="DB290" s="307"/>
      <c r="DC290" s="307"/>
      <c r="DD290" s="307"/>
      <c r="DE290" s="307"/>
      <c r="DF290" s="309"/>
      <c r="DG290" s="306"/>
      <c r="DH290" s="306"/>
      <c r="DI290" s="310"/>
      <c r="DJ290" s="307"/>
      <c r="DK290" s="307"/>
      <c r="DL290" s="307"/>
      <c r="DM290" s="307"/>
      <c r="DN290" s="307"/>
      <c r="DO290" s="307"/>
      <c r="DP290" s="307"/>
      <c r="DQ290" s="53">
        <f t="shared" si="650"/>
        <v>24778.6</v>
      </c>
      <c r="DR290" s="21">
        <f>11220.3+585+616.311+12356.989</f>
        <v>24778.6</v>
      </c>
      <c r="DS290" s="53"/>
      <c r="DT290" s="53"/>
      <c r="DU290" s="311"/>
      <c r="DV290" s="53">
        <f t="shared" si="651"/>
        <v>1780.5059200000001</v>
      </c>
      <c r="DW290" s="53">
        <v>1780.5059200000001</v>
      </c>
      <c r="DX290" s="171"/>
      <c r="DY290" s="312"/>
      <c r="DZ290" s="171"/>
      <c r="EA290" s="372"/>
      <c r="EB290" s="372"/>
      <c r="EC290" s="372"/>
      <c r="ED290" s="372"/>
      <c r="EE290" s="372"/>
      <c r="EF290" s="372"/>
      <c r="EG290" s="372"/>
      <c r="EH290" s="372"/>
      <c r="EI290" s="372"/>
      <c r="EJ290" s="372"/>
      <c r="EK290" s="372"/>
      <c r="EL290" s="372"/>
      <c r="EM290" s="372"/>
      <c r="EN290" s="372"/>
      <c r="EO290" s="372"/>
      <c r="EP290" s="372"/>
      <c r="EQ290" s="372"/>
      <c r="ER290" s="372"/>
      <c r="ES290" s="372"/>
      <c r="ET290" s="372"/>
      <c r="EU290" s="372"/>
      <c r="EV290" s="372"/>
      <c r="EW290" s="372"/>
      <c r="EX290" s="372"/>
      <c r="EY290" s="372"/>
      <c r="EZ290" s="372"/>
      <c r="FA290" s="372"/>
      <c r="FB290" s="372"/>
      <c r="FC290" s="372"/>
      <c r="FD290" s="372"/>
      <c r="FE290" s="372"/>
      <c r="FF290" s="372"/>
      <c r="FG290" s="372"/>
      <c r="FH290" s="372"/>
      <c r="FI290" s="372"/>
      <c r="FJ290" s="372"/>
      <c r="FK290" s="372"/>
      <c r="FL290" s="372"/>
      <c r="FM290" s="372"/>
      <c r="FN290" s="372"/>
      <c r="FO290" s="372"/>
      <c r="FP290" s="372"/>
      <c r="FQ290" s="372"/>
      <c r="FR290" s="372"/>
      <c r="FS290" s="372"/>
      <c r="FT290" s="372"/>
      <c r="FU290" s="372"/>
      <c r="FV290" s="372"/>
      <c r="FW290" s="372"/>
      <c r="FX290" s="372"/>
      <c r="FY290" s="372"/>
      <c r="FZ290" s="372"/>
      <c r="GA290" s="372"/>
      <c r="GB290" s="372"/>
      <c r="GC290" s="372"/>
      <c r="GD290" s="372"/>
      <c r="GE290" s="372"/>
      <c r="GF290" s="372"/>
      <c r="GG290" s="372"/>
      <c r="GH290" s="372"/>
      <c r="GI290" s="372"/>
      <c r="GJ290" s="372"/>
      <c r="GK290" s="372"/>
      <c r="GL290" s="372"/>
      <c r="GM290" s="372"/>
      <c r="GN290" s="372"/>
      <c r="GO290" s="372"/>
      <c r="GP290" s="372"/>
      <c r="GQ290" s="372"/>
      <c r="GR290" s="372"/>
    </row>
    <row r="291" spans="2:200" s="59" customFormat="1" ht="19.5" customHeight="1" x14ac:dyDescent="0.3">
      <c r="B291" s="24"/>
      <c r="C291" s="141"/>
      <c r="D291" s="24"/>
      <c r="E291" s="142"/>
      <c r="F291" s="24"/>
      <c r="G291" s="141"/>
      <c r="H291" s="24"/>
      <c r="I291" s="24"/>
      <c r="J291" s="24"/>
      <c r="K291" s="24"/>
      <c r="L291" s="24"/>
      <c r="M291" s="173"/>
      <c r="N291" s="174" t="s">
        <v>286</v>
      </c>
      <c r="O291" s="174"/>
      <c r="P291" s="174"/>
      <c r="Q291" s="174"/>
      <c r="R291" s="174"/>
      <c r="S291" s="174"/>
      <c r="T291" s="175"/>
      <c r="U291" s="175"/>
      <c r="V291" s="25">
        <f t="shared" si="691"/>
        <v>0</v>
      </c>
      <c r="W291" s="21">
        <v>0</v>
      </c>
      <c r="X291" s="21"/>
      <c r="Y291" s="21"/>
      <c r="Z291" s="21"/>
      <c r="AA291" s="25">
        <f t="shared" si="692"/>
        <v>0</v>
      </c>
      <c r="AB291" s="21"/>
      <c r="AC291" s="21"/>
      <c r="AD291" s="21"/>
      <c r="AE291" s="21"/>
      <c r="AF291" s="25">
        <f t="shared" si="693"/>
        <v>0</v>
      </c>
      <c r="AG291" s="21"/>
      <c r="AH291" s="21"/>
      <c r="AI291" s="21"/>
      <c r="AJ291" s="21"/>
      <c r="AK291" s="25">
        <f t="shared" si="694"/>
        <v>0</v>
      </c>
      <c r="AL291" s="21"/>
      <c r="AM291" s="21"/>
      <c r="AN291" s="21"/>
      <c r="AO291" s="21"/>
      <c r="AP291" s="21"/>
      <c r="AQ291" s="25">
        <f t="shared" si="695"/>
        <v>0</v>
      </c>
      <c r="AR291" s="21">
        <v>0</v>
      </c>
      <c r="AS291" s="54"/>
      <c r="AT291" s="54"/>
      <c r="AU291" s="54"/>
      <c r="AV291" s="25">
        <f t="shared" si="635"/>
        <v>0</v>
      </c>
      <c r="AW291" s="25">
        <f t="shared" si="636"/>
        <v>0</v>
      </c>
      <c r="AX291" s="54">
        <f t="shared" si="637"/>
        <v>0</v>
      </c>
      <c r="AY291" s="54">
        <f t="shared" si="638"/>
        <v>0</v>
      </c>
      <c r="AZ291" s="54"/>
      <c r="BA291" s="25">
        <f t="shared" si="696"/>
        <v>0</v>
      </c>
      <c r="BB291" s="21"/>
      <c r="BC291" s="54"/>
      <c r="BD291" s="54"/>
      <c r="BE291" s="54"/>
      <c r="BF291" s="25">
        <f t="shared" si="697"/>
        <v>0</v>
      </c>
      <c r="BG291" s="21"/>
      <c r="BH291" s="54"/>
      <c r="BI291" s="54"/>
      <c r="BJ291" s="54"/>
      <c r="BK291" s="25">
        <f t="shared" si="698"/>
        <v>0</v>
      </c>
      <c r="BL291" s="21">
        <v>0</v>
      </c>
      <c r="BM291" s="171"/>
      <c r="BN291" s="171"/>
      <c r="BO291" s="171"/>
      <c r="BP291" s="25">
        <f t="shared" si="699"/>
        <v>0</v>
      </c>
      <c r="BQ291" s="21">
        <v>0</v>
      </c>
      <c r="BR291" s="171"/>
      <c r="BS291" s="171"/>
      <c r="BT291" s="171"/>
      <c r="BU291" s="305">
        <f t="shared" si="700"/>
        <v>0</v>
      </c>
      <c r="BV291" s="53">
        <v>0</v>
      </c>
      <c r="BW291" s="171"/>
      <c r="BX291" s="171"/>
      <c r="BY291" s="171"/>
      <c r="BZ291" s="21">
        <f t="shared" si="639"/>
        <v>0</v>
      </c>
      <c r="CA291" s="53">
        <f>CB291</f>
        <v>0</v>
      </c>
      <c r="CB291" s="53">
        <f>BQ291+BV291</f>
        <v>0</v>
      </c>
      <c r="CC291" s="171"/>
      <c r="CD291" s="171"/>
      <c r="CE291" s="171"/>
      <c r="CF291" s="25">
        <f t="shared" si="640"/>
        <v>0</v>
      </c>
      <c r="CG291" s="25">
        <f t="shared" si="641"/>
        <v>0</v>
      </c>
      <c r="CH291" s="25">
        <f t="shared" si="642"/>
        <v>0</v>
      </c>
      <c r="CI291" s="25">
        <f t="shared" si="643"/>
        <v>0</v>
      </c>
      <c r="CJ291" s="25"/>
      <c r="CK291" s="306"/>
      <c r="CL291" s="307"/>
      <c r="CM291" s="307"/>
      <c r="CN291" s="25">
        <f t="shared" si="701"/>
        <v>0</v>
      </c>
      <c r="CO291" s="21"/>
      <c r="CP291" s="171"/>
      <c r="CQ291" s="171"/>
      <c r="CR291" s="171"/>
      <c r="CS291" s="25">
        <f t="shared" si="702"/>
        <v>0</v>
      </c>
      <c r="CT291" s="21"/>
      <c r="CU291" s="171"/>
      <c r="CV291" s="171"/>
      <c r="CW291" s="171"/>
      <c r="CX291" s="307"/>
      <c r="CY291" s="307"/>
      <c r="CZ291" s="307"/>
      <c r="DA291" s="307"/>
      <c r="DB291" s="307"/>
      <c r="DC291" s="307"/>
      <c r="DD291" s="307"/>
      <c r="DE291" s="307"/>
      <c r="DF291" s="309"/>
      <c r="DG291" s="306"/>
      <c r="DH291" s="306"/>
      <c r="DI291" s="310"/>
      <c r="DJ291" s="307"/>
      <c r="DK291" s="307"/>
      <c r="DL291" s="307"/>
      <c r="DM291" s="307"/>
      <c r="DN291" s="307"/>
      <c r="DO291" s="307"/>
      <c r="DP291" s="307"/>
      <c r="DQ291" s="53">
        <f t="shared" si="650"/>
        <v>0</v>
      </c>
      <c r="DR291" s="21"/>
      <c r="DS291" s="53"/>
      <c r="DT291" s="53"/>
      <c r="DU291" s="311"/>
      <c r="DV291" s="53">
        <f t="shared" si="651"/>
        <v>0</v>
      </c>
      <c r="DW291" s="53"/>
      <c r="DX291" s="171"/>
      <c r="DY291" s="312"/>
      <c r="DZ291" s="171"/>
      <c r="EA291" s="372"/>
      <c r="EB291" s="372"/>
      <c r="EC291" s="372"/>
      <c r="ED291" s="372"/>
      <c r="EE291" s="372"/>
      <c r="EF291" s="372"/>
      <c r="EG291" s="372"/>
      <c r="EH291" s="372"/>
      <c r="EI291" s="372"/>
      <c r="EJ291" s="372"/>
      <c r="EK291" s="372"/>
      <c r="EL291" s="372"/>
      <c r="EM291" s="372"/>
      <c r="EN291" s="372"/>
      <c r="EO291" s="372"/>
      <c r="EP291" s="372"/>
      <c r="EQ291" s="372"/>
      <c r="ER291" s="372"/>
      <c r="ES291" s="372"/>
      <c r="ET291" s="372"/>
      <c r="EU291" s="372"/>
      <c r="EV291" s="372"/>
      <c r="EW291" s="372"/>
      <c r="EX291" s="372"/>
      <c r="EY291" s="372"/>
      <c r="EZ291" s="372"/>
      <c r="FA291" s="372"/>
      <c r="FB291" s="372"/>
      <c r="FC291" s="372"/>
      <c r="FD291" s="372"/>
      <c r="FE291" s="372"/>
      <c r="FF291" s="372"/>
      <c r="FG291" s="372"/>
      <c r="FH291" s="372"/>
      <c r="FI291" s="372"/>
      <c r="FJ291" s="372"/>
      <c r="FK291" s="372"/>
      <c r="FL291" s="372"/>
      <c r="FM291" s="372"/>
      <c r="FN291" s="372"/>
      <c r="FO291" s="372"/>
      <c r="FP291" s="372"/>
      <c r="FQ291" s="372"/>
      <c r="FR291" s="372"/>
      <c r="FS291" s="372"/>
      <c r="FT291" s="372"/>
      <c r="FU291" s="372"/>
      <c r="FV291" s="372"/>
      <c r="FW291" s="372"/>
      <c r="FX291" s="372"/>
      <c r="FY291" s="372"/>
      <c r="FZ291" s="372"/>
      <c r="GA291" s="372"/>
      <c r="GB291" s="372"/>
      <c r="GC291" s="372"/>
      <c r="GD291" s="372"/>
      <c r="GE291" s="372"/>
      <c r="GF291" s="372"/>
      <c r="GG291" s="372"/>
      <c r="GH291" s="372"/>
      <c r="GI291" s="372"/>
      <c r="GJ291" s="372"/>
      <c r="GK291" s="372"/>
      <c r="GL291" s="372"/>
      <c r="GM291" s="372"/>
      <c r="GN291" s="372"/>
      <c r="GO291" s="372"/>
      <c r="GP291" s="372"/>
      <c r="GQ291" s="372"/>
      <c r="GR291" s="372"/>
    </row>
    <row r="292" spans="2:200" s="340" customFormat="1" ht="47.25" customHeight="1" x14ac:dyDescent="0.3">
      <c r="B292" s="341"/>
      <c r="C292" s="342"/>
      <c r="D292" s="341"/>
      <c r="E292" s="343"/>
      <c r="F292" s="341"/>
      <c r="G292" s="342"/>
      <c r="H292" s="341"/>
      <c r="I292" s="341"/>
      <c r="J292" s="341"/>
      <c r="K292" s="341"/>
      <c r="L292" s="341"/>
      <c r="M292" s="439" t="s">
        <v>559</v>
      </c>
      <c r="N292" s="440"/>
      <c r="O292" s="368"/>
      <c r="P292" s="368"/>
      <c r="Q292" s="368"/>
      <c r="R292" s="368"/>
      <c r="S292" s="368"/>
      <c r="T292" s="368"/>
      <c r="U292" s="368"/>
      <c r="V292" s="369">
        <f t="shared" si="691"/>
        <v>1073076.5789999999</v>
      </c>
      <c r="W292" s="369">
        <f>W264+W265</f>
        <v>594427.951</v>
      </c>
      <c r="X292" s="369">
        <f>X264+X265</f>
        <v>223922.57699999999</v>
      </c>
      <c r="Y292" s="369">
        <f>Y264+Y265</f>
        <v>254726.05100000004</v>
      </c>
      <c r="Z292" s="369">
        <f>Z264+Z265</f>
        <v>0</v>
      </c>
      <c r="AA292" s="369">
        <f t="shared" ref="AA292:AA294" si="703">AB292+AC292+AD292+AE292</f>
        <v>1063871.942</v>
      </c>
      <c r="AB292" s="369">
        <f>AB264+AB265</f>
        <v>579145.89100000006</v>
      </c>
      <c r="AC292" s="369">
        <f>AC264+AC265</f>
        <v>230000.00000000003</v>
      </c>
      <c r="AD292" s="369">
        <f>AD264+AD265</f>
        <v>254726.05099999998</v>
      </c>
      <c r="AE292" s="369">
        <f>AE264+AE265</f>
        <v>0</v>
      </c>
      <c r="AF292" s="369">
        <f t="shared" ref="AF292:AF294" si="704">AG292+AH292+AI292+AJ292</f>
        <v>1071836.1440000001</v>
      </c>
      <c r="AG292" s="369">
        <f>AG264+AG265</f>
        <v>587110.09299999999</v>
      </c>
      <c r="AH292" s="369">
        <f>AH264+AH265</f>
        <v>230000.00000000003</v>
      </c>
      <c r="AI292" s="369">
        <f>AI264+AI265</f>
        <v>254726.05100000001</v>
      </c>
      <c r="AJ292" s="369">
        <f>AJ264+AJ265</f>
        <v>0</v>
      </c>
      <c r="AK292" s="370">
        <f t="shared" ref="AK292:AK294" si="705">AL292+AM292+AN292+AO292</f>
        <v>683000</v>
      </c>
      <c r="AL292" s="369">
        <f>AL264+AL265</f>
        <v>421431.3</v>
      </c>
      <c r="AM292" s="369">
        <f>AM264+AM265</f>
        <v>100000</v>
      </c>
      <c r="AN292" s="369">
        <f>AN264+AN265</f>
        <v>161568.70000000001</v>
      </c>
      <c r="AO292" s="369">
        <f>AO264+AO265</f>
        <v>0</v>
      </c>
      <c r="AP292" s="369"/>
      <c r="AQ292" s="369">
        <f t="shared" si="656"/>
        <v>1073076.5789999999</v>
      </c>
      <c r="AR292" s="369">
        <f>AR264+AR265</f>
        <v>594427.951</v>
      </c>
      <c r="AS292" s="369">
        <f>AS264+AS265</f>
        <v>223922.57699999999</v>
      </c>
      <c r="AT292" s="369">
        <f>AT264+AT265</f>
        <v>254726.05100000004</v>
      </c>
      <c r="AU292" s="369">
        <f>AU264+AU265</f>
        <v>0</v>
      </c>
      <c r="AV292" s="369">
        <f t="shared" si="635"/>
        <v>0</v>
      </c>
      <c r="AW292" s="369">
        <f t="shared" si="636"/>
        <v>0</v>
      </c>
      <c r="AX292" s="369">
        <f t="shared" si="637"/>
        <v>0</v>
      </c>
      <c r="AY292" s="369">
        <f t="shared" si="638"/>
        <v>0</v>
      </c>
      <c r="AZ292" s="369" t="e">
        <f>AZ264+AZ265</f>
        <v>#REF!</v>
      </c>
      <c r="BA292" s="369">
        <f t="shared" ref="BA292:BA294" si="706">BB292+BC292+BD292+BE292</f>
        <v>793737.85177999991</v>
      </c>
      <c r="BB292" s="369">
        <f>BB264+BB265</f>
        <v>315089.22378</v>
      </c>
      <c r="BC292" s="369">
        <f>BC264+BC265</f>
        <v>223922.57699999999</v>
      </c>
      <c r="BD292" s="369">
        <f>BD264+BD265</f>
        <v>254726.05100000004</v>
      </c>
      <c r="BE292" s="369">
        <f>BE264+BE265</f>
        <v>0</v>
      </c>
      <c r="BF292" s="369">
        <f t="shared" ref="BF292:BF294" si="707">BG292+BH292+BI292+BJ292</f>
        <v>0</v>
      </c>
      <c r="BG292" s="369">
        <f>BG264+BG265</f>
        <v>0</v>
      </c>
      <c r="BH292" s="369">
        <f>BH264+BH265</f>
        <v>0</v>
      </c>
      <c r="BI292" s="369">
        <f>BI264+BI265</f>
        <v>0</v>
      </c>
      <c r="BJ292" s="369">
        <f>BJ264+BJ265</f>
        <v>0</v>
      </c>
      <c r="BK292" s="369">
        <f t="shared" ref="BK292:BK293" si="708">BL292+BM292+BN292+BO292</f>
        <v>793737.85177999991</v>
      </c>
      <c r="BL292" s="369">
        <f>BL264+BL265</f>
        <v>315089.22378</v>
      </c>
      <c r="BM292" s="369">
        <f>BM264+BM265</f>
        <v>223922.57699999999</v>
      </c>
      <c r="BN292" s="369">
        <f>BN264+BN265</f>
        <v>254726.05100000004</v>
      </c>
      <c r="BO292" s="369">
        <f>BO264+BO265</f>
        <v>0</v>
      </c>
      <c r="BP292" s="369">
        <f t="shared" si="699"/>
        <v>766045.3470999999</v>
      </c>
      <c r="BQ292" s="369">
        <f>BQ264+BQ265</f>
        <v>315089.22378</v>
      </c>
      <c r="BR292" s="369">
        <f>BR264+BR265</f>
        <v>212572.74614999996</v>
      </c>
      <c r="BS292" s="369">
        <f>BS264+BS265</f>
        <v>238383.37716999999</v>
      </c>
      <c r="BT292" s="369">
        <f>BT264+BT265</f>
        <v>0</v>
      </c>
      <c r="BU292" s="369">
        <f t="shared" si="700"/>
        <v>268969.92481</v>
      </c>
      <c r="BV292" s="369">
        <f>BV264+BV265</f>
        <v>56689.70018</v>
      </c>
      <c r="BW292" s="369">
        <f>BW264+BW265</f>
        <v>128148.25510000001</v>
      </c>
      <c r="BX292" s="369">
        <f>BX264+BX265</f>
        <v>84131.969530000017</v>
      </c>
      <c r="BY292" s="369">
        <f>BY264+BY265</f>
        <v>0</v>
      </c>
      <c r="BZ292" s="369">
        <f t="shared" si="639"/>
        <v>1035015.27191</v>
      </c>
      <c r="CA292" s="369">
        <f t="shared" ref="CA292:CA293" si="709">CB292+CC292+CD292+CE292</f>
        <v>1035015.27191</v>
      </c>
      <c r="CB292" s="369">
        <f t="shared" si="649"/>
        <v>371778.92395999999</v>
      </c>
      <c r="CC292" s="369">
        <f>CC264+CC265</f>
        <v>340721.00124999997</v>
      </c>
      <c r="CD292" s="369">
        <f>CD264+CD265</f>
        <v>322515.34669999999</v>
      </c>
      <c r="CE292" s="369">
        <f>CE264+CE265</f>
        <v>0</v>
      </c>
      <c r="CF292" s="369">
        <f t="shared" si="640"/>
        <v>27692.504680000071</v>
      </c>
      <c r="CG292" s="369">
        <f t="shared" si="641"/>
        <v>0</v>
      </c>
      <c r="CH292" s="369">
        <f t="shared" si="642"/>
        <v>11349.830850000028</v>
      </c>
      <c r="CI292" s="369">
        <f t="shared" si="643"/>
        <v>16342.673830000043</v>
      </c>
      <c r="CJ292" s="344">
        <f>CJ264+CJ265</f>
        <v>0</v>
      </c>
      <c r="CK292" s="364"/>
      <c r="CL292" s="365"/>
      <c r="CM292" s="365"/>
      <c r="CN292" s="344">
        <f t="shared" si="701"/>
        <v>0</v>
      </c>
      <c r="CO292" s="344">
        <f>CO264+CO265</f>
        <v>0</v>
      </c>
      <c r="CP292" s="344">
        <f>CP264+CP265</f>
        <v>0</v>
      </c>
      <c r="CQ292" s="344">
        <f>CQ264+CQ265</f>
        <v>0</v>
      </c>
      <c r="CR292" s="344">
        <f>CR264+CR265</f>
        <v>0</v>
      </c>
      <c r="CS292" s="344">
        <f t="shared" si="702"/>
        <v>0</v>
      </c>
      <c r="CT292" s="344">
        <f>CT264+CT265</f>
        <v>0</v>
      </c>
      <c r="CU292" s="344">
        <f>CU264+CU265</f>
        <v>0</v>
      </c>
      <c r="CV292" s="344">
        <f>CV264+CV265</f>
        <v>0</v>
      </c>
      <c r="CW292" s="344">
        <f>CW264+CW265</f>
        <v>0</v>
      </c>
      <c r="CX292" s="344">
        <f>CY292+CZ292+DA292+DB292</f>
        <v>0</v>
      </c>
      <c r="CY292" s="344">
        <f>CY264+CY265</f>
        <v>0</v>
      </c>
      <c r="CZ292" s="344">
        <f>CZ264+CZ265</f>
        <v>0</v>
      </c>
      <c r="DA292" s="344">
        <f>DA264+DA265</f>
        <v>0</v>
      </c>
      <c r="DB292" s="344">
        <f>DB264+DB265</f>
        <v>0</v>
      </c>
      <c r="DC292" s="365"/>
      <c r="DD292" s="365"/>
      <c r="DE292" s="365"/>
      <c r="DF292" s="366"/>
      <c r="DG292" s="364"/>
      <c r="DH292" s="364"/>
      <c r="DI292" s="367"/>
      <c r="DJ292" s="365"/>
      <c r="DK292" s="365"/>
      <c r="DL292" s="365"/>
      <c r="DM292" s="365"/>
      <c r="DN292" s="365"/>
      <c r="DO292" s="365"/>
      <c r="DP292" s="365"/>
      <c r="DQ292" s="344">
        <f t="shared" ref="DQ292:DQ294" si="710">DR292+DS292+DT292+DU292</f>
        <v>715432.46661</v>
      </c>
      <c r="DR292" s="344">
        <f>DR264+DR265</f>
        <v>302114.80281999998</v>
      </c>
      <c r="DS292" s="344">
        <f>DS264+DS265</f>
        <v>212572.74614999996</v>
      </c>
      <c r="DT292" s="344">
        <f>DT264+DT265</f>
        <v>200744.91764</v>
      </c>
      <c r="DU292" s="344">
        <f>DU264+DU265</f>
        <v>0</v>
      </c>
      <c r="DV292" s="344">
        <f t="shared" ref="DV292" si="711">DW292+DX292+DY292+DZ292</f>
        <v>203291.01976999996</v>
      </c>
      <c r="DW292" s="344">
        <f>DW264+DW265</f>
        <v>61037.786759999995</v>
      </c>
      <c r="DX292" s="344">
        <f>DX264+DX265</f>
        <v>72908.370759999976</v>
      </c>
      <c r="DY292" s="345">
        <f>DY264+DY265</f>
        <v>69344.862249999991</v>
      </c>
      <c r="DZ292" s="344">
        <f>DZ264+DZ265</f>
        <v>0</v>
      </c>
      <c r="EA292" s="379"/>
      <c r="EB292" s="379"/>
      <c r="EC292" s="379"/>
      <c r="ED292" s="379"/>
      <c r="EE292" s="379"/>
      <c r="EF292" s="379"/>
      <c r="EG292" s="379"/>
      <c r="EH292" s="379"/>
      <c r="EI292" s="379"/>
      <c r="EJ292" s="379"/>
      <c r="EK292" s="379"/>
      <c r="EL292" s="379"/>
      <c r="EM292" s="379"/>
      <c r="EN292" s="379"/>
      <c r="EO292" s="379"/>
      <c r="EP292" s="379"/>
      <c r="EQ292" s="379"/>
      <c r="ER292" s="379"/>
      <c r="ES292" s="379"/>
      <c r="ET292" s="379"/>
      <c r="EU292" s="379"/>
      <c r="EV292" s="379"/>
      <c r="EW292" s="379"/>
      <c r="EX292" s="379"/>
      <c r="EY292" s="379"/>
      <c r="EZ292" s="379"/>
      <c r="FA292" s="379"/>
      <c r="FB292" s="379"/>
      <c r="FC292" s="379"/>
      <c r="FD292" s="379"/>
      <c r="FE292" s="379"/>
      <c r="FF292" s="379"/>
      <c r="FG292" s="379"/>
      <c r="FH292" s="379"/>
      <c r="FI292" s="379"/>
      <c r="FJ292" s="379"/>
      <c r="FK292" s="379"/>
      <c r="FL292" s="379"/>
      <c r="FM292" s="379"/>
      <c r="FN292" s="379"/>
      <c r="FO292" s="379"/>
      <c r="FP292" s="379"/>
      <c r="FQ292" s="379"/>
      <c r="FR292" s="379"/>
      <c r="FS292" s="379"/>
      <c r="FT292" s="379"/>
      <c r="FU292" s="379"/>
      <c r="FV292" s="379"/>
      <c r="FW292" s="379"/>
      <c r="FX292" s="379"/>
      <c r="FY292" s="379"/>
      <c r="FZ292" s="379"/>
      <c r="GA292" s="379"/>
      <c r="GB292" s="379"/>
      <c r="GC292" s="379"/>
      <c r="GD292" s="379"/>
      <c r="GE292" s="379"/>
      <c r="GF292" s="379"/>
      <c r="GG292" s="379"/>
      <c r="GH292" s="379"/>
      <c r="GI292" s="379"/>
      <c r="GJ292" s="379"/>
      <c r="GK292" s="379"/>
      <c r="GL292" s="379"/>
      <c r="GM292" s="379"/>
      <c r="GN292" s="379"/>
      <c r="GO292" s="379"/>
      <c r="GP292" s="379"/>
      <c r="GQ292" s="379"/>
      <c r="GR292" s="379"/>
    </row>
    <row r="293" spans="2:200" s="59" customFormat="1" ht="19.5" customHeight="1" x14ac:dyDescent="0.25">
      <c r="B293" s="190"/>
      <c r="C293" s="191"/>
      <c r="D293" s="190"/>
      <c r="E293" s="192"/>
      <c r="F293" s="190"/>
      <c r="G293" s="191"/>
      <c r="H293" s="190"/>
      <c r="I293" s="190"/>
      <c r="J293" s="190"/>
      <c r="K293" s="190"/>
      <c r="L293" s="143"/>
      <c r="M293" s="422" t="s">
        <v>286</v>
      </c>
      <c r="N293" s="429"/>
      <c r="O293" s="197"/>
      <c r="P293" s="197"/>
      <c r="Q293" s="197"/>
      <c r="R293" s="197"/>
      <c r="S293" s="197"/>
      <c r="T293" s="197"/>
      <c r="U293" s="197"/>
      <c r="V293" s="21">
        <f t="shared" si="691"/>
        <v>49023.359999999993</v>
      </c>
      <c r="W293" s="21">
        <f>W263+W267</f>
        <v>49023.359999999993</v>
      </c>
      <c r="X293" s="21"/>
      <c r="Y293" s="21"/>
      <c r="Z293" s="21"/>
      <c r="AA293" s="21">
        <f t="shared" si="703"/>
        <v>33741.300000000003</v>
      </c>
      <c r="AB293" s="21">
        <f>AB263+AB267</f>
        <v>33741.300000000003</v>
      </c>
      <c r="AC293" s="21"/>
      <c r="AD293" s="21"/>
      <c r="AE293" s="21"/>
      <c r="AF293" s="21">
        <f t="shared" si="704"/>
        <v>97565.494999999995</v>
      </c>
      <c r="AG293" s="21">
        <f>AG263+AG267</f>
        <v>97565.494999999995</v>
      </c>
      <c r="AH293" s="21"/>
      <c r="AI293" s="21"/>
      <c r="AJ293" s="21"/>
      <c r="AK293" s="21">
        <f t="shared" si="705"/>
        <v>0</v>
      </c>
      <c r="AL293" s="21">
        <f>AL263+AL267</f>
        <v>0</v>
      </c>
      <c r="AM293" s="21"/>
      <c r="AN293" s="21"/>
      <c r="AO293" s="21"/>
      <c r="AP293" s="22"/>
      <c r="AQ293" s="21">
        <f t="shared" si="656"/>
        <v>49023.359999999993</v>
      </c>
      <c r="AR293" s="21">
        <f>AR263+AR267</f>
        <v>49023.359999999993</v>
      </c>
      <c r="AS293" s="21"/>
      <c r="AT293" s="21"/>
      <c r="AU293" s="21"/>
      <c r="AV293" s="21">
        <f t="shared" si="635"/>
        <v>0</v>
      </c>
      <c r="AW293" s="21">
        <f t="shared" si="636"/>
        <v>0</v>
      </c>
      <c r="AX293" s="21">
        <f t="shared" si="637"/>
        <v>0</v>
      </c>
      <c r="AY293" s="21">
        <f t="shared" si="638"/>
        <v>0</v>
      </c>
      <c r="AZ293" s="21"/>
      <c r="BA293" s="21">
        <f t="shared" si="706"/>
        <v>22388.043260000002</v>
      </c>
      <c r="BB293" s="21">
        <f>BB263+BB267</f>
        <v>22388.043260000002</v>
      </c>
      <c r="BC293" s="21"/>
      <c r="BD293" s="21"/>
      <c r="BE293" s="21"/>
      <c r="BF293" s="21">
        <f t="shared" si="707"/>
        <v>0</v>
      </c>
      <c r="BG293" s="21">
        <f>BG263+BG267</f>
        <v>0</v>
      </c>
      <c r="BH293" s="21"/>
      <c r="BI293" s="21"/>
      <c r="BJ293" s="21"/>
      <c r="BK293" s="21">
        <f t="shared" si="708"/>
        <v>22388.043260000002</v>
      </c>
      <c r="BL293" s="21">
        <f>BL263+BL267</f>
        <v>22388.043260000002</v>
      </c>
      <c r="BM293" s="21">
        <f>BM263+BM267</f>
        <v>0</v>
      </c>
      <c r="BN293" s="21">
        <f>BN263+BN267</f>
        <v>0</v>
      </c>
      <c r="BO293" s="21">
        <f>BO263+BO267</f>
        <v>0</v>
      </c>
      <c r="BP293" s="21">
        <f t="shared" si="699"/>
        <v>22388.043260000002</v>
      </c>
      <c r="BQ293" s="21">
        <f>BQ263+BQ267</f>
        <v>22388.043260000002</v>
      </c>
      <c r="BR293" s="21">
        <f>BR263+BR267</f>
        <v>0</v>
      </c>
      <c r="BS293" s="21">
        <f>BS263+BS267</f>
        <v>0</v>
      </c>
      <c r="BT293" s="21">
        <f>BT263+BT267</f>
        <v>0</v>
      </c>
      <c r="BU293" s="21">
        <f t="shared" si="700"/>
        <v>0</v>
      </c>
      <c r="BV293" s="21">
        <f>BV263+BV267</f>
        <v>0</v>
      </c>
      <c r="BW293" s="21">
        <f>BW263+BW267</f>
        <v>0</v>
      </c>
      <c r="BX293" s="21">
        <f>BX263+BX267</f>
        <v>0</v>
      </c>
      <c r="BY293" s="21">
        <f>BY263+BY267</f>
        <v>0</v>
      </c>
      <c r="BZ293" s="21">
        <f t="shared" si="639"/>
        <v>22388.043260000002</v>
      </c>
      <c r="CA293" s="21">
        <f t="shared" si="709"/>
        <v>22388.043260000002</v>
      </c>
      <c r="CB293" s="21">
        <f t="shared" si="649"/>
        <v>22388.043260000002</v>
      </c>
      <c r="CC293" s="21">
        <f>CC263+CC267</f>
        <v>0</v>
      </c>
      <c r="CD293" s="21">
        <f>CD263+CD267</f>
        <v>0</v>
      </c>
      <c r="CE293" s="21">
        <f>CE263+CE267</f>
        <v>0</v>
      </c>
      <c r="CF293" s="21">
        <f t="shared" si="640"/>
        <v>0</v>
      </c>
      <c r="CG293" s="21">
        <f t="shared" si="641"/>
        <v>0</v>
      </c>
      <c r="CH293" s="21">
        <f t="shared" si="642"/>
        <v>0</v>
      </c>
      <c r="CI293" s="21">
        <f t="shared" si="643"/>
        <v>0</v>
      </c>
      <c r="CJ293" s="17">
        <f>CJ263+CJ267</f>
        <v>0</v>
      </c>
      <c r="CK293" s="306"/>
      <c r="CL293" s="307"/>
      <c r="CM293" s="307"/>
      <c r="CN293" s="17">
        <f t="shared" si="701"/>
        <v>0</v>
      </c>
      <c r="CO293" s="20">
        <f>CO263+CO267</f>
        <v>0</v>
      </c>
      <c r="CP293" s="20"/>
      <c r="CQ293" s="20"/>
      <c r="CR293" s="20"/>
      <c r="CS293" s="17">
        <f t="shared" si="702"/>
        <v>0</v>
      </c>
      <c r="CT293" s="20">
        <f>CT263+CT267</f>
        <v>0</v>
      </c>
      <c r="CU293" s="20"/>
      <c r="CV293" s="20"/>
      <c r="CW293" s="20"/>
      <c r="CX293" s="17">
        <f>CY293+CZ293+DA293+DB293</f>
        <v>0</v>
      </c>
      <c r="CY293" s="20">
        <f>CY263+CY267</f>
        <v>0</v>
      </c>
      <c r="CZ293" s="20">
        <f>CZ292</f>
        <v>0</v>
      </c>
      <c r="DA293" s="20">
        <f>DA292</f>
        <v>0</v>
      </c>
      <c r="DB293" s="20">
        <f>DB292</f>
        <v>0</v>
      </c>
      <c r="DC293" s="307"/>
      <c r="DD293" s="307"/>
      <c r="DE293" s="307"/>
      <c r="DF293" s="309"/>
      <c r="DG293" s="306"/>
      <c r="DH293" s="306"/>
      <c r="DI293" s="310"/>
      <c r="DJ293" s="307"/>
      <c r="DK293" s="307"/>
      <c r="DL293" s="307"/>
      <c r="DM293" s="307"/>
      <c r="DN293" s="307"/>
      <c r="DO293" s="307"/>
      <c r="DP293" s="307"/>
      <c r="DQ293" s="17">
        <f t="shared" si="710"/>
        <v>22388.043260000002</v>
      </c>
      <c r="DR293" s="20">
        <f>DR263+DR267</f>
        <v>22388.043260000002</v>
      </c>
      <c r="DS293" s="20"/>
      <c r="DT293" s="20"/>
      <c r="DU293" s="20"/>
      <c r="DV293" s="17">
        <f>DW293+DX293+DY293+DZ293</f>
        <v>142253.23300999997</v>
      </c>
      <c r="DW293" s="20">
        <f>DW263+DW267</f>
        <v>0</v>
      </c>
      <c r="DX293" s="20">
        <f>DX292</f>
        <v>72908.370759999976</v>
      </c>
      <c r="DY293" s="196">
        <f>DY292</f>
        <v>69344.862249999991</v>
      </c>
      <c r="DZ293" s="386">
        <f>DZ292</f>
        <v>0</v>
      </c>
      <c r="EA293" s="372"/>
      <c r="EB293" s="372"/>
      <c r="EC293" s="372"/>
      <c r="ED293" s="372"/>
      <c r="EE293" s="372"/>
      <c r="EF293" s="372"/>
      <c r="EG293" s="372"/>
      <c r="EH293" s="372"/>
      <c r="EI293" s="372"/>
      <c r="EJ293" s="372"/>
      <c r="EK293" s="372"/>
      <c r="EL293" s="372"/>
      <c r="EM293" s="372"/>
      <c r="EN293" s="372"/>
      <c r="EO293" s="372"/>
      <c r="EP293" s="372"/>
      <c r="EQ293" s="372"/>
      <c r="ER293" s="372"/>
      <c r="ES293" s="372"/>
      <c r="ET293" s="372"/>
      <c r="EU293" s="372"/>
      <c r="EV293" s="372"/>
      <c r="EW293" s="372"/>
      <c r="EX293" s="372"/>
      <c r="EY293" s="372"/>
      <c r="EZ293" s="372"/>
      <c r="FA293" s="372"/>
      <c r="FB293" s="372"/>
      <c r="FC293" s="372"/>
      <c r="FD293" s="372"/>
      <c r="FE293" s="372"/>
      <c r="FF293" s="372"/>
      <c r="FG293" s="372"/>
      <c r="FH293" s="372"/>
      <c r="FI293" s="372"/>
      <c r="FJ293" s="372"/>
      <c r="FK293" s="372"/>
      <c r="FL293" s="372"/>
      <c r="FM293" s="372"/>
      <c r="FN293" s="372"/>
      <c r="FO293" s="372"/>
      <c r="FP293" s="372"/>
      <c r="FQ293" s="372"/>
      <c r="FR293" s="372"/>
      <c r="FS293" s="372"/>
      <c r="FT293" s="372"/>
      <c r="FU293" s="372"/>
      <c r="FV293" s="372"/>
      <c r="FW293" s="372"/>
      <c r="FX293" s="372"/>
      <c r="FY293" s="372"/>
      <c r="FZ293" s="372"/>
      <c r="GA293" s="372"/>
      <c r="GB293" s="372"/>
      <c r="GC293" s="372"/>
      <c r="GD293" s="372"/>
      <c r="GE293" s="372"/>
      <c r="GF293" s="372"/>
      <c r="GG293" s="372"/>
      <c r="GH293" s="372"/>
      <c r="GI293" s="372"/>
      <c r="GJ293" s="372"/>
      <c r="GK293" s="372"/>
      <c r="GL293" s="372"/>
      <c r="GM293" s="372"/>
      <c r="GN293" s="372"/>
      <c r="GO293" s="372"/>
      <c r="GP293" s="372"/>
      <c r="GQ293" s="372"/>
      <c r="GR293" s="372"/>
    </row>
    <row r="294" spans="2:200" s="57" customFormat="1" ht="19.5" customHeight="1" x14ac:dyDescent="0.25">
      <c r="B294" s="143"/>
      <c r="C294" s="143"/>
      <c r="D294" s="143"/>
      <c r="E294" s="199"/>
      <c r="F294" s="143"/>
      <c r="G294" s="143"/>
      <c r="H294" s="143"/>
      <c r="I294" s="143"/>
      <c r="J294" s="143"/>
      <c r="K294" s="143"/>
      <c r="L294" s="143"/>
      <c r="M294" s="422" t="s">
        <v>287</v>
      </c>
      <c r="N294" s="429"/>
      <c r="O294" s="197"/>
      <c r="P294" s="197"/>
      <c r="Q294" s="197"/>
      <c r="R294" s="197"/>
      <c r="S294" s="197"/>
      <c r="T294" s="197"/>
      <c r="U294" s="197"/>
      <c r="V294" s="21">
        <f t="shared" si="691"/>
        <v>1024053.219</v>
      </c>
      <c r="W294" s="21">
        <f>W260+W266</f>
        <v>545404.59100000001</v>
      </c>
      <c r="X294" s="21">
        <f>X260+X266</f>
        <v>223922.57699999999</v>
      </c>
      <c r="Y294" s="21">
        <f>Y260+Y266</f>
        <v>254726.05100000004</v>
      </c>
      <c r="Z294" s="21">
        <f>Z260+Z266</f>
        <v>0</v>
      </c>
      <c r="AA294" s="21">
        <f t="shared" si="703"/>
        <v>1030130.642</v>
      </c>
      <c r="AB294" s="21">
        <f>AB260+AB266</f>
        <v>545404.59100000001</v>
      </c>
      <c r="AC294" s="21">
        <f>AC260+AC266</f>
        <v>230000.00000000003</v>
      </c>
      <c r="AD294" s="21">
        <f>AD260+AD266</f>
        <v>254726.05099999998</v>
      </c>
      <c r="AE294" s="21">
        <f>AE260+AE266</f>
        <v>0</v>
      </c>
      <c r="AF294" s="21">
        <f t="shared" si="704"/>
        <v>974270.64899999998</v>
      </c>
      <c r="AG294" s="21">
        <f>AG260+AG266</f>
        <v>489544.598</v>
      </c>
      <c r="AH294" s="21">
        <f>AH260+AH266</f>
        <v>230000.00000000003</v>
      </c>
      <c r="AI294" s="21">
        <f>AI260+AI266</f>
        <v>254726.05100000001</v>
      </c>
      <c r="AJ294" s="21">
        <f>AJ260+AJ266</f>
        <v>0</v>
      </c>
      <c r="AK294" s="21">
        <f t="shared" si="705"/>
        <v>683000</v>
      </c>
      <c r="AL294" s="21">
        <f>AL260+AL266</f>
        <v>421431.3</v>
      </c>
      <c r="AM294" s="21">
        <f>AM260+AM266</f>
        <v>100000</v>
      </c>
      <c r="AN294" s="21">
        <f>AN260+AN266</f>
        <v>161568.70000000001</v>
      </c>
      <c r="AO294" s="21">
        <f>AO260+AO266</f>
        <v>0</v>
      </c>
      <c r="AP294" s="22"/>
      <c r="AQ294" s="21">
        <f t="shared" si="656"/>
        <v>1024053.219</v>
      </c>
      <c r="AR294" s="21">
        <f>AR264+AR266</f>
        <v>545404.59100000001</v>
      </c>
      <c r="AS294" s="21">
        <f t="shared" ref="AS294:AT294" si="712">AS264+AS266</f>
        <v>223922.57699999999</v>
      </c>
      <c r="AT294" s="21">
        <f t="shared" si="712"/>
        <v>254726.05100000004</v>
      </c>
      <c r="AU294" s="21">
        <f>AU292</f>
        <v>0</v>
      </c>
      <c r="AV294" s="21">
        <f t="shared" si="635"/>
        <v>0</v>
      </c>
      <c r="AW294" s="21">
        <f t="shared" si="636"/>
        <v>0</v>
      </c>
      <c r="AX294" s="21">
        <f t="shared" si="637"/>
        <v>0</v>
      </c>
      <c r="AY294" s="21">
        <f t="shared" si="638"/>
        <v>0</v>
      </c>
      <c r="AZ294" s="21" t="e">
        <f>AZ260+AZ266</f>
        <v>#REF!</v>
      </c>
      <c r="BA294" s="21">
        <f t="shared" si="706"/>
        <v>771349.80851999996</v>
      </c>
      <c r="BB294" s="21">
        <f>BB260+BB266</f>
        <v>292701.18051999999</v>
      </c>
      <c r="BC294" s="21">
        <f>BC292</f>
        <v>223922.57699999999</v>
      </c>
      <c r="BD294" s="21">
        <f>BD292</f>
        <v>254726.05100000004</v>
      </c>
      <c r="BE294" s="21">
        <f>BE292</f>
        <v>0</v>
      </c>
      <c r="BF294" s="21">
        <f t="shared" si="707"/>
        <v>0</v>
      </c>
      <c r="BG294" s="21">
        <f>BG260+BG266</f>
        <v>0</v>
      </c>
      <c r="BH294" s="21">
        <f>BH292</f>
        <v>0</v>
      </c>
      <c r="BI294" s="21">
        <f>BI292</f>
        <v>0</v>
      </c>
      <c r="BJ294" s="21">
        <f>BJ292</f>
        <v>0</v>
      </c>
      <c r="BK294" s="21">
        <f t="shared" ref="BK294:BN294" si="713">BK264+BK266</f>
        <v>771349.80852000008</v>
      </c>
      <c r="BL294" s="21">
        <f t="shared" si="713"/>
        <v>292701.18051999999</v>
      </c>
      <c r="BM294" s="21">
        <f t="shared" si="713"/>
        <v>223922.57699999999</v>
      </c>
      <c r="BN294" s="21">
        <f t="shared" si="713"/>
        <v>254726.05100000004</v>
      </c>
      <c r="BO294" s="21">
        <f>BO292</f>
        <v>0</v>
      </c>
      <c r="BP294" s="21">
        <f t="shared" ref="BP294:BS294" si="714">BP264+BP266</f>
        <v>743657.30383999995</v>
      </c>
      <c r="BQ294" s="21">
        <f t="shared" si="714"/>
        <v>292701.18051999999</v>
      </c>
      <c r="BR294" s="21">
        <f t="shared" si="714"/>
        <v>212572.74614999996</v>
      </c>
      <c r="BS294" s="21">
        <f t="shared" si="714"/>
        <v>238383.37716999999</v>
      </c>
      <c r="BT294" s="21">
        <f>BT292</f>
        <v>0</v>
      </c>
      <c r="BU294" s="21">
        <f t="shared" ref="BU294:CI294" si="715">BU264+BU266</f>
        <v>268969.92481000006</v>
      </c>
      <c r="BV294" s="21">
        <f t="shared" si="715"/>
        <v>56689.70018</v>
      </c>
      <c r="BW294" s="21">
        <f t="shared" si="715"/>
        <v>128148.25510000001</v>
      </c>
      <c r="BX294" s="21">
        <f t="shared" si="715"/>
        <v>84131.969530000017</v>
      </c>
      <c r="BY294" s="21">
        <f t="shared" si="715"/>
        <v>0</v>
      </c>
      <c r="BZ294" s="21">
        <f t="shared" si="715"/>
        <v>964564.20898999996</v>
      </c>
      <c r="CA294" s="21">
        <f t="shared" si="715"/>
        <v>964564.20898999996</v>
      </c>
      <c r="CB294" s="21">
        <f t="shared" si="715"/>
        <v>349390.88069999998</v>
      </c>
      <c r="CC294" s="21">
        <f t="shared" si="715"/>
        <v>340721.00124999997</v>
      </c>
      <c r="CD294" s="21">
        <f t="shared" si="715"/>
        <v>322515.34669999999</v>
      </c>
      <c r="CE294" s="21">
        <f t="shared" si="715"/>
        <v>0</v>
      </c>
      <c r="CF294" s="21">
        <f t="shared" si="715"/>
        <v>27692.504680000071</v>
      </c>
      <c r="CG294" s="21">
        <f t="shared" si="715"/>
        <v>0</v>
      </c>
      <c r="CH294" s="21">
        <f t="shared" si="715"/>
        <v>11349.830850000028</v>
      </c>
      <c r="CI294" s="21">
        <f t="shared" si="715"/>
        <v>16342.673830000043</v>
      </c>
      <c r="CJ294" s="143">
        <f>CJ292</f>
        <v>0</v>
      </c>
      <c r="CK294" s="306"/>
      <c r="CL294" s="306"/>
      <c r="CM294" s="306"/>
      <c r="CN294" s="143">
        <f t="shared" si="701"/>
        <v>0</v>
      </c>
      <c r="CO294" s="143">
        <f>CO260+CO266</f>
        <v>0</v>
      </c>
      <c r="CP294" s="143">
        <f>CP292</f>
        <v>0</v>
      </c>
      <c r="CQ294" s="143">
        <f>CQ292</f>
        <v>0</v>
      </c>
      <c r="CR294" s="143">
        <f>CR292</f>
        <v>0</v>
      </c>
      <c r="CS294" s="143">
        <f t="shared" si="702"/>
        <v>0</v>
      </c>
      <c r="CT294" s="143">
        <f>CT260+CT266</f>
        <v>0</v>
      </c>
      <c r="CU294" s="143">
        <f>CU292</f>
        <v>0</v>
      </c>
      <c r="CV294" s="143">
        <f>CV292</f>
        <v>0</v>
      </c>
      <c r="CW294" s="143">
        <f>CW292</f>
        <v>0</v>
      </c>
      <c r="CX294" s="143">
        <f>CY294+CZ294+DA294+DB294</f>
        <v>0</v>
      </c>
      <c r="CY294" s="143">
        <f>CY260+CY266</f>
        <v>0</v>
      </c>
      <c r="CZ294" s="202"/>
      <c r="DA294" s="202"/>
      <c r="DB294" s="202"/>
      <c r="DC294" s="306"/>
      <c r="DD294" s="306"/>
      <c r="DE294" s="306"/>
      <c r="DF294" s="306"/>
      <c r="DG294" s="306"/>
      <c r="DH294" s="306"/>
      <c r="DI294" s="306"/>
      <c r="DJ294" s="306"/>
      <c r="DK294" s="306"/>
      <c r="DL294" s="306"/>
      <c r="DM294" s="306"/>
      <c r="DN294" s="306"/>
      <c r="DO294" s="306"/>
      <c r="DP294" s="306"/>
      <c r="DQ294" s="143">
        <f t="shared" si="710"/>
        <v>693044.42335000006</v>
      </c>
      <c r="DR294" s="143">
        <f>DR260+DR266</f>
        <v>279726.75956000003</v>
      </c>
      <c r="DS294" s="202">
        <f>DS292</f>
        <v>212572.74614999996</v>
      </c>
      <c r="DT294" s="202">
        <f>DT292</f>
        <v>200744.91764</v>
      </c>
      <c r="DU294" s="202">
        <f>DU292</f>
        <v>0</v>
      </c>
      <c r="DV294" s="143">
        <f>DW294+DX294+DY294+DZ294</f>
        <v>61037.786759999995</v>
      </c>
      <c r="DW294" s="143">
        <f>DW260+DW266</f>
        <v>61037.786759999995</v>
      </c>
      <c r="DX294" s="202"/>
      <c r="DY294" s="202"/>
      <c r="DZ294" s="202"/>
      <c r="EA294" s="381"/>
      <c r="EB294" s="381"/>
      <c r="EC294" s="381"/>
      <c r="ED294" s="381"/>
      <c r="EE294" s="381"/>
      <c r="EF294" s="381"/>
      <c r="EG294" s="381"/>
      <c r="EH294" s="381"/>
      <c r="EI294" s="381"/>
      <c r="EJ294" s="381"/>
      <c r="EK294" s="381"/>
      <c r="EL294" s="381"/>
      <c r="EM294" s="381"/>
      <c r="EN294" s="381"/>
      <c r="EO294" s="381"/>
      <c r="EP294" s="381"/>
      <c r="EQ294" s="381"/>
      <c r="ER294" s="381"/>
      <c r="ES294" s="381"/>
      <c r="ET294" s="381"/>
      <c r="EU294" s="381"/>
      <c r="EV294" s="381"/>
      <c r="EW294" s="381"/>
      <c r="EX294" s="381"/>
      <c r="EY294" s="381"/>
      <c r="EZ294" s="381"/>
      <c r="FA294" s="381"/>
      <c r="FB294" s="381"/>
      <c r="FC294" s="381"/>
      <c r="FD294" s="381"/>
      <c r="FE294" s="381"/>
      <c r="FF294" s="381"/>
      <c r="FG294" s="381"/>
      <c r="FH294" s="381"/>
      <c r="FI294" s="381"/>
      <c r="FJ294" s="381"/>
      <c r="FK294" s="381"/>
      <c r="FL294" s="381"/>
      <c r="FM294" s="381"/>
      <c r="FN294" s="381"/>
      <c r="FO294" s="381"/>
      <c r="FP294" s="381"/>
      <c r="FQ294" s="381"/>
      <c r="FR294" s="381"/>
      <c r="FS294" s="381"/>
      <c r="FT294" s="381"/>
      <c r="FU294" s="381"/>
      <c r="FV294" s="381"/>
      <c r="FW294" s="381"/>
      <c r="FX294" s="381"/>
      <c r="FY294" s="381"/>
      <c r="FZ294" s="381"/>
      <c r="GA294" s="381"/>
      <c r="GB294" s="381"/>
      <c r="GC294" s="381"/>
      <c r="GD294" s="381"/>
      <c r="GE294" s="381"/>
      <c r="GF294" s="381"/>
      <c r="GG294" s="381"/>
      <c r="GH294" s="381"/>
      <c r="GI294" s="381"/>
      <c r="GJ294" s="381"/>
      <c r="GK294" s="381"/>
      <c r="GL294" s="381"/>
      <c r="GM294" s="381"/>
      <c r="GN294" s="381"/>
      <c r="GO294" s="381"/>
      <c r="GP294" s="381"/>
      <c r="GQ294" s="381"/>
      <c r="GR294" s="381"/>
    </row>
    <row r="295" spans="2:200" s="57" customFormat="1" ht="18" customHeight="1" x14ac:dyDescent="0.3">
      <c r="B295" s="143"/>
      <c r="C295" s="143"/>
      <c r="D295" s="143"/>
      <c r="E295" s="199"/>
      <c r="F295" s="143"/>
      <c r="G295" s="143"/>
      <c r="H295" s="143"/>
      <c r="I295" s="143"/>
      <c r="J295" s="143"/>
      <c r="K295" s="143"/>
      <c r="L295" s="143"/>
      <c r="M295" s="200"/>
      <c r="N295" s="201"/>
      <c r="O295" s="201"/>
      <c r="P295" s="201"/>
      <c r="Q295" s="201"/>
      <c r="R295" s="201"/>
      <c r="S295" s="201"/>
      <c r="T295" s="201"/>
      <c r="U295" s="201"/>
      <c r="V295" s="202"/>
      <c r="W295" s="202"/>
      <c r="X295" s="202"/>
      <c r="Y295" s="202"/>
      <c r="Z295" s="202"/>
      <c r="AA295" s="202"/>
      <c r="AB295" s="202"/>
      <c r="AC295" s="202"/>
      <c r="AD295" s="202"/>
      <c r="AE295" s="202"/>
      <c r="AF295" s="202"/>
      <c r="AG295" s="202"/>
      <c r="AH295" s="202"/>
      <c r="AI295" s="202"/>
      <c r="AJ295" s="202"/>
      <c r="AK295" s="202"/>
      <c r="AL295" s="202"/>
      <c r="AM295" s="202"/>
      <c r="AN295" s="202"/>
      <c r="AO295" s="202"/>
      <c r="AP295" s="202"/>
      <c r="AQ295" s="202"/>
      <c r="AR295" s="202"/>
      <c r="AS295" s="202"/>
      <c r="AT295" s="202"/>
      <c r="AU295" s="202"/>
      <c r="AV295" s="202"/>
      <c r="AW295" s="202"/>
      <c r="AX295" s="202"/>
      <c r="AY295" s="202"/>
      <c r="AZ295" s="202"/>
      <c r="BA295" s="202"/>
      <c r="BB295" s="202"/>
      <c r="BC295" s="202"/>
      <c r="BD295" s="202"/>
      <c r="BE295" s="202"/>
      <c r="BF295" s="202"/>
      <c r="BG295" s="202"/>
      <c r="BH295" s="202"/>
      <c r="BI295" s="202"/>
      <c r="BJ295" s="202"/>
      <c r="BK295" s="202"/>
      <c r="BL295" s="202"/>
      <c r="BM295" s="202"/>
      <c r="BN295" s="202"/>
      <c r="BO295" s="202"/>
      <c r="BP295" s="202"/>
      <c r="BQ295" s="202"/>
      <c r="BR295" s="202"/>
      <c r="BS295" s="202"/>
      <c r="BT295" s="202"/>
      <c r="BU295" s="202"/>
      <c r="BV295" s="202"/>
      <c r="BW295" s="202"/>
      <c r="BX295" s="202"/>
      <c r="BY295" s="202"/>
      <c r="BZ295" s="143"/>
      <c r="CA295" s="202"/>
      <c r="CB295" s="202"/>
      <c r="CC295" s="202"/>
      <c r="CD295" s="202"/>
      <c r="CE295" s="202"/>
      <c r="CF295" s="202"/>
      <c r="CG295" s="202"/>
      <c r="CH295" s="202"/>
      <c r="CI295" s="202"/>
      <c r="CJ295" s="202"/>
      <c r="CN295" s="202"/>
      <c r="CO295" s="202"/>
      <c r="CP295" s="202"/>
      <c r="CQ295" s="202"/>
      <c r="CR295" s="202"/>
      <c r="CS295" s="202"/>
      <c r="CT295" s="202"/>
      <c r="CU295" s="202"/>
      <c r="CV295" s="202"/>
      <c r="CW295" s="202"/>
      <c r="CX295" s="202"/>
      <c r="CY295" s="202"/>
      <c r="CZ295" s="202"/>
      <c r="DA295" s="202"/>
      <c r="DB295" s="202"/>
      <c r="DQ295" s="202"/>
      <c r="DR295" s="202"/>
      <c r="DS295" s="202"/>
      <c r="DT295" s="202"/>
      <c r="DU295" s="202"/>
      <c r="DV295" s="202"/>
      <c r="DW295" s="202"/>
      <c r="DX295" s="202"/>
      <c r="DY295" s="202"/>
      <c r="DZ295" s="205"/>
      <c r="EA295" s="381"/>
      <c r="EB295" s="381"/>
      <c r="EC295" s="381"/>
      <c r="ED295" s="381"/>
      <c r="EE295" s="381"/>
      <c r="EF295" s="381"/>
      <c r="EG295" s="381"/>
      <c r="EH295" s="381"/>
      <c r="EI295" s="381"/>
      <c r="EJ295" s="381"/>
      <c r="EK295" s="381"/>
      <c r="EL295" s="381"/>
      <c r="EM295" s="381"/>
      <c r="EN295" s="381"/>
      <c r="EO295" s="381"/>
      <c r="EP295" s="381"/>
      <c r="EQ295" s="381"/>
      <c r="ER295" s="381"/>
      <c r="ES295" s="381"/>
      <c r="ET295" s="381"/>
      <c r="EU295" s="381"/>
      <c r="EV295" s="381"/>
      <c r="EW295" s="381"/>
      <c r="EX295" s="381"/>
      <c r="EY295" s="381"/>
      <c r="EZ295" s="381"/>
      <c r="FA295" s="381"/>
      <c r="FB295" s="381"/>
      <c r="FC295" s="381"/>
      <c r="FD295" s="381"/>
      <c r="FE295" s="381"/>
      <c r="FF295" s="381"/>
      <c r="FG295" s="381"/>
      <c r="FH295" s="381"/>
      <c r="FI295" s="381"/>
      <c r="FJ295" s="381"/>
      <c r="FK295" s="381"/>
      <c r="FL295" s="381"/>
      <c r="FM295" s="381"/>
      <c r="FN295" s="381"/>
      <c r="FO295" s="381"/>
      <c r="FP295" s="381"/>
      <c r="FQ295" s="381"/>
      <c r="FR295" s="381"/>
      <c r="FS295" s="381"/>
      <c r="FT295" s="381"/>
      <c r="FU295" s="381"/>
      <c r="FV295" s="381"/>
      <c r="FW295" s="381"/>
      <c r="FX295" s="381"/>
      <c r="FY295" s="381"/>
      <c r="FZ295" s="381"/>
      <c r="GA295" s="381"/>
      <c r="GB295" s="381"/>
      <c r="GC295" s="381"/>
      <c r="GD295" s="381"/>
      <c r="GE295" s="381"/>
      <c r="GF295" s="381"/>
      <c r="GG295" s="381"/>
      <c r="GH295" s="381"/>
      <c r="GI295" s="381"/>
      <c r="GJ295" s="381"/>
      <c r="GK295" s="381"/>
      <c r="GL295" s="381"/>
      <c r="GM295" s="381"/>
      <c r="GN295" s="381"/>
      <c r="GO295" s="381"/>
      <c r="GP295" s="381"/>
      <c r="GQ295" s="381"/>
      <c r="GR295" s="381"/>
    </row>
    <row r="296" spans="2:200" ht="24" hidden="1" customHeight="1" x14ac:dyDescent="0.3">
      <c r="M296" s="441" t="s">
        <v>288</v>
      </c>
      <c r="N296" s="442"/>
      <c r="O296" s="204"/>
      <c r="P296" s="204"/>
      <c r="Q296" s="204"/>
      <c r="R296" s="204"/>
      <c r="S296" s="204"/>
      <c r="T296" s="204"/>
      <c r="U296" s="204"/>
      <c r="V296" s="205">
        <f>V297+V298</f>
        <v>0</v>
      </c>
      <c r="W296" s="180"/>
      <c r="X296" s="205">
        <f>X297+X298</f>
        <v>0</v>
      </c>
      <c r="Y296" s="206"/>
      <c r="Z296" s="206"/>
      <c r="AA296" s="205">
        <f>AA297+AA298</f>
        <v>0</v>
      </c>
      <c r="AB296" s="180"/>
      <c r="AC296" s="205">
        <f>AC297+AC298</f>
        <v>0</v>
      </c>
      <c r="AD296" s="206"/>
      <c r="AE296" s="206"/>
      <c r="AF296" s="205">
        <f>AF297+AF298</f>
        <v>0</v>
      </c>
      <c r="AG296" s="180"/>
      <c r="AH296" s="205">
        <f>AH297+AH298</f>
        <v>0</v>
      </c>
      <c r="AI296" s="206"/>
      <c r="AJ296" s="206"/>
      <c r="AK296" s="205">
        <f>AK297+AK298</f>
        <v>0</v>
      </c>
      <c r="AL296" s="180"/>
      <c r="AM296" s="205">
        <f>AM297+AM298</f>
        <v>0</v>
      </c>
      <c r="AN296" s="206"/>
      <c r="AO296" s="206"/>
      <c r="AP296" s="206"/>
      <c r="AQ296" s="205">
        <f>AQ297+AQ298</f>
        <v>0</v>
      </c>
      <c r="AR296" s="207"/>
      <c r="AS296" s="205">
        <f>AS297+AS298</f>
        <v>0</v>
      </c>
      <c r="AT296" s="207"/>
      <c r="AU296" s="207"/>
      <c r="AV296" s="26" t="e">
        <f t="shared" ref="AV296:AV303" si="716">AW296+AX296+AY296+AZ296</f>
        <v>#REF!</v>
      </c>
      <c r="AW296" s="24" t="e">
        <f>#REF!-AR296</f>
        <v>#REF!</v>
      </c>
      <c r="AX296" s="24" t="e">
        <f>#REF!-AS296</f>
        <v>#REF!</v>
      </c>
      <c r="AY296" s="24" t="e">
        <f>#REF!-AT296</f>
        <v>#REF!</v>
      </c>
      <c r="AZ296" s="24" t="e">
        <f>#REF!-AU296</f>
        <v>#REF!</v>
      </c>
      <c r="BA296" s="205">
        <f>BA297+BA298</f>
        <v>0</v>
      </c>
      <c r="BB296" s="207"/>
      <c r="BC296" s="205">
        <f>BC297+BC298</f>
        <v>0</v>
      </c>
      <c r="BD296" s="207"/>
      <c r="BE296" s="207"/>
      <c r="BF296" s="205">
        <f>BF297+BF298</f>
        <v>0</v>
      </c>
      <c r="BG296" s="208"/>
      <c r="BH296" s="205">
        <f>BH297+BH298</f>
        <v>0</v>
      </c>
      <c r="BI296" s="208"/>
      <c r="BJ296" s="208"/>
      <c r="BK296" s="205">
        <f>BK297+BK298</f>
        <v>0</v>
      </c>
      <c r="BL296" s="207"/>
      <c r="BM296" s="205">
        <f>BM297+BM298</f>
        <v>0</v>
      </c>
      <c r="BN296" s="207"/>
      <c r="BO296" s="207"/>
      <c r="BP296" s="205">
        <f>BP297+BP298</f>
        <v>0</v>
      </c>
      <c r="BQ296" s="208"/>
      <c r="BR296" s="205">
        <f>BR297+BR298</f>
        <v>0</v>
      </c>
      <c r="BS296" s="208"/>
      <c r="BT296" s="208"/>
      <c r="BU296" s="205">
        <f>BU297+BU298</f>
        <v>0</v>
      </c>
      <c r="BV296" s="208"/>
      <c r="BW296" s="208">
        <f>BW297+BW298</f>
        <v>0</v>
      </c>
      <c r="BX296" s="208"/>
      <c r="BY296" s="208"/>
      <c r="BZ296" s="209">
        <f t="shared" si="639"/>
        <v>0</v>
      </c>
      <c r="CA296" s="205">
        <f>CA297+CA298</f>
        <v>0</v>
      </c>
      <c r="CB296" s="208"/>
      <c r="CC296" s="208">
        <f>CC297+CC298</f>
        <v>0</v>
      </c>
      <c r="CD296" s="208"/>
      <c r="CE296" s="208"/>
      <c r="CF296" s="205">
        <f t="shared" si="640"/>
        <v>0</v>
      </c>
      <c r="CG296" s="208">
        <f t="shared" si="641"/>
        <v>0</v>
      </c>
      <c r="CH296" s="205">
        <f t="shared" si="642"/>
        <v>0</v>
      </c>
      <c r="CI296" s="208">
        <f t="shared" si="643"/>
        <v>0</v>
      </c>
      <c r="CJ296" s="208"/>
      <c r="CN296" s="205">
        <f>CN297+CN298</f>
        <v>0</v>
      </c>
      <c r="CO296" s="208"/>
      <c r="CP296" s="205">
        <f>CP297+CP298</f>
        <v>0</v>
      </c>
      <c r="CQ296" s="208"/>
      <c r="CR296" s="208"/>
      <c r="CS296" s="205">
        <f>CS297+CS298</f>
        <v>0</v>
      </c>
      <c r="CT296" s="208"/>
      <c r="CU296" s="205">
        <f>CU297+CU298</f>
        <v>0</v>
      </c>
      <c r="CV296" s="208"/>
      <c r="CW296" s="208"/>
      <c r="CX296" s="205">
        <f>CX297+CX298</f>
        <v>0</v>
      </c>
      <c r="CY296" s="208"/>
      <c r="CZ296" s="208"/>
      <c r="DA296" s="208"/>
      <c r="DB296" s="208"/>
      <c r="DF296" s="169"/>
      <c r="DG296" s="57"/>
      <c r="DH296" s="57"/>
      <c r="DI296" s="170"/>
      <c r="DK296" s="59"/>
      <c r="DL296" s="59"/>
      <c r="DM296" s="59"/>
      <c r="DN296" s="59"/>
      <c r="DQ296" s="205">
        <f>DQ297+DQ298</f>
        <v>0</v>
      </c>
      <c r="DR296" s="207"/>
      <c r="DS296" s="205">
        <f>DS297+DS298</f>
        <v>0</v>
      </c>
      <c r="DT296" s="207"/>
      <c r="DU296" s="207"/>
      <c r="DV296" s="205">
        <f>DV297+DV298</f>
        <v>0</v>
      </c>
      <c r="DW296" s="207"/>
      <c r="DX296" s="205">
        <f>DX297+DX298</f>
        <v>0</v>
      </c>
      <c r="DY296" s="210"/>
      <c r="DZ296" s="211"/>
    </row>
    <row r="297" spans="2:200" ht="14.25" hidden="1" customHeight="1" x14ac:dyDescent="0.3">
      <c r="M297" s="173"/>
      <c r="N297" s="174" t="s">
        <v>287</v>
      </c>
      <c r="O297" s="174"/>
      <c r="P297" s="174"/>
      <c r="Q297" s="174"/>
      <c r="R297" s="174"/>
      <c r="S297" s="174"/>
      <c r="T297" s="174"/>
      <c r="U297" s="174"/>
      <c r="V297" s="21">
        <f>V300+V303+V305</f>
        <v>0</v>
      </c>
      <c r="W297" s="198"/>
      <c r="X297" s="21">
        <f>X300+X303+X305</f>
        <v>0</v>
      </c>
      <c r="Y297" s="212"/>
      <c r="Z297" s="212"/>
      <c r="AA297" s="21">
        <f>AA300+AA303+AA305</f>
        <v>0</v>
      </c>
      <c r="AB297" s="198"/>
      <c r="AC297" s="21">
        <f>AC300+AC303+AC305</f>
        <v>0</v>
      </c>
      <c r="AD297" s="212"/>
      <c r="AE297" s="212"/>
      <c r="AF297" s="21">
        <f>AF300+AF303+AF305</f>
        <v>0</v>
      </c>
      <c r="AG297" s="198"/>
      <c r="AH297" s="21">
        <f>AH300+AH303+AH305</f>
        <v>0</v>
      </c>
      <c r="AI297" s="212"/>
      <c r="AJ297" s="212"/>
      <c r="AK297" s="21">
        <f>AK300+AK303+AK305</f>
        <v>0</v>
      </c>
      <c r="AL297" s="198"/>
      <c r="AM297" s="21">
        <f>AM300+AM303+AM305</f>
        <v>0</v>
      </c>
      <c r="AN297" s="212"/>
      <c r="AO297" s="212"/>
      <c r="AP297" s="212"/>
      <c r="AQ297" s="21">
        <f>AQ300+AQ303+AQ305</f>
        <v>0</v>
      </c>
      <c r="AR297" s="211"/>
      <c r="AS297" s="21">
        <f>AS300+AS303+AS305</f>
        <v>0</v>
      </c>
      <c r="AT297" s="211"/>
      <c r="AU297" s="211"/>
      <c r="AV297" s="21" t="e">
        <f t="shared" si="716"/>
        <v>#REF!</v>
      </c>
      <c r="AW297" s="25" t="e">
        <f>#REF!-AR297</f>
        <v>#REF!</v>
      </c>
      <c r="AX297" s="25" t="e">
        <f>#REF!-AS297</f>
        <v>#REF!</v>
      </c>
      <c r="AY297" s="25" t="e">
        <f>#REF!-AT297</f>
        <v>#REF!</v>
      </c>
      <c r="AZ297" s="25" t="e">
        <f>#REF!-AU297</f>
        <v>#REF!</v>
      </c>
      <c r="BA297" s="21">
        <f>BA300+BA303+BA305</f>
        <v>0</v>
      </c>
      <c r="BB297" s="211"/>
      <c r="BC297" s="21">
        <f>BC300+BC303+BC305</f>
        <v>0</v>
      </c>
      <c r="BD297" s="211"/>
      <c r="BE297" s="211"/>
      <c r="BF297" s="21">
        <f>BF300+BF303+BF305</f>
        <v>0</v>
      </c>
      <c r="BG297" s="213"/>
      <c r="BH297" s="21">
        <f>BH300+BH303+BH305</f>
        <v>0</v>
      </c>
      <c r="BI297" s="213"/>
      <c r="BJ297" s="213"/>
      <c r="BK297" s="21">
        <f>BK300+BK303+BK305</f>
        <v>0</v>
      </c>
      <c r="BL297" s="211"/>
      <c r="BM297" s="21">
        <f>BM300+BM303+BM305</f>
        <v>0</v>
      </c>
      <c r="BN297" s="211"/>
      <c r="BO297" s="211"/>
      <c r="BP297" s="21">
        <f>BP300+BP303+BP305</f>
        <v>0</v>
      </c>
      <c r="BQ297" s="213"/>
      <c r="BR297" s="21">
        <f>BR300+BR303+BR305</f>
        <v>0</v>
      </c>
      <c r="BS297" s="213"/>
      <c r="BT297" s="213"/>
      <c r="BU297" s="21">
        <f>BU300+BU303+BU305</f>
        <v>0</v>
      </c>
      <c r="BV297" s="213"/>
      <c r="BW297" s="213">
        <f>BW300+BW303+BW305</f>
        <v>0</v>
      </c>
      <c r="BX297" s="213"/>
      <c r="BY297" s="213"/>
      <c r="BZ297" s="214">
        <f t="shared" si="639"/>
        <v>0</v>
      </c>
      <c r="CA297" s="21">
        <f>CA300+CA303+CA305</f>
        <v>0</v>
      </c>
      <c r="CB297" s="213"/>
      <c r="CC297" s="213">
        <f>CC300+CC303+CC305</f>
        <v>0</v>
      </c>
      <c r="CD297" s="213"/>
      <c r="CE297" s="213"/>
      <c r="CF297" s="25">
        <f t="shared" si="640"/>
        <v>0</v>
      </c>
      <c r="CG297" s="25">
        <f t="shared" si="641"/>
        <v>0</v>
      </c>
      <c r="CH297" s="25">
        <f t="shared" si="642"/>
        <v>0</v>
      </c>
      <c r="CI297" s="25">
        <f t="shared" si="643"/>
        <v>0</v>
      </c>
      <c r="CJ297" s="25"/>
      <c r="CN297" s="21">
        <f>CN300+CN303+CN305</f>
        <v>0</v>
      </c>
      <c r="CO297" s="213"/>
      <c r="CP297" s="21">
        <f>CP300+CP303+CP305</f>
        <v>0</v>
      </c>
      <c r="CQ297" s="213"/>
      <c r="CR297" s="213"/>
      <c r="CS297" s="21">
        <f>CS300+CS303+CS305</f>
        <v>0</v>
      </c>
      <c r="CT297" s="213"/>
      <c r="CU297" s="21">
        <f>CU300+CU303+CU305</f>
        <v>0</v>
      </c>
      <c r="CV297" s="213"/>
      <c r="CW297" s="213"/>
      <c r="CX297" s="21">
        <f>CX300+CX303+CX305</f>
        <v>0</v>
      </c>
      <c r="CY297" s="213"/>
      <c r="CZ297" s="213"/>
      <c r="DA297" s="213"/>
      <c r="DB297" s="213"/>
      <c r="DF297" s="169"/>
      <c r="DG297" s="57"/>
      <c r="DH297" s="57"/>
      <c r="DI297" s="170"/>
      <c r="DK297" s="59"/>
      <c r="DL297" s="59"/>
      <c r="DM297" s="59"/>
      <c r="DN297" s="59"/>
      <c r="DQ297" s="21">
        <f>DQ300+DQ303+DQ305</f>
        <v>0</v>
      </c>
      <c r="DR297" s="211"/>
      <c r="DS297" s="21">
        <f>DS300+DS303+DS305</f>
        <v>0</v>
      </c>
      <c r="DT297" s="211"/>
      <c r="DU297" s="211"/>
      <c r="DV297" s="21">
        <f>DV300+DV303+DV305</f>
        <v>0</v>
      </c>
      <c r="DW297" s="211"/>
      <c r="DX297" s="21">
        <f>DX300+DX303+DX305</f>
        <v>0</v>
      </c>
      <c r="DY297" s="215"/>
      <c r="DZ297" s="211"/>
    </row>
    <row r="298" spans="2:200" ht="14.25" hidden="1" customHeight="1" x14ac:dyDescent="0.3">
      <c r="M298" s="173"/>
      <c r="N298" s="174" t="s">
        <v>286</v>
      </c>
      <c r="O298" s="174"/>
      <c r="P298" s="174"/>
      <c r="Q298" s="174"/>
      <c r="R298" s="174"/>
      <c r="S298" s="174"/>
      <c r="T298" s="174"/>
      <c r="U298" s="174"/>
      <c r="V298" s="21">
        <f>V301+V304</f>
        <v>0</v>
      </c>
      <c r="W298" s="198"/>
      <c r="X298" s="21">
        <f>X301+X304</f>
        <v>0</v>
      </c>
      <c r="Y298" s="212"/>
      <c r="Z298" s="212"/>
      <c r="AA298" s="21">
        <f>AA301+AA304</f>
        <v>0</v>
      </c>
      <c r="AB298" s="198"/>
      <c r="AC298" s="21">
        <f>AC301+AC304</f>
        <v>0</v>
      </c>
      <c r="AD298" s="212"/>
      <c r="AE298" s="212"/>
      <c r="AF298" s="21">
        <f>AF301+AF304</f>
        <v>0</v>
      </c>
      <c r="AG298" s="198"/>
      <c r="AH298" s="21">
        <f>AH301+AH304</f>
        <v>0</v>
      </c>
      <c r="AI298" s="212"/>
      <c r="AJ298" s="212"/>
      <c r="AK298" s="21">
        <f>AK301+AK304</f>
        <v>0</v>
      </c>
      <c r="AL298" s="198"/>
      <c r="AM298" s="21">
        <f>AM301+AM304</f>
        <v>0</v>
      </c>
      <c r="AN298" s="212"/>
      <c r="AO298" s="212"/>
      <c r="AP298" s="212"/>
      <c r="AQ298" s="21">
        <f>AQ301+AQ304</f>
        <v>0</v>
      </c>
      <c r="AR298" s="211"/>
      <c r="AS298" s="21">
        <f>AS301+AS304</f>
        <v>0</v>
      </c>
      <c r="AT298" s="211"/>
      <c r="AU298" s="211"/>
      <c r="AV298" s="21" t="e">
        <f t="shared" si="716"/>
        <v>#REF!</v>
      </c>
      <c r="AW298" s="25" t="e">
        <f>#REF!-AR298</f>
        <v>#REF!</v>
      </c>
      <c r="AX298" s="25" t="e">
        <f>#REF!-AS298</f>
        <v>#REF!</v>
      </c>
      <c r="AY298" s="25" t="e">
        <f>#REF!-AT298</f>
        <v>#REF!</v>
      </c>
      <c r="AZ298" s="25" t="e">
        <f>#REF!-AU298</f>
        <v>#REF!</v>
      </c>
      <c r="BA298" s="21">
        <f>BA301+BA304</f>
        <v>0</v>
      </c>
      <c r="BB298" s="211"/>
      <c r="BC298" s="21">
        <f>BC301+BC304</f>
        <v>0</v>
      </c>
      <c r="BD298" s="211"/>
      <c r="BE298" s="211"/>
      <c r="BF298" s="21">
        <f>BF301+BF304</f>
        <v>0</v>
      </c>
      <c r="BG298" s="213"/>
      <c r="BH298" s="21">
        <f>BH301+BH304</f>
        <v>0</v>
      </c>
      <c r="BI298" s="213"/>
      <c r="BJ298" s="213"/>
      <c r="BK298" s="21">
        <f>BK301+BK304</f>
        <v>0</v>
      </c>
      <c r="BL298" s="211"/>
      <c r="BM298" s="21">
        <f>BM301+BM304</f>
        <v>0</v>
      </c>
      <c r="BN298" s="211"/>
      <c r="BO298" s="211"/>
      <c r="BP298" s="21">
        <f>BP301+BP304</f>
        <v>0</v>
      </c>
      <c r="BQ298" s="213"/>
      <c r="BR298" s="21">
        <f>BR301+BR304</f>
        <v>0</v>
      </c>
      <c r="BS298" s="213"/>
      <c r="BT298" s="213"/>
      <c r="BU298" s="21">
        <f>BU301+BU304</f>
        <v>0</v>
      </c>
      <c r="BV298" s="213"/>
      <c r="BW298" s="213">
        <f>BW301+BW304</f>
        <v>0</v>
      </c>
      <c r="BX298" s="213"/>
      <c r="BY298" s="213"/>
      <c r="BZ298" s="214">
        <f t="shared" si="639"/>
        <v>0</v>
      </c>
      <c r="CA298" s="21">
        <f>CA301+CA304</f>
        <v>0</v>
      </c>
      <c r="CB298" s="213"/>
      <c r="CC298" s="213">
        <f>CC301+CC304</f>
        <v>0</v>
      </c>
      <c r="CD298" s="213"/>
      <c r="CE298" s="213"/>
      <c r="CF298" s="25">
        <f t="shared" si="640"/>
        <v>0</v>
      </c>
      <c r="CG298" s="25">
        <f t="shared" si="641"/>
        <v>0</v>
      </c>
      <c r="CH298" s="25">
        <f t="shared" si="642"/>
        <v>0</v>
      </c>
      <c r="CI298" s="25">
        <f t="shared" si="643"/>
        <v>0</v>
      </c>
      <c r="CJ298" s="25"/>
      <c r="CN298" s="21">
        <f>CN301+CN304</f>
        <v>0</v>
      </c>
      <c r="CO298" s="213"/>
      <c r="CP298" s="21">
        <f>CP301+CP304</f>
        <v>0</v>
      </c>
      <c r="CQ298" s="213"/>
      <c r="CR298" s="213"/>
      <c r="CS298" s="21">
        <f>CS301+CS304</f>
        <v>0</v>
      </c>
      <c r="CT298" s="213"/>
      <c r="CU298" s="21">
        <f>CU301+CU304</f>
        <v>0</v>
      </c>
      <c r="CV298" s="213"/>
      <c r="CW298" s="213"/>
      <c r="CX298" s="21"/>
      <c r="CY298" s="213"/>
      <c r="CZ298" s="213"/>
      <c r="DA298" s="213"/>
      <c r="DB298" s="213"/>
      <c r="DF298" s="169"/>
      <c r="DG298" s="57"/>
      <c r="DH298" s="57"/>
      <c r="DI298" s="170"/>
      <c r="DK298" s="59"/>
      <c r="DL298" s="59"/>
      <c r="DM298" s="59"/>
      <c r="DN298" s="59"/>
      <c r="DQ298" s="21">
        <f>DQ304</f>
        <v>0</v>
      </c>
      <c r="DR298" s="211"/>
      <c r="DS298" s="21">
        <f>DS304</f>
        <v>0</v>
      </c>
      <c r="DT298" s="211"/>
      <c r="DU298" s="211"/>
      <c r="DV298" s="21">
        <f>DV304</f>
        <v>0</v>
      </c>
      <c r="DW298" s="211"/>
      <c r="DX298" s="21">
        <f>DX304</f>
        <v>0</v>
      </c>
      <c r="DY298" s="215"/>
      <c r="DZ298" s="211"/>
    </row>
    <row r="299" spans="2:200" ht="14.25" hidden="1" customHeight="1" x14ac:dyDescent="0.3">
      <c r="M299" s="422" t="s">
        <v>289</v>
      </c>
      <c r="N299" s="429"/>
      <c r="O299" s="216"/>
      <c r="P299" s="216"/>
      <c r="Q299" s="216"/>
      <c r="R299" s="216"/>
      <c r="S299" s="216"/>
      <c r="T299" s="216"/>
      <c r="U299" s="216"/>
      <c r="V299" s="22">
        <f>V300+V301</f>
        <v>0</v>
      </c>
      <c r="W299" s="198"/>
      <c r="X299" s="22">
        <f>X300+X301</f>
        <v>0</v>
      </c>
      <c r="Y299" s="212"/>
      <c r="Z299" s="212"/>
      <c r="AA299" s="22">
        <f>AA300+AA301</f>
        <v>0</v>
      </c>
      <c r="AB299" s="198"/>
      <c r="AC299" s="22">
        <f>AC300+AC301</f>
        <v>0</v>
      </c>
      <c r="AD299" s="212"/>
      <c r="AE299" s="212"/>
      <c r="AF299" s="22">
        <f>AF300+AF301</f>
        <v>0</v>
      </c>
      <c r="AG299" s="198"/>
      <c r="AH299" s="22">
        <f>AH300+AH301</f>
        <v>0</v>
      </c>
      <c r="AI299" s="212"/>
      <c r="AJ299" s="212"/>
      <c r="AK299" s="22">
        <f>AK300+AK301</f>
        <v>0</v>
      </c>
      <c r="AL299" s="198"/>
      <c r="AM299" s="22">
        <f>AM300+AM301</f>
        <v>0</v>
      </c>
      <c r="AN299" s="212"/>
      <c r="AO299" s="212"/>
      <c r="AP299" s="212"/>
      <c r="AQ299" s="22">
        <f>AQ300+AQ301</f>
        <v>0</v>
      </c>
      <c r="AR299" s="211"/>
      <c r="AS299" s="22">
        <f>AS300+AS301</f>
        <v>0</v>
      </c>
      <c r="AT299" s="211"/>
      <c r="AU299" s="211"/>
      <c r="AV299" s="21" t="e">
        <f t="shared" si="716"/>
        <v>#REF!</v>
      </c>
      <c r="AW299" s="25" t="e">
        <f>#REF!-AR299</f>
        <v>#REF!</v>
      </c>
      <c r="AX299" s="25" t="e">
        <f>#REF!-AS299</f>
        <v>#REF!</v>
      </c>
      <c r="AY299" s="25" t="e">
        <f>#REF!-AT299</f>
        <v>#REF!</v>
      </c>
      <c r="AZ299" s="25" t="e">
        <f>#REF!-AU299</f>
        <v>#REF!</v>
      </c>
      <c r="BA299" s="22">
        <f>BA300+BA301</f>
        <v>0</v>
      </c>
      <c r="BB299" s="211"/>
      <c r="BC299" s="22">
        <f>BC300+BC301</f>
        <v>0</v>
      </c>
      <c r="BD299" s="211"/>
      <c r="BE299" s="211"/>
      <c r="BF299" s="22">
        <f>BF300+BF301</f>
        <v>0</v>
      </c>
      <c r="BG299" s="213"/>
      <c r="BH299" s="22">
        <f>BH300+BH301</f>
        <v>0</v>
      </c>
      <c r="BI299" s="213"/>
      <c r="BJ299" s="213"/>
      <c r="BK299" s="22">
        <f>BK300+BK301</f>
        <v>0</v>
      </c>
      <c r="BL299" s="211"/>
      <c r="BM299" s="22">
        <f>BM300+BM301</f>
        <v>0</v>
      </c>
      <c r="BN299" s="211"/>
      <c r="BO299" s="211"/>
      <c r="BP299" s="22">
        <f>BP300+BP301</f>
        <v>0</v>
      </c>
      <c r="BQ299" s="213"/>
      <c r="BR299" s="22">
        <f>BR300+BR301</f>
        <v>0</v>
      </c>
      <c r="BS299" s="213"/>
      <c r="BT299" s="213"/>
      <c r="BU299" s="22">
        <f>BU300+BU301</f>
        <v>0</v>
      </c>
      <c r="BV299" s="213"/>
      <c r="BW299" s="213">
        <f>BW300+BW301</f>
        <v>0</v>
      </c>
      <c r="BX299" s="213"/>
      <c r="BY299" s="213"/>
      <c r="BZ299" s="214">
        <f t="shared" si="639"/>
        <v>0</v>
      </c>
      <c r="CA299" s="22">
        <f>CA300+CA301</f>
        <v>0</v>
      </c>
      <c r="CB299" s="213"/>
      <c r="CC299" s="213">
        <f>CC300+CC301</f>
        <v>0</v>
      </c>
      <c r="CD299" s="213"/>
      <c r="CE299" s="213"/>
      <c r="CF299" s="22">
        <f t="shared" si="640"/>
        <v>0</v>
      </c>
      <c r="CG299" s="213">
        <f t="shared" si="641"/>
        <v>0</v>
      </c>
      <c r="CH299" s="22">
        <f t="shared" si="642"/>
        <v>0</v>
      </c>
      <c r="CI299" s="213">
        <f t="shared" si="643"/>
        <v>0</v>
      </c>
      <c r="CJ299" s="213"/>
      <c r="CN299" s="22">
        <f>CN300+CN301</f>
        <v>0</v>
      </c>
      <c r="CO299" s="213"/>
      <c r="CP299" s="22">
        <f>CP300+CP301</f>
        <v>0</v>
      </c>
      <c r="CQ299" s="213"/>
      <c r="CR299" s="213"/>
      <c r="CS299" s="22">
        <f>CS300+CS301</f>
        <v>0</v>
      </c>
      <c r="CT299" s="213"/>
      <c r="CU299" s="22">
        <f>CU300+CU301</f>
        <v>0</v>
      </c>
      <c r="CV299" s="213"/>
      <c r="CW299" s="213"/>
      <c r="CX299" s="22">
        <f>CX300+CX301</f>
        <v>0</v>
      </c>
      <c r="CY299" s="213"/>
      <c r="CZ299" s="213"/>
      <c r="DA299" s="213"/>
      <c r="DB299" s="213"/>
      <c r="DF299" s="169"/>
      <c r="DG299" s="57"/>
      <c r="DH299" s="57"/>
      <c r="DI299" s="170"/>
      <c r="DK299" s="59"/>
      <c r="DL299" s="59"/>
      <c r="DM299" s="59"/>
      <c r="DN299" s="59"/>
      <c r="DQ299" s="22">
        <f>DQ300+DQ301</f>
        <v>0</v>
      </c>
      <c r="DR299" s="211"/>
      <c r="DS299" s="22">
        <f>DS300+DS301</f>
        <v>0</v>
      </c>
      <c r="DT299" s="211"/>
      <c r="DU299" s="211"/>
      <c r="DV299" s="22">
        <f>DV300+DV301</f>
        <v>0</v>
      </c>
      <c r="DW299" s="211"/>
      <c r="DX299" s="22">
        <f>DX300+DX301</f>
        <v>0</v>
      </c>
      <c r="DY299" s="215"/>
      <c r="DZ299" s="211"/>
    </row>
    <row r="300" spans="2:200" ht="14.25" hidden="1" customHeight="1" x14ac:dyDescent="0.3">
      <c r="M300" s="173"/>
      <c r="N300" s="174" t="s">
        <v>287</v>
      </c>
      <c r="O300" s="174"/>
      <c r="P300" s="174"/>
      <c r="Q300" s="174"/>
      <c r="R300" s="174"/>
      <c r="S300" s="174"/>
      <c r="T300" s="174"/>
      <c r="U300" s="174"/>
      <c r="V300" s="21"/>
      <c r="W300" s="198"/>
      <c r="X300" s="21"/>
      <c r="Y300" s="212"/>
      <c r="Z300" s="212"/>
      <c r="AA300" s="21"/>
      <c r="AB300" s="198"/>
      <c r="AC300" s="21"/>
      <c r="AD300" s="212"/>
      <c r="AE300" s="212"/>
      <c r="AF300" s="21"/>
      <c r="AG300" s="198"/>
      <c r="AH300" s="21"/>
      <c r="AI300" s="212"/>
      <c r="AJ300" s="212"/>
      <c r="AK300" s="21"/>
      <c r="AL300" s="198"/>
      <c r="AM300" s="21"/>
      <c r="AN300" s="212"/>
      <c r="AO300" s="212"/>
      <c r="AP300" s="212"/>
      <c r="AQ300" s="21"/>
      <c r="AR300" s="211"/>
      <c r="AS300" s="21"/>
      <c r="AT300" s="211"/>
      <c r="AU300" s="211"/>
      <c r="AV300" s="21" t="e">
        <f t="shared" si="716"/>
        <v>#REF!</v>
      </c>
      <c r="AW300" s="25" t="e">
        <f>#REF!-AR300</f>
        <v>#REF!</v>
      </c>
      <c r="AX300" s="25" t="e">
        <f>#REF!-AS300</f>
        <v>#REF!</v>
      </c>
      <c r="AY300" s="25" t="e">
        <f>#REF!-AT300</f>
        <v>#REF!</v>
      </c>
      <c r="AZ300" s="25" t="e">
        <f>#REF!-AU300</f>
        <v>#REF!</v>
      </c>
      <c r="BA300" s="21"/>
      <c r="BB300" s="211"/>
      <c r="BC300" s="21"/>
      <c r="BD300" s="211"/>
      <c r="BE300" s="211"/>
      <c r="BF300" s="21"/>
      <c r="BG300" s="213"/>
      <c r="BH300" s="21"/>
      <c r="BI300" s="213"/>
      <c r="BJ300" s="213"/>
      <c r="BK300" s="21"/>
      <c r="BL300" s="211"/>
      <c r="BM300" s="21"/>
      <c r="BN300" s="211"/>
      <c r="BO300" s="211"/>
      <c r="BP300" s="21"/>
      <c r="BQ300" s="213"/>
      <c r="BR300" s="21"/>
      <c r="BS300" s="213"/>
      <c r="BT300" s="213"/>
      <c r="BU300" s="21"/>
      <c r="BV300" s="213"/>
      <c r="BW300" s="213"/>
      <c r="BX300" s="213"/>
      <c r="BY300" s="213"/>
      <c r="BZ300" s="214">
        <f t="shared" si="639"/>
        <v>0</v>
      </c>
      <c r="CA300" s="21"/>
      <c r="CB300" s="213"/>
      <c r="CC300" s="213"/>
      <c r="CD300" s="213"/>
      <c r="CE300" s="213"/>
      <c r="CF300" s="25">
        <f t="shared" si="640"/>
        <v>0</v>
      </c>
      <c r="CG300" s="25">
        <f t="shared" si="641"/>
        <v>0</v>
      </c>
      <c r="CH300" s="25">
        <f t="shared" si="642"/>
        <v>0</v>
      </c>
      <c r="CI300" s="25">
        <f t="shared" si="643"/>
        <v>0</v>
      </c>
      <c r="CJ300" s="25"/>
      <c r="CN300" s="21"/>
      <c r="CO300" s="213"/>
      <c r="CP300" s="21"/>
      <c r="CQ300" s="213"/>
      <c r="CR300" s="213"/>
      <c r="CS300" s="21"/>
      <c r="CT300" s="213"/>
      <c r="CU300" s="21"/>
      <c r="CV300" s="213"/>
      <c r="CW300" s="213"/>
      <c r="CX300" s="21"/>
      <c r="CY300" s="213"/>
      <c r="CZ300" s="213"/>
      <c r="DA300" s="213"/>
      <c r="DB300" s="213"/>
      <c r="DF300" s="169"/>
      <c r="DG300" s="57"/>
      <c r="DH300" s="57"/>
      <c r="DI300" s="170"/>
      <c r="DK300" s="59"/>
      <c r="DL300" s="59"/>
      <c r="DM300" s="59"/>
      <c r="DN300" s="59"/>
      <c r="DQ300" s="21"/>
      <c r="DR300" s="211"/>
      <c r="DS300" s="21"/>
      <c r="DT300" s="211"/>
      <c r="DU300" s="211"/>
      <c r="DV300" s="21"/>
      <c r="DW300" s="211"/>
      <c r="DX300" s="21"/>
      <c r="DY300" s="215"/>
      <c r="DZ300" s="211"/>
    </row>
    <row r="301" spans="2:200" ht="14.25" hidden="1" customHeight="1" x14ac:dyDescent="0.3">
      <c r="M301" s="173"/>
      <c r="N301" s="174" t="s">
        <v>286</v>
      </c>
      <c r="O301" s="174"/>
      <c r="P301" s="174"/>
      <c r="Q301" s="174"/>
      <c r="R301" s="174"/>
      <c r="S301" s="174"/>
      <c r="T301" s="174"/>
      <c r="U301" s="174"/>
      <c r="V301" s="21"/>
      <c r="W301" s="198"/>
      <c r="X301" s="21"/>
      <c r="Y301" s="212"/>
      <c r="Z301" s="212"/>
      <c r="AA301" s="21"/>
      <c r="AB301" s="198"/>
      <c r="AC301" s="21"/>
      <c r="AD301" s="212"/>
      <c r="AE301" s="212"/>
      <c r="AF301" s="21"/>
      <c r="AG301" s="198"/>
      <c r="AH301" s="21"/>
      <c r="AI301" s="212"/>
      <c r="AJ301" s="212"/>
      <c r="AK301" s="21"/>
      <c r="AL301" s="198"/>
      <c r="AM301" s="21"/>
      <c r="AN301" s="212"/>
      <c r="AO301" s="212"/>
      <c r="AP301" s="212"/>
      <c r="AQ301" s="21"/>
      <c r="AR301" s="211"/>
      <c r="AS301" s="21"/>
      <c r="AT301" s="211"/>
      <c r="AU301" s="211"/>
      <c r="AV301" s="21" t="e">
        <f t="shared" si="716"/>
        <v>#REF!</v>
      </c>
      <c r="AW301" s="25" t="e">
        <f>#REF!-AR301</f>
        <v>#REF!</v>
      </c>
      <c r="AX301" s="25" t="e">
        <f>#REF!-AS301</f>
        <v>#REF!</v>
      </c>
      <c r="AY301" s="25" t="e">
        <f>#REF!-AT301</f>
        <v>#REF!</v>
      </c>
      <c r="AZ301" s="25" t="e">
        <f>#REF!-AU301</f>
        <v>#REF!</v>
      </c>
      <c r="BA301" s="21"/>
      <c r="BB301" s="211"/>
      <c r="BC301" s="21"/>
      <c r="BD301" s="211"/>
      <c r="BE301" s="211"/>
      <c r="BF301" s="21"/>
      <c r="BG301" s="213"/>
      <c r="BH301" s="21"/>
      <c r="BI301" s="213"/>
      <c r="BJ301" s="213"/>
      <c r="BK301" s="21"/>
      <c r="BL301" s="211"/>
      <c r="BM301" s="21"/>
      <c r="BN301" s="211"/>
      <c r="BO301" s="211"/>
      <c r="BP301" s="21"/>
      <c r="BQ301" s="213"/>
      <c r="BR301" s="21"/>
      <c r="BS301" s="213"/>
      <c r="BT301" s="213"/>
      <c r="BU301" s="21"/>
      <c r="BV301" s="213"/>
      <c r="BW301" s="213"/>
      <c r="BX301" s="213"/>
      <c r="BY301" s="213"/>
      <c r="BZ301" s="214">
        <f t="shared" si="639"/>
        <v>0</v>
      </c>
      <c r="CA301" s="21"/>
      <c r="CB301" s="213"/>
      <c r="CC301" s="213"/>
      <c r="CD301" s="213"/>
      <c r="CE301" s="213"/>
      <c r="CF301" s="25">
        <f t="shared" si="640"/>
        <v>0</v>
      </c>
      <c r="CG301" s="25">
        <f t="shared" si="641"/>
        <v>0</v>
      </c>
      <c r="CH301" s="25">
        <f t="shared" si="642"/>
        <v>0</v>
      </c>
      <c r="CI301" s="25">
        <f t="shared" si="643"/>
        <v>0</v>
      </c>
      <c r="CJ301" s="25"/>
      <c r="CN301" s="21"/>
      <c r="CO301" s="213"/>
      <c r="CP301" s="21"/>
      <c r="CQ301" s="213"/>
      <c r="CR301" s="213"/>
      <c r="CS301" s="21"/>
      <c r="CT301" s="213"/>
      <c r="CU301" s="21"/>
      <c r="CV301" s="213"/>
      <c r="CW301" s="213"/>
      <c r="CX301" s="21"/>
      <c r="CY301" s="213"/>
      <c r="CZ301" s="213"/>
      <c r="DA301" s="213"/>
      <c r="DB301" s="213"/>
      <c r="DF301" s="169"/>
      <c r="DG301" s="57"/>
      <c r="DH301" s="57"/>
      <c r="DI301" s="170"/>
      <c r="DK301" s="59"/>
      <c r="DL301" s="59"/>
      <c r="DM301" s="59"/>
      <c r="DN301" s="59"/>
      <c r="DQ301" s="21"/>
      <c r="DR301" s="211"/>
      <c r="DS301" s="21"/>
      <c r="DT301" s="211"/>
      <c r="DU301" s="211"/>
      <c r="DV301" s="21"/>
      <c r="DW301" s="211"/>
      <c r="DX301" s="21"/>
      <c r="DY301" s="215"/>
      <c r="DZ301" s="211"/>
    </row>
    <row r="302" spans="2:200" ht="14.25" hidden="1" customHeight="1" x14ac:dyDescent="0.3">
      <c r="M302" s="422" t="s">
        <v>290</v>
      </c>
      <c r="N302" s="429"/>
      <c r="O302" s="216"/>
      <c r="P302" s="216"/>
      <c r="Q302" s="216"/>
      <c r="R302" s="216"/>
      <c r="S302" s="216"/>
      <c r="T302" s="216"/>
      <c r="U302" s="216"/>
      <c r="V302" s="22">
        <f>V303+V304</f>
        <v>0</v>
      </c>
      <c r="W302" s="198"/>
      <c r="X302" s="22">
        <f>X303+X304</f>
        <v>0</v>
      </c>
      <c r="Y302" s="212"/>
      <c r="Z302" s="212"/>
      <c r="AA302" s="22">
        <f>AA303+AA304</f>
        <v>0</v>
      </c>
      <c r="AB302" s="198"/>
      <c r="AC302" s="22">
        <f>AC303+AC304</f>
        <v>0</v>
      </c>
      <c r="AD302" s="212"/>
      <c r="AE302" s="212"/>
      <c r="AF302" s="22">
        <f>AF303+AF304</f>
        <v>0</v>
      </c>
      <c r="AG302" s="198"/>
      <c r="AH302" s="22">
        <f>AH303+AH304</f>
        <v>0</v>
      </c>
      <c r="AI302" s="212"/>
      <c r="AJ302" s="212"/>
      <c r="AK302" s="22">
        <f>AK303+AK304</f>
        <v>0</v>
      </c>
      <c r="AL302" s="198"/>
      <c r="AM302" s="22">
        <f>AM303+AM304</f>
        <v>0</v>
      </c>
      <c r="AN302" s="212"/>
      <c r="AO302" s="212"/>
      <c r="AP302" s="212"/>
      <c r="AQ302" s="22">
        <f>AQ303+AQ304</f>
        <v>0</v>
      </c>
      <c r="AR302" s="211"/>
      <c r="AS302" s="22">
        <f>AS303+AS304</f>
        <v>0</v>
      </c>
      <c r="AT302" s="211"/>
      <c r="AU302" s="211"/>
      <c r="AV302" s="21" t="e">
        <f t="shared" si="716"/>
        <v>#REF!</v>
      </c>
      <c r="AW302" s="25" t="e">
        <f>#REF!-AR302</f>
        <v>#REF!</v>
      </c>
      <c r="AX302" s="25" t="e">
        <f>#REF!-AS302</f>
        <v>#REF!</v>
      </c>
      <c r="AY302" s="25" t="e">
        <f>#REF!-AT302</f>
        <v>#REF!</v>
      </c>
      <c r="AZ302" s="25" t="e">
        <f>#REF!-AU302</f>
        <v>#REF!</v>
      </c>
      <c r="BA302" s="22">
        <f>BA303+BA304</f>
        <v>0</v>
      </c>
      <c r="BB302" s="211"/>
      <c r="BC302" s="22">
        <f>BC303+BC304</f>
        <v>0</v>
      </c>
      <c r="BD302" s="211"/>
      <c r="BE302" s="211"/>
      <c r="BF302" s="22">
        <f>BF303+BF304</f>
        <v>0</v>
      </c>
      <c r="BG302" s="213"/>
      <c r="BH302" s="22">
        <f>BH303+BH304</f>
        <v>0</v>
      </c>
      <c r="BI302" s="213"/>
      <c r="BJ302" s="213"/>
      <c r="BK302" s="22">
        <f>BK303+BK304</f>
        <v>0</v>
      </c>
      <c r="BL302" s="211"/>
      <c r="BM302" s="22">
        <f>BM303+BM304</f>
        <v>0</v>
      </c>
      <c r="BN302" s="211"/>
      <c r="BO302" s="211"/>
      <c r="BP302" s="22">
        <f>BP303+BP304</f>
        <v>0</v>
      </c>
      <c r="BQ302" s="213"/>
      <c r="BR302" s="22">
        <f>BR303+BR304</f>
        <v>0</v>
      </c>
      <c r="BS302" s="213"/>
      <c r="BT302" s="213"/>
      <c r="BU302" s="22">
        <f>BU303+BU304</f>
        <v>0</v>
      </c>
      <c r="BV302" s="213"/>
      <c r="BW302" s="213">
        <f>BW303+BW304</f>
        <v>0</v>
      </c>
      <c r="BX302" s="213"/>
      <c r="BY302" s="213"/>
      <c r="BZ302" s="214">
        <f t="shared" si="639"/>
        <v>0</v>
      </c>
      <c r="CA302" s="22">
        <f>CA303+CA304</f>
        <v>0</v>
      </c>
      <c r="CB302" s="213"/>
      <c r="CC302" s="213">
        <f>CC303+CC304</f>
        <v>0</v>
      </c>
      <c r="CD302" s="213"/>
      <c r="CE302" s="213"/>
      <c r="CF302" s="22">
        <f t="shared" si="640"/>
        <v>0</v>
      </c>
      <c r="CG302" s="213">
        <f t="shared" si="641"/>
        <v>0</v>
      </c>
      <c r="CH302" s="22">
        <f t="shared" si="642"/>
        <v>0</v>
      </c>
      <c r="CI302" s="213">
        <f t="shared" si="643"/>
        <v>0</v>
      </c>
      <c r="CJ302" s="213"/>
      <c r="CN302" s="22">
        <f>CN303+CN304</f>
        <v>0</v>
      </c>
      <c r="CO302" s="213"/>
      <c r="CP302" s="22">
        <f>CP303+CP304</f>
        <v>0</v>
      </c>
      <c r="CQ302" s="213"/>
      <c r="CR302" s="213"/>
      <c r="CS302" s="22">
        <f>CS303+CS304</f>
        <v>0</v>
      </c>
      <c r="CT302" s="213"/>
      <c r="CU302" s="22">
        <f>CU303+CU304</f>
        <v>0</v>
      </c>
      <c r="CV302" s="213"/>
      <c r="CW302" s="213"/>
      <c r="CX302" s="22">
        <f>CX303+CX304</f>
        <v>0</v>
      </c>
      <c r="CY302" s="213"/>
      <c r="CZ302" s="213"/>
      <c r="DA302" s="213"/>
      <c r="DB302" s="213"/>
      <c r="DF302" s="169"/>
      <c r="DG302" s="57"/>
      <c r="DH302" s="57"/>
      <c r="DI302" s="170"/>
      <c r="DK302" s="59"/>
      <c r="DL302" s="59"/>
      <c r="DM302" s="59"/>
      <c r="DN302" s="59"/>
      <c r="DQ302" s="22">
        <f>DQ303+DQ304</f>
        <v>0</v>
      </c>
      <c r="DR302" s="211"/>
      <c r="DS302" s="22">
        <f>DS303+DS304</f>
        <v>0</v>
      </c>
      <c r="DT302" s="211"/>
      <c r="DU302" s="211"/>
      <c r="DV302" s="22">
        <f>DV303+DV304</f>
        <v>0</v>
      </c>
      <c r="DW302" s="211"/>
      <c r="DX302" s="22">
        <f>DX303+DX304</f>
        <v>0</v>
      </c>
      <c r="DY302" s="215"/>
      <c r="DZ302" s="211"/>
    </row>
    <row r="303" spans="2:200" ht="14.25" hidden="1" customHeight="1" x14ac:dyDescent="0.3">
      <c r="M303" s="217"/>
      <c r="N303" s="174" t="s">
        <v>287</v>
      </c>
      <c r="O303" s="174"/>
      <c r="P303" s="174"/>
      <c r="Q303" s="174"/>
      <c r="R303" s="174"/>
      <c r="S303" s="174"/>
      <c r="T303" s="174"/>
      <c r="U303" s="174"/>
      <c r="V303" s="21"/>
      <c r="W303" s="198"/>
      <c r="X303" s="21"/>
      <c r="Y303" s="212"/>
      <c r="Z303" s="212"/>
      <c r="AA303" s="21"/>
      <c r="AB303" s="198"/>
      <c r="AC303" s="21"/>
      <c r="AD303" s="212"/>
      <c r="AE303" s="212"/>
      <c r="AF303" s="21"/>
      <c r="AG303" s="198"/>
      <c r="AH303" s="21"/>
      <c r="AI303" s="212"/>
      <c r="AJ303" s="212"/>
      <c r="AK303" s="21"/>
      <c r="AL303" s="198"/>
      <c r="AM303" s="21"/>
      <c r="AN303" s="212"/>
      <c r="AO303" s="212"/>
      <c r="AP303" s="212"/>
      <c r="AQ303" s="21"/>
      <c r="AR303" s="211"/>
      <c r="AS303" s="21"/>
      <c r="AT303" s="211"/>
      <c r="AU303" s="211"/>
      <c r="AV303" s="21" t="e">
        <f t="shared" si="716"/>
        <v>#REF!</v>
      </c>
      <c r="AW303" s="25" t="e">
        <f>#REF!-AR303</f>
        <v>#REF!</v>
      </c>
      <c r="AX303" s="25" t="e">
        <f>#REF!-AS303</f>
        <v>#REF!</v>
      </c>
      <c r="AY303" s="25" t="e">
        <f>#REF!-AT303</f>
        <v>#REF!</v>
      </c>
      <c r="AZ303" s="25" t="e">
        <f>#REF!-AU303</f>
        <v>#REF!</v>
      </c>
      <c r="BA303" s="21"/>
      <c r="BB303" s="211"/>
      <c r="BC303" s="21"/>
      <c r="BD303" s="211"/>
      <c r="BE303" s="211"/>
      <c r="BF303" s="21"/>
      <c r="BG303" s="213"/>
      <c r="BH303" s="21"/>
      <c r="BI303" s="213"/>
      <c r="BJ303" s="213"/>
      <c r="BK303" s="21"/>
      <c r="BL303" s="211"/>
      <c r="BM303" s="21"/>
      <c r="BN303" s="211"/>
      <c r="BO303" s="211"/>
      <c r="BP303" s="21"/>
      <c r="BQ303" s="213"/>
      <c r="BR303" s="21"/>
      <c r="BS303" s="213"/>
      <c r="BT303" s="213"/>
      <c r="BU303" s="21"/>
      <c r="BV303" s="213"/>
      <c r="BW303" s="213"/>
      <c r="BX303" s="213"/>
      <c r="BY303" s="213"/>
      <c r="BZ303" s="214">
        <f t="shared" si="639"/>
        <v>0</v>
      </c>
      <c r="CA303" s="21"/>
      <c r="CB303" s="213"/>
      <c r="CC303" s="213"/>
      <c r="CD303" s="213"/>
      <c r="CE303" s="213"/>
      <c r="CF303" s="25">
        <f t="shared" si="640"/>
        <v>0</v>
      </c>
      <c r="CG303" s="25">
        <f t="shared" si="641"/>
        <v>0</v>
      </c>
      <c r="CH303" s="25">
        <f t="shared" si="642"/>
        <v>0</v>
      </c>
      <c r="CI303" s="25">
        <f t="shared" si="643"/>
        <v>0</v>
      </c>
      <c r="CJ303" s="25"/>
      <c r="CN303" s="21"/>
      <c r="CO303" s="213"/>
      <c r="CP303" s="21"/>
      <c r="CQ303" s="213"/>
      <c r="CR303" s="213"/>
      <c r="CS303" s="21"/>
      <c r="CT303" s="213"/>
      <c r="CU303" s="21"/>
      <c r="CV303" s="213"/>
      <c r="CW303" s="213"/>
      <c r="CX303" s="21"/>
      <c r="CY303" s="213"/>
      <c r="CZ303" s="213"/>
      <c r="DA303" s="213"/>
      <c r="DB303" s="213"/>
      <c r="DF303" s="169"/>
      <c r="DG303" s="57"/>
      <c r="DH303" s="57"/>
      <c r="DI303" s="170"/>
      <c r="DK303" s="59"/>
      <c r="DL303" s="59"/>
      <c r="DM303" s="59"/>
      <c r="DN303" s="59"/>
      <c r="DQ303" s="21">
        <f>DS303</f>
        <v>0</v>
      </c>
      <c r="DR303" s="211"/>
      <c r="DS303" s="21"/>
      <c r="DT303" s="211"/>
      <c r="DU303" s="211"/>
      <c r="DV303" s="21">
        <f>DX303</f>
        <v>0</v>
      </c>
      <c r="DW303" s="211"/>
      <c r="DX303" s="21"/>
      <c r="DY303" s="215"/>
      <c r="DZ303" s="211"/>
    </row>
    <row r="304" spans="2:200" ht="14.25" hidden="1" customHeight="1" x14ac:dyDescent="0.3">
      <c r="M304" s="217"/>
      <c r="N304" s="174" t="s">
        <v>286</v>
      </c>
      <c r="O304" s="174"/>
      <c r="P304" s="174"/>
      <c r="Q304" s="174"/>
      <c r="R304" s="174"/>
      <c r="S304" s="174"/>
      <c r="T304" s="174"/>
      <c r="U304" s="174"/>
      <c r="V304" s="21"/>
      <c r="W304" s="198"/>
      <c r="X304" s="21"/>
      <c r="Y304" s="212"/>
      <c r="Z304" s="212"/>
      <c r="AA304" s="21"/>
      <c r="AB304" s="198"/>
      <c r="AC304" s="21"/>
      <c r="AD304" s="212"/>
      <c r="AE304" s="212"/>
      <c r="AF304" s="21"/>
      <c r="AG304" s="198"/>
      <c r="AH304" s="21"/>
      <c r="AI304" s="212"/>
      <c r="AJ304" s="212"/>
      <c r="AK304" s="21"/>
      <c r="AL304" s="198"/>
      <c r="AM304" s="21"/>
      <c r="AN304" s="212"/>
      <c r="AO304" s="212"/>
      <c r="AP304" s="212"/>
      <c r="AQ304" s="21"/>
      <c r="AR304" s="211"/>
      <c r="AS304" s="21"/>
      <c r="AT304" s="211"/>
      <c r="AU304" s="211"/>
      <c r="AV304" s="21"/>
      <c r="AW304" s="211"/>
      <c r="AX304" s="211" t="e">
        <f>#REF!-AS304</f>
        <v>#REF!</v>
      </c>
      <c r="AY304" s="211"/>
      <c r="AZ304" s="211"/>
      <c r="BA304" s="21"/>
      <c r="BB304" s="211"/>
      <c r="BC304" s="21"/>
      <c r="BD304" s="211"/>
      <c r="BE304" s="211"/>
      <c r="BF304" s="21"/>
      <c r="BG304" s="213"/>
      <c r="BH304" s="21"/>
      <c r="BI304" s="213"/>
      <c r="BJ304" s="213"/>
      <c r="BK304" s="21"/>
      <c r="BL304" s="211"/>
      <c r="BM304" s="21"/>
      <c r="BN304" s="211"/>
      <c r="BO304" s="211"/>
      <c r="BP304" s="21"/>
      <c r="BQ304" s="213"/>
      <c r="BR304" s="21"/>
      <c r="BS304" s="213"/>
      <c r="BT304" s="213"/>
      <c r="BU304" s="21"/>
      <c r="BV304" s="213"/>
      <c r="BW304" s="213"/>
      <c r="BX304" s="213"/>
      <c r="BY304" s="213"/>
      <c r="BZ304" s="214">
        <f t="shared" si="639"/>
        <v>0</v>
      </c>
      <c r="CA304" s="21"/>
      <c r="CB304" s="213"/>
      <c r="CC304" s="213"/>
      <c r="CD304" s="213"/>
      <c r="CE304" s="213"/>
      <c r="CF304" s="25">
        <f t="shared" si="640"/>
        <v>0</v>
      </c>
      <c r="CG304" s="25">
        <f t="shared" si="641"/>
        <v>0</v>
      </c>
      <c r="CH304" s="25">
        <f t="shared" si="642"/>
        <v>0</v>
      </c>
      <c r="CI304" s="25">
        <f t="shared" si="643"/>
        <v>0</v>
      </c>
      <c r="CJ304" s="25"/>
      <c r="CN304" s="21"/>
      <c r="CO304" s="213"/>
      <c r="CP304" s="21"/>
      <c r="CQ304" s="213"/>
      <c r="CR304" s="213"/>
      <c r="CS304" s="21"/>
      <c r="CT304" s="213"/>
      <c r="CU304" s="21"/>
      <c r="CV304" s="213"/>
      <c r="CW304" s="213"/>
      <c r="CX304" s="21"/>
      <c r="CY304" s="213"/>
      <c r="CZ304" s="213"/>
      <c r="DA304" s="213"/>
      <c r="DB304" s="213"/>
      <c r="DF304" s="169"/>
      <c r="DG304" s="57"/>
      <c r="DH304" s="57"/>
      <c r="DI304" s="170"/>
      <c r="DK304" s="59"/>
      <c r="DL304" s="59"/>
      <c r="DM304" s="59"/>
      <c r="DN304" s="59"/>
      <c r="DQ304" s="21"/>
      <c r="DR304" s="211"/>
      <c r="DS304" s="21"/>
      <c r="DT304" s="211"/>
      <c r="DU304" s="211"/>
      <c r="DV304" s="21"/>
      <c r="DW304" s="211"/>
      <c r="DX304" s="21"/>
      <c r="DY304" s="215"/>
      <c r="DZ304" s="211"/>
    </row>
    <row r="305" spans="2:200" ht="14.25" hidden="1" customHeight="1" x14ac:dyDescent="0.3">
      <c r="M305" s="217"/>
      <c r="N305" s="218"/>
      <c r="O305" s="218"/>
      <c r="P305" s="218"/>
      <c r="Q305" s="218"/>
      <c r="R305" s="218"/>
      <c r="S305" s="218"/>
      <c r="T305" s="218"/>
      <c r="U305" s="218"/>
      <c r="V305" s="22"/>
      <c r="W305" s="198"/>
      <c r="X305" s="212"/>
      <c r="Y305" s="212"/>
      <c r="Z305" s="212"/>
      <c r="AA305" s="22"/>
      <c r="AB305" s="198"/>
      <c r="AC305" s="212"/>
      <c r="AD305" s="212"/>
      <c r="AE305" s="212"/>
      <c r="AF305" s="22"/>
      <c r="AG305" s="198"/>
      <c r="AH305" s="212"/>
      <c r="AI305" s="212"/>
      <c r="AJ305" s="212"/>
      <c r="AK305" s="22"/>
      <c r="AL305" s="198"/>
      <c r="AM305" s="212"/>
      <c r="AN305" s="212"/>
      <c r="AO305" s="212"/>
      <c r="AP305" s="212"/>
      <c r="AQ305" s="213"/>
      <c r="AR305" s="211"/>
      <c r="AS305" s="211"/>
      <c r="AT305" s="211"/>
      <c r="AU305" s="211"/>
      <c r="AV305" s="211"/>
      <c r="AW305" s="211"/>
      <c r="AX305" s="211"/>
      <c r="AY305" s="211"/>
      <c r="AZ305" s="211"/>
      <c r="BA305" s="211"/>
      <c r="BB305" s="211"/>
      <c r="BC305" s="211"/>
      <c r="BD305" s="211"/>
      <c r="BE305" s="211"/>
      <c r="BF305" s="213"/>
      <c r="BG305" s="213"/>
      <c r="BH305" s="213"/>
      <c r="BI305" s="213"/>
      <c r="BJ305" s="213"/>
      <c r="BK305" s="211"/>
      <c r="BL305" s="211"/>
      <c r="BM305" s="211"/>
      <c r="BN305" s="211"/>
      <c r="BO305" s="211"/>
      <c r="BP305" s="213"/>
      <c r="BQ305" s="213"/>
      <c r="BR305" s="213"/>
      <c r="BS305" s="213"/>
      <c r="BT305" s="213"/>
      <c r="BU305" s="213"/>
      <c r="BV305" s="213"/>
      <c r="BW305" s="213"/>
      <c r="BX305" s="213"/>
      <c r="BY305" s="213"/>
      <c r="BZ305" s="214">
        <f t="shared" si="639"/>
        <v>0</v>
      </c>
      <c r="CA305" s="213"/>
      <c r="CB305" s="213"/>
      <c r="CC305" s="213"/>
      <c r="CD305" s="213"/>
      <c r="CE305" s="213"/>
      <c r="CF305" s="213">
        <f t="shared" si="640"/>
        <v>0</v>
      </c>
      <c r="CG305" s="213">
        <f t="shared" si="641"/>
        <v>0</v>
      </c>
      <c r="CH305" s="213">
        <f t="shared" si="642"/>
        <v>0</v>
      </c>
      <c r="CI305" s="213">
        <f t="shared" si="643"/>
        <v>0</v>
      </c>
      <c r="CJ305" s="213"/>
      <c r="CN305" s="213"/>
      <c r="CO305" s="213"/>
      <c r="CP305" s="213"/>
      <c r="CQ305" s="213"/>
      <c r="CR305" s="213"/>
      <c r="CS305" s="213"/>
      <c r="CT305" s="213"/>
      <c r="CU305" s="213"/>
      <c r="CV305" s="213"/>
      <c r="CW305" s="213"/>
      <c r="CX305" s="213"/>
      <c r="CY305" s="213"/>
      <c r="CZ305" s="213"/>
      <c r="DA305" s="213"/>
      <c r="DB305" s="213"/>
      <c r="DF305" s="169"/>
      <c r="DG305" s="57"/>
      <c r="DH305" s="57"/>
      <c r="DI305" s="170"/>
      <c r="DK305" s="59"/>
      <c r="DL305" s="59"/>
      <c r="DM305" s="59"/>
      <c r="DN305" s="59"/>
      <c r="DQ305" s="211"/>
      <c r="DR305" s="211"/>
      <c r="DS305" s="211"/>
      <c r="DT305" s="211"/>
      <c r="DU305" s="211"/>
      <c r="DV305" s="211"/>
      <c r="DW305" s="211"/>
      <c r="DX305" s="211"/>
      <c r="DY305" s="215"/>
      <c r="DZ305" s="211"/>
    </row>
    <row r="306" spans="2:200" ht="15.75" hidden="1" customHeight="1" x14ac:dyDescent="0.3">
      <c r="M306" s="431" t="s">
        <v>284</v>
      </c>
      <c r="N306" s="432"/>
      <c r="O306" s="219"/>
      <c r="P306" s="219"/>
      <c r="Q306" s="219"/>
      <c r="R306" s="219"/>
      <c r="S306" s="219"/>
      <c r="T306" s="219"/>
      <c r="U306" s="219"/>
      <c r="V306" s="43">
        <f t="shared" ref="V306:Z306" si="717">V292+V296</f>
        <v>1073076.5789999999</v>
      </c>
      <c r="W306" s="43">
        <f t="shared" si="717"/>
        <v>594427.951</v>
      </c>
      <c r="X306" s="43">
        <f t="shared" si="717"/>
        <v>223922.57699999999</v>
      </c>
      <c r="Y306" s="43">
        <f t="shared" si="717"/>
        <v>254726.05100000004</v>
      </c>
      <c r="Z306" s="43">
        <f t="shared" si="717"/>
        <v>0</v>
      </c>
      <c r="AA306" s="43">
        <f t="shared" ref="AA306:AE306" si="718">AA292+AA296</f>
        <v>1063871.942</v>
      </c>
      <c r="AB306" s="43">
        <f t="shared" si="718"/>
        <v>579145.89100000006</v>
      </c>
      <c r="AC306" s="43">
        <f t="shared" si="718"/>
        <v>230000.00000000003</v>
      </c>
      <c r="AD306" s="43">
        <f t="shared" si="718"/>
        <v>254726.05099999998</v>
      </c>
      <c r="AE306" s="43">
        <f t="shared" si="718"/>
        <v>0</v>
      </c>
      <c r="AF306" s="43">
        <f t="shared" ref="AF306:AJ306" si="719">AF292+AF296</f>
        <v>1071836.1440000001</v>
      </c>
      <c r="AG306" s="43">
        <f t="shared" si="719"/>
        <v>587110.09299999999</v>
      </c>
      <c r="AH306" s="43">
        <f t="shared" si="719"/>
        <v>230000.00000000003</v>
      </c>
      <c r="AI306" s="43">
        <f t="shared" si="719"/>
        <v>254726.05100000001</v>
      </c>
      <c r="AJ306" s="43">
        <f t="shared" si="719"/>
        <v>0</v>
      </c>
      <c r="AK306" s="43">
        <f t="shared" ref="AK306:BY306" si="720">AK292+AK296</f>
        <v>683000</v>
      </c>
      <c r="AL306" s="43">
        <f t="shared" si="720"/>
        <v>421431.3</v>
      </c>
      <c r="AM306" s="43">
        <f t="shared" si="720"/>
        <v>100000</v>
      </c>
      <c r="AN306" s="43">
        <f t="shared" si="720"/>
        <v>161568.70000000001</v>
      </c>
      <c r="AO306" s="43">
        <f t="shared" si="720"/>
        <v>0</v>
      </c>
      <c r="AP306" s="43">
        <f t="shared" si="720"/>
        <v>0</v>
      </c>
      <c r="AQ306" s="43">
        <f t="shared" si="720"/>
        <v>1073076.5789999999</v>
      </c>
      <c r="AR306" s="22">
        <f t="shared" si="720"/>
        <v>594427.951</v>
      </c>
      <c r="AS306" s="22">
        <f t="shared" si="720"/>
        <v>223922.57699999999</v>
      </c>
      <c r="AT306" s="22">
        <f t="shared" si="720"/>
        <v>254726.05100000004</v>
      </c>
      <c r="AU306" s="22">
        <f t="shared" si="720"/>
        <v>0</v>
      </c>
      <c r="AV306" s="22" t="e">
        <f t="shared" si="720"/>
        <v>#REF!</v>
      </c>
      <c r="AW306" s="22" t="e">
        <f t="shared" si="720"/>
        <v>#REF!</v>
      </c>
      <c r="AX306" s="22" t="e">
        <f t="shared" si="720"/>
        <v>#REF!</v>
      </c>
      <c r="AY306" s="22" t="e">
        <f t="shared" si="720"/>
        <v>#REF!</v>
      </c>
      <c r="AZ306" s="22" t="e">
        <f t="shared" si="720"/>
        <v>#REF!</v>
      </c>
      <c r="BA306" s="22">
        <f t="shared" si="720"/>
        <v>793737.85177999991</v>
      </c>
      <c r="BB306" s="22">
        <f t="shared" si="720"/>
        <v>315089.22378</v>
      </c>
      <c r="BC306" s="22">
        <f t="shared" si="720"/>
        <v>223922.57699999999</v>
      </c>
      <c r="BD306" s="22">
        <f t="shared" si="720"/>
        <v>254726.05100000004</v>
      </c>
      <c r="BE306" s="22">
        <f t="shared" si="720"/>
        <v>0</v>
      </c>
      <c r="BF306" s="43">
        <f t="shared" si="720"/>
        <v>0</v>
      </c>
      <c r="BG306" s="43">
        <f t="shared" si="720"/>
        <v>0</v>
      </c>
      <c r="BH306" s="43">
        <f t="shared" si="720"/>
        <v>0</v>
      </c>
      <c r="BI306" s="43">
        <f t="shared" si="720"/>
        <v>0</v>
      </c>
      <c r="BJ306" s="43">
        <f t="shared" si="720"/>
        <v>0</v>
      </c>
      <c r="BK306" s="22">
        <f t="shared" si="720"/>
        <v>793737.85177999991</v>
      </c>
      <c r="BL306" s="22">
        <f t="shared" si="720"/>
        <v>315089.22378</v>
      </c>
      <c r="BM306" s="22">
        <f t="shared" si="720"/>
        <v>223922.57699999999</v>
      </c>
      <c r="BN306" s="22">
        <f t="shared" si="720"/>
        <v>254726.05100000004</v>
      </c>
      <c r="BO306" s="22">
        <f t="shared" si="720"/>
        <v>0</v>
      </c>
      <c r="BP306" s="43">
        <f t="shared" si="720"/>
        <v>766045.3470999999</v>
      </c>
      <c r="BQ306" s="43">
        <f t="shared" si="720"/>
        <v>315089.22378</v>
      </c>
      <c r="BR306" s="43">
        <f t="shared" si="720"/>
        <v>212572.74614999996</v>
      </c>
      <c r="BS306" s="43">
        <f t="shared" si="720"/>
        <v>238383.37716999999</v>
      </c>
      <c r="BT306" s="43">
        <f t="shared" si="720"/>
        <v>0</v>
      </c>
      <c r="BU306" s="43">
        <f t="shared" si="720"/>
        <v>268969.92481</v>
      </c>
      <c r="BV306" s="43">
        <f t="shared" si="720"/>
        <v>56689.70018</v>
      </c>
      <c r="BW306" s="43">
        <f t="shared" si="720"/>
        <v>128148.25510000001</v>
      </c>
      <c r="BX306" s="43">
        <f t="shared" si="720"/>
        <v>84131.969530000017</v>
      </c>
      <c r="BY306" s="43">
        <f t="shared" si="720"/>
        <v>0</v>
      </c>
      <c r="BZ306" s="8">
        <f t="shared" si="639"/>
        <v>1035015.27191</v>
      </c>
      <c r="CA306" s="43">
        <f t="shared" ref="CA306:CJ306" si="721">CA292+CA296</f>
        <v>1035015.27191</v>
      </c>
      <c r="CB306" s="43">
        <f t="shared" si="721"/>
        <v>371778.92395999999</v>
      </c>
      <c r="CC306" s="43">
        <f t="shared" si="721"/>
        <v>340721.00124999997</v>
      </c>
      <c r="CD306" s="43">
        <f t="shared" si="721"/>
        <v>322515.34669999999</v>
      </c>
      <c r="CE306" s="43">
        <f t="shared" si="721"/>
        <v>0</v>
      </c>
      <c r="CF306" s="43">
        <f t="shared" si="640"/>
        <v>27692.504680000071</v>
      </c>
      <c r="CG306" s="43">
        <f t="shared" si="641"/>
        <v>0</v>
      </c>
      <c r="CH306" s="43">
        <f t="shared" si="642"/>
        <v>11349.830850000028</v>
      </c>
      <c r="CI306" s="43">
        <f t="shared" si="643"/>
        <v>16342.673830000043</v>
      </c>
      <c r="CJ306" s="43">
        <f t="shared" si="721"/>
        <v>0</v>
      </c>
      <c r="CN306" s="43">
        <f t="shared" ref="CN306:DB306" si="722">CN292+CN296</f>
        <v>0</v>
      </c>
      <c r="CO306" s="43">
        <f t="shared" si="722"/>
        <v>0</v>
      </c>
      <c r="CP306" s="43">
        <f t="shared" si="722"/>
        <v>0</v>
      </c>
      <c r="CQ306" s="43">
        <f t="shared" si="722"/>
        <v>0</v>
      </c>
      <c r="CR306" s="43">
        <f t="shared" si="722"/>
        <v>0</v>
      </c>
      <c r="CS306" s="43">
        <f t="shared" si="722"/>
        <v>0</v>
      </c>
      <c r="CT306" s="43">
        <f t="shared" si="722"/>
        <v>0</v>
      </c>
      <c r="CU306" s="43">
        <f t="shared" si="722"/>
        <v>0</v>
      </c>
      <c r="CV306" s="43">
        <f t="shared" si="722"/>
        <v>0</v>
      </c>
      <c r="CW306" s="43">
        <f t="shared" si="722"/>
        <v>0</v>
      </c>
      <c r="CX306" s="43">
        <f t="shared" si="722"/>
        <v>0</v>
      </c>
      <c r="CY306" s="43">
        <f t="shared" si="722"/>
        <v>0</v>
      </c>
      <c r="CZ306" s="43">
        <f t="shared" si="722"/>
        <v>0</v>
      </c>
      <c r="DA306" s="43">
        <f t="shared" si="722"/>
        <v>0</v>
      </c>
      <c r="DB306" s="43">
        <f t="shared" si="722"/>
        <v>0</v>
      </c>
      <c r="DF306" s="169"/>
      <c r="DG306" s="57"/>
      <c r="DH306" s="57"/>
      <c r="DI306" s="170"/>
      <c r="DK306" s="59"/>
      <c r="DL306" s="59"/>
      <c r="DM306" s="59"/>
      <c r="DN306" s="59"/>
      <c r="DQ306" s="22">
        <f>DR306+DS306+DT306+DU306</f>
        <v>502859.72045999998</v>
      </c>
      <c r="DR306" s="22">
        <f t="shared" ref="DR306:DU306" si="723">DR292+DR296</f>
        <v>302114.80281999998</v>
      </c>
      <c r="DS306" s="22"/>
      <c r="DT306" s="22">
        <f t="shared" si="723"/>
        <v>200744.91764</v>
      </c>
      <c r="DU306" s="22">
        <f t="shared" si="723"/>
        <v>0</v>
      </c>
      <c r="DV306" s="22">
        <f>DW306+DX306+DY306+DZ306</f>
        <v>130382.64900999999</v>
      </c>
      <c r="DW306" s="22">
        <f t="shared" ref="DW306" si="724">DW292+DW296</f>
        <v>61037.786759999995</v>
      </c>
      <c r="DX306" s="22"/>
      <c r="DY306" s="151">
        <f t="shared" ref="DY306:DZ306" si="725">DY292+DY296</f>
        <v>69344.862249999991</v>
      </c>
      <c r="DZ306" s="22">
        <f t="shared" si="725"/>
        <v>0</v>
      </c>
    </row>
    <row r="307" spans="2:200" s="59" customFormat="1" ht="19.5" hidden="1" customHeight="1" x14ac:dyDescent="0.25">
      <c r="B307" s="24"/>
      <c r="C307" s="141"/>
      <c r="D307" s="24"/>
      <c r="E307" s="142"/>
      <c r="F307" s="24"/>
      <c r="G307" s="141"/>
      <c r="H307" s="24"/>
      <c r="I307" s="24"/>
      <c r="J307" s="24"/>
      <c r="K307" s="24"/>
      <c r="L307" s="24"/>
      <c r="M307" s="173"/>
      <c r="N307" s="174" t="s">
        <v>286</v>
      </c>
      <c r="O307" s="174"/>
      <c r="P307" s="174"/>
      <c r="Q307" s="174"/>
      <c r="R307" s="174"/>
      <c r="S307" s="174"/>
      <c r="T307" s="174"/>
      <c r="U307" s="174"/>
      <c r="V307" s="25">
        <f>W307+X307+Y307+Z307</f>
        <v>49023.359999999993</v>
      </c>
      <c r="W307" s="21">
        <f>W293+W297</f>
        <v>49023.359999999993</v>
      </c>
      <c r="X307" s="21">
        <f>X293+X297</f>
        <v>0</v>
      </c>
      <c r="Y307" s="21">
        <f>Y293+Y297</f>
        <v>0</v>
      </c>
      <c r="Z307" s="21">
        <f>Z293+Z297</f>
        <v>0</v>
      </c>
      <c r="AA307" s="25">
        <f>AB307+AC307+AD307+AE307</f>
        <v>33741.300000000003</v>
      </c>
      <c r="AB307" s="21">
        <f>AB293+AB297</f>
        <v>33741.300000000003</v>
      </c>
      <c r="AC307" s="21">
        <f>AC293+AC297</f>
        <v>0</v>
      </c>
      <c r="AD307" s="21">
        <f>AD293+AD297</f>
        <v>0</v>
      </c>
      <c r="AE307" s="21">
        <f>AE293+AE297</f>
        <v>0</v>
      </c>
      <c r="AF307" s="25">
        <f>AG307+AH307+AI307+AJ307</f>
        <v>97565.494999999995</v>
      </c>
      <c r="AG307" s="21">
        <f>AG293+AG297</f>
        <v>97565.494999999995</v>
      </c>
      <c r="AH307" s="21">
        <f>AH293+AH297</f>
        <v>0</v>
      </c>
      <c r="AI307" s="21">
        <f>AI293+AI297</f>
        <v>0</v>
      </c>
      <c r="AJ307" s="21">
        <f>AJ293+AJ297</f>
        <v>0</v>
      </c>
      <c r="AK307" s="25">
        <f>AL307+AM307+AN307+AO307</f>
        <v>0</v>
      </c>
      <c r="AL307" s="21">
        <f>AL293+AL297</f>
        <v>0</v>
      </c>
      <c r="AM307" s="21">
        <f>AM293+AM297</f>
        <v>0</v>
      </c>
      <c r="AN307" s="21">
        <f>AN293+AN297</f>
        <v>0</v>
      </c>
      <c r="AO307" s="21">
        <f>AO293+AO297</f>
        <v>0</v>
      </c>
      <c r="AP307" s="22"/>
      <c r="AQ307" s="25">
        <f>AR307+AS307+AT307+AU307</f>
        <v>49023.359999999993</v>
      </c>
      <c r="AR307" s="21">
        <f>AR293+AR297</f>
        <v>49023.359999999993</v>
      </c>
      <c r="AS307" s="21">
        <f>AS293+AS297</f>
        <v>0</v>
      </c>
      <c r="AT307" s="21">
        <f>AT293+AT297</f>
        <v>0</v>
      </c>
      <c r="AU307" s="21">
        <f>AU293+AU297</f>
        <v>0</v>
      </c>
      <c r="AV307" s="25" t="e">
        <f>AW307+AX307+AY307+AZ307</f>
        <v>#REF!</v>
      </c>
      <c r="AW307" s="21" t="e">
        <f>AW293+AW297</f>
        <v>#REF!</v>
      </c>
      <c r="AX307" s="21" t="e">
        <f>AX293+AX297</f>
        <v>#REF!</v>
      </c>
      <c r="AY307" s="21" t="e">
        <f>AY293+AY297</f>
        <v>#REF!</v>
      </c>
      <c r="AZ307" s="21" t="e">
        <f>AZ293+AZ297</f>
        <v>#REF!</v>
      </c>
      <c r="BA307" s="25">
        <f>BB307+BC307+BD307+BE307</f>
        <v>22388.043260000002</v>
      </c>
      <c r="BB307" s="21">
        <f>BB293+BB297</f>
        <v>22388.043260000002</v>
      </c>
      <c r="BC307" s="21">
        <f>BC293+BC297</f>
        <v>0</v>
      </c>
      <c r="BD307" s="21">
        <f>BD293+BD297</f>
        <v>0</v>
      </c>
      <c r="BE307" s="21">
        <f>BE293+BE297</f>
        <v>0</v>
      </c>
      <c r="BF307" s="25">
        <f>BG307+BH307+BI307+BJ307</f>
        <v>0</v>
      </c>
      <c r="BG307" s="21">
        <f>BG293+BG297</f>
        <v>0</v>
      </c>
      <c r="BH307" s="21">
        <f>BH293+BH297</f>
        <v>0</v>
      </c>
      <c r="BI307" s="21">
        <f>BI293+BI297</f>
        <v>0</v>
      </c>
      <c r="BJ307" s="21">
        <f>BJ293+BJ297</f>
        <v>0</v>
      </c>
      <c r="BK307" s="25">
        <f>BL307+BM307+BN307+BO307</f>
        <v>22388.043260000002</v>
      </c>
      <c r="BL307" s="21">
        <f>BL293+BL297</f>
        <v>22388.043260000002</v>
      </c>
      <c r="BM307" s="21">
        <f>BM293+BM297</f>
        <v>0</v>
      </c>
      <c r="BN307" s="21">
        <f>BN293+BN297</f>
        <v>0</v>
      </c>
      <c r="BO307" s="21">
        <f>BO293+BO297</f>
        <v>0</v>
      </c>
      <c r="BP307" s="25">
        <f>BQ307+BR307+BS307+BT307</f>
        <v>22388.043260000002</v>
      </c>
      <c r="BQ307" s="21">
        <f>BQ293+BQ297</f>
        <v>22388.043260000002</v>
      </c>
      <c r="BR307" s="21">
        <f>BR293+BR297</f>
        <v>0</v>
      </c>
      <c r="BS307" s="21">
        <f>BS293+BS297</f>
        <v>0</v>
      </c>
      <c r="BT307" s="21">
        <f>BT293+BT297</f>
        <v>0</v>
      </c>
      <c r="BU307" s="25">
        <f>BV307+BW307+BX307+BY307</f>
        <v>0</v>
      </c>
      <c r="BV307" s="21">
        <f>BV293+BV297</f>
        <v>0</v>
      </c>
      <c r="BW307" s="21">
        <f>BW293+BW297</f>
        <v>0</v>
      </c>
      <c r="BX307" s="21">
        <f>BX293+BX297</f>
        <v>0</v>
      </c>
      <c r="BY307" s="21">
        <f>BY293+BY297</f>
        <v>0</v>
      </c>
      <c r="BZ307" s="21">
        <f t="shared" si="639"/>
        <v>22388.043260000002</v>
      </c>
      <c r="CA307" s="25">
        <f>CB307+CC307+CD307+CE307</f>
        <v>22388.043260000002</v>
      </c>
      <c r="CB307" s="21">
        <f>CB293+CB297</f>
        <v>22388.043260000002</v>
      </c>
      <c r="CC307" s="21">
        <f>CC293+CC297</f>
        <v>0</v>
      </c>
      <c r="CD307" s="21">
        <f>CD293+CD297</f>
        <v>0</v>
      </c>
      <c r="CE307" s="21">
        <f>CE293+CE297</f>
        <v>0</v>
      </c>
      <c r="CF307" s="25">
        <f t="shared" si="640"/>
        <v>0</v>
      </c>
      <c r="CG307" s="21">
        <f t="shared" si="641"/>
        <v>0</v>
      </c>
      <c r="CH307" s="21">
        <f t="shared" si="642"/>
        <v>0</v>
      </c>
      <c r="CI307" s="21">
        <f t="shared" si="643"/>
        <v>0</v>
      </c>
      <c r="CJ307" s="21">
        <f>CJ293+CJ297</f>
        <v>0</v>
      </c>
      <c r="CK307" s="57"/>
      <c r="CN307" s="25">
        <f>CO307+CP307+CQ307+CR307</f>
        <v>0</v>
      </c>
      <c r="CO307" s="21">
        <f>CO293+CO297</f>
        <v>0</v>
      </c>
      <c r="CP307" s="21">
        <f>CP293+CP297</f>
        <v>0</v>
      </c>
      <c r="CQ307" s="21">
        <f>CQ293+CQ297</f>
        <v>0</v>
      </c>
      <c r="CR307" s="21">
        <f>CR293+CR297</f>
        <v>0</v>
      </c>
      <c r="CS307" s="25">
        <f>CT307+CU307+CV307+CW307</f>
        <v>0</v>
      </c>
      <c r="CT307" s="21">
        <f>CT293+CT297</f>
        <v>0</v>
      </c>
      <c r="CU307" s="21">
        <f>CU293+CU297</f>
        <v>0</v>
      </c>
      <c r="CV307" s="21">
        <f>CV293+CV297</f>
        <v>0</v>
      </c>
      <c r="CW307" s="21">
        <f>CW293+CW297</f>
        <v>0</v>
      </c>
      <c r="CX307" s="25">
        <f>CY307+CZ307+DA307+DB307</f>
        <v>0</v>
      </c>
      <c r="CY307" s="21">
        <f>CY293+CY297</f>
        <v>0</v>
      </c>
      <c r="CZ307" s="21">
        <f>CZ293+CZ297</f>
        <v>0</v>
      </c>
      <c r="DA307" s="21">
        <f>DA293+DA297</f>
        <v>0</v>
      </c>
      <c r="DB307" s="21">
        <f>DB293+DB297</f>
        <v>0</v>
      </c>
      <c r="DF307" s="169"/>
      <c r="DG307" s="57"/>
      <c r="DH307" s="57"/>
      <c r="DI307" s="170"/>
      <c r="DQ307" s="25">
        <f>DR307+DS307+DT307+DU307</f>
        <v>22388.043260000002</v>
      </c>
      <c r="DR307" s="21">
        <f>DR293+DR297</f>
        <v>22388.043260000002</v>
      </c>
      <c r="DS307" s="21"/>
      <c r="DT307" s="21">
        <f>DT293+DT297</f>
        <v>0</v>
      </c>
      <c r="DU307" s="21">
        <f>DU293+DU297</f>
        <v>0</v>
      </c>
      <c r="DV307" s="25">
        <f>DW307+DX307+DY307+DZ307</f>
        <v>69344.862249999991</v>
      </c>
      <c r="DW307" s="21">
        <f>DW293+DW297</f>
        <v>0</v>
      </c>
      <c r="DX307" s="21"/>
      <c r="DY307" s="159">
        <f>DY293+DY297</f>
        <v>69344.862249999991</v>
      </c>
      <c r="DZ307" s="21">
        <f>DZ293+DZ297</f>
        <v>0</v>
      </c>
      <c r="EA307" s="372"/>
      <c r="EB307" s="372"/>
      <c r="EC307" s="372"/>
      <c r="ED307" s="372"/>
      <c r="EE307" s="372"/>
      <c r="EF307" s="372"/>
      <c r="EG307" s="372"/>
      <c r="EH307" s="372"/>
      <c r="EI307" s="372"/>
      <c r="EJ307" s="372"/>
      <c r="EK307" s="372"/>
      <c r="EL307" s="372"/>
      <c r="EM307" s="372"/>
      <c r="EN307" s="372"/>
      <c r="EO307" s="372"/>
      <c r="EP307" s="372"/>
      <c r="EQ307" s="372"/>
      <c r="ER307" s="372"/>
      <c r="ES307" s="372"/>
      <c r="ET307" s="372"/>
      <c r="EU307" s="372"/>
      <c r="EV307" s="372"/>
      <c r="EW307" s="372"/>
      <c r="EX307" s="372"/>
      <c r="EY307" s="372"/>
      <c r="EZ307" s="372"/>
      <c r="FA307" s="372"/>
      <c r="FB307" s="372"/>
      <c r="FC307" s="372"/>
      <c r="FD307" s="372"/>
      <c r="FE307" s="372"/>
      <c r="FF307" s="372"/>
      <c r="FG307" s="372"/>
      <c r="FH307" s="372"/>
      <c r="FI307" s="372"/>
      <c r="FJ307" s="372"/>
      <c r="FK307" s="372"/>
      <c r="FL307" s="372"/>
      <c r="FM307" s="372"/>
      <c r="FN307" s="372"/>
      <c r="FO307" s="372"/>
      <c r="FP307" s="372"/>
      <c r="FQ307" s="372"/>
      <c r="FR307" s="372"/>
      <c r="FS307" s="372"/>
      <c r="FT307" s="372"/>
      <c r="FU307" s="372"/>
      <c r="FV307" s="372"/>
      <c r="FW307" s="372"/>
      <c r="FX307" s="372"/>
      <c r="FY307" s="372"/>
      <c r="FZ307" s="372"/>
      <c r="GA307" s="372"/>
      <c r="GB307" s="372"/>
      <c r="GC307" s="372"/>
      <c r="GD307" s="372"/>
      <c r="GE307" s="372"/>
      <c r="GF307" s="372"/>
      <c r="GG307" s="372"/>
      <c r="GH307" s="372"/>
      <c r="GI307" s="372"/>
      <c r="GJ307" s="372"/>
      <c r="GK307" s="372"/>
      <c r="GL307" s="372"/>
      <c r="GM307" s="372"/>
      <c r="GN307" s="372"/>
      <c r="GO307" s="372"/>
      <c r="GP307" s="372"/>
      <c r="GQ307" s="372"/>
      <c r="GR307" s="372"/>
    </row>
    <row r="308" spans="2:200" s="59" customFormat="1" ht="19.5" hidden="1" customHeight="1" x14ac:dyDescent="0.25">
      <c r="B308" s="190"/>
      <c r="C308" s="191"/>
      <c r="D308" s="190"/>
      <c r="E308" s="192"/>
      <c r="F308" s="190"/>
      <c r="G308" s="191"/>
      <c r="H308" s="190"/>
      <c r="I308" s="190"/>
      <c r="J308" s="190"/>
      <c r="K308" s="190"/>
      <c r="L308" s="190"/>
      <c r="M308" s="193"/>
      <c r="N308" s="194" t="s">
        <v>287</v>
      </c>
      <c r="O308" s="194"/>
      <c r="P308" s="194"/>
      <c r="Q308" s="194"/>
      <c r="R308" s="194"/>
      <c r="S308" s="194"/>
      <c r="T308" s="194"/>
      <c r="U308" s="194"/>
      <c r="V308" s="17">
        <f>W308+X308+Y308+Z308</f>
        <v>1024053.219</v>
      </c>
      <c r="W308" s="20">
        <f>W294+W298</f>
        <v>545404.59100000001</v>
      </c>
      <c r="X308" s="20">
        <f>X294+X298</f>
        <v>223922.57699999999</v>
      </c>
      <c r="Y308" s="20">
        <f>Y294</f>
        <v>254726.05100000004</v>
      </c>
      <c r="Z308" s="20">
        <f>Z294</f>
        <v>0</v>
      </c>
      <c r="AA308" s="17">
        <f>AB308+AC308+AD308+AE308</f>
        <v>1030130.642</v>
      </c>
      <c r="AB308" s="20">
        <f>AB294+AB298</f>
        <v>545404.59100000001</v>
      </c>
      <c r="AC308" s="20">
        <f>AC294+AC298</f>
        <v>230000.00000000003</v>
      </c>
      <c r="AD308" s="20">
        <f>AD294</f>
        <v>254726.05099999998</v>
      </c>
      <c r="AE308" s="20">
        <f>AE294</f>
        <v>0</v>
      </c>
      <c r="AF308" s="17">
        <f>AG308+AH308+AI308+AJ308</f>
        <v>974270.64899999998</v>
      </c>
      <c r="AG308" s="20">
        <f>AG294+AG298</f>
        <v>489544.598</v>
      </c>
      <c r="AH308" s="20">
        <f>AH294+AH298</f>
        <v>230000.00000000003</v>
      </c>
      <c r="AI308" s="20">
        <f>AI294</f>
        <v>254726.05100000001</v>
      </c>
      <c r="AJ308" s="20">
        <f>AJ294</f>
        <v>0</v>
      </c>
      <c r="AK308" s="17">
        <f>AL308+AM308+AN308+AO308</f>
        <v>683000</v>
      </c>
      <c r="AL308" s="20">
        <f>AL294+AL298</f>
        <v>421431.3</v>
      </c>
      <c r="AM308" s="20">
        <f>AM294+AM298</f>
        <v>100000</v>
      </c>
      <c r="AN308" s="20">
        <f>AN294</f>
        <v>161568.70000000001</v>
      </c>
      <c r="AO308" s="20">
        <f>AO294</f>
        <v>0</v>
      </c>
      <c r="AP308" s="195"/>
      <c r="AQ308" s="17">
        <f>AR308+AS308+AT308+AU308</f>
        <v>1024053.219</v>
      </c>
      <c r="AR308" s="20">
        <f>AR294+AR298</f>
        <v>545404.59100000001</v>
      </c>
      <c r="AS308" s="20">
        <f>AS294+AS298</f>
        <v>223922.57699999999</v>
      </c>
      <c r="AT308" s="20">
        <f>AT294</f>
        <v>254726.05100000004</v>
      </c>
      <c r="AU308" s="20">
        <f>AU294</f>
        <v>0</v>
      </c>
      <c r="AV308" s="17" t="e">
        <f>AW308+AX308+AY308+AZ308</f>
        <v>#REF!</v>
      </c>
      <c r="AW308" s="20" t="e">
        <f>AW294+AW298</f>
        <v>#REF!</v>
      </c>
      <c r="AX308" s="20" t="e">
        <f>AX294+AX298</f>
        <v>#REF!</v>
      </c>
      <c r="AY308" s="20">
        <f>AY294</f>
        <v>0</v>
      </c>
      <c r="AZ308" s="20" t="e">
        <f>AZ294</f>
        <v>#REF!</v>
      </c>
      <c r="BA308" s="17">
        <f>BB308+BC308+BD308+BE308</f>
        <v>771349.80851999996</v>
      </c>
      <c r="BB308" s="20">
        <f>BB294+BB298</f>
        <v>292701.18051999999</v>
      </c>
      <c r="BC308" s="20">
        <f>BC294+BC298</f>
        <v>223922.57699999999</v>
      </c>
      <c r="BD308" s="20">
        <f>BD294</f>
        <v>254726.05100000004</v>
      </c>
      <c r="BE308" s="20">
        <f>BE294</f>
        <v>0</v>
      </c>
      <c r="BF308" s="17">
        <f>BG308+BH308+BI308+BJ308</f>
        <v>0</v>
      </c>
      <c r="BG308" s="20">
        <f>BG294+BG298</f>
        <v>0</v>
      </c>
      <c r="BH308" s="20">
        <f>BH294+BH298</f>
        <v>0</v>
      </c>
      <c r="BI308" s="20">
        <f>BI294</f>
        <v>0</v>
      </c>
      <c r="BJ308" s="20">
        <f>BJ294</f>
        <v>0</v>
      </c>
      <c r="BK308" s="17">
        <f>BL308+BM308+BN308+BO308</f>
        <v>771349.80851999996</v>
      </c>
      <c r="BL308" s="20">
        <f>BL294+BL298</f>
        <v>292701.18051999999</v>
      </c>
      <c r="BM308" s="20">
        <f>BM294+BM298</f>
        <v>223922.57699999999</v>
      </c>
      <c r="BN308" s="20">
        <f>BN294</f>
        <v>254726.05100000004</v>
      </c>
      <c r="BO308" s="20">
        <f>BO294</f>
        <v>0</v>
      </c>
      <c r="BP308" s="17">
        <f>BQ308+BR308+BS308+BT308</f>
        <v>743657.30383999995</v>
      </c>
      <c r="BQ308" s="20">
        <f>BQ294+BQ298</f>
        <v>292701.18051999999</v>
      </c>
      <c r="BR308" s="20">
        <f>BR294+BR298</f>
        <v>212572.74614999996</v>
      </c>
      <c r="BS308" s="20">
        <f>BS294</f>
        <v>238383.37716999999</v>
      </c>
      <c r="BT308" s="20">
        <f>BT294</f>
        <v>0</v>
      </c>
      <c r="BU308" s="17">
        <f>BV308+BW308+BX308+BY308</f>
        <v>268969.92481</v>
      </c>
      <c r="BV308" s="20">
        <f>BV294+BV298</f>
        <v>56689.70018</v>
      </c>
      <c r="BW308" s="20">
        <f>BW294+BW298</f>
        <v>128148.25510000001</v>
      </c>
      <c r="BX308" s="20">
        <f>BX294</f>
        <v>84131.969530000017</v>
      </c>
      <c r="BY308" s="20">
        <f>BY294</f>
        <v>0</v>
      </c>
      <c r="BZ308" s="20">
        <f t="shared" si="639"/>
        <v>1012627.2286499999</v>
      </c>
      <c r="CA308" s="17">
        <f>CB308+CC308+CD308+CE308</f>
        <v>1012627.2286499999</v>
      </c>
      <c r="CB308" s="20">
        <f>CB294+CB298</f>
        <v>349390.88069999998</v>
      </c>
      <c r="CC308" s="20">
        <f>CC294+CC298</f>
        <v>340721.00124999997</v>
      </c>
      <c r="CD308" s="20">
        <f>CD294</f>
        <v>322515.34669999999</v>
      </c>
      <c r="CE308" s="20">
        <f>CE294</f>
        <v>0</v>
      </c>
      <c r="CF308" s="17">
        <f t="shared" si="640"/>
        <v>27692.504680000071</v>
      </c>
      <c r="CG308" s="20">
        <f t="shared" si="641"/>
        <v>0</v>
      </c>
      <c r="CH308" s="20">
        <f t="shared" si="642"/>
        <v>11349.830850000028</v>
      </c>
      <c r="CI308" s="20">
        <f t="shared" si="643"/>
        <v>16342.673830000043</v>
      </c>
      <c r="CJ308" s="20">
        <f>CJ294</f>
        <v>0</v>
      </c>
      <c r="CK308" s="57"/>
      <c r="CN308" s="17">
        <f>CO308+CP308+CQ308+CR308</f>
        <v>0</v>
      </c>
      <c r="CO308" s="20">
        <f>CO294+CO298</f>
        <v>0</v>
      </c>
      <c r="CP308" s="20">
        <f>CP294+CP298</f>
        <v>0</v>
      </c>
      <c r="CQ308" s="20">
        <f>CQ294</f>
        <v>0</v>
      </c>
      <c r="CR308" s="20">
        <f>CR294</f>
        <v>0</v>
      </c>
      <c r="CS308" s="17">
        <f>CT308+CU308+CV308+CW308</f>
        <v>0</v>
      </c>
      <c r="CT308" s="20">
        <f>CT294+CT298</f>
        <v>0</v>
      </c>
      <c r="CU308" s="20">
        <f>CU294+CU298</f>
        <v>0</v>
      </c>
      <c r="CV308" s="20">
        <f>CV294</f>
        <v>0</v>
      </c>
      <c r="CW308" s="20">
        <f>CW294</f>
        <v>0</v>
      </c>
      <c r="CX308" s="17">
        <f>CY308+CZ308+DA308+DB308</f>
        <v>0</v>
      </c>
      <c r="CY308" s="20">
        <f>CY294+CY298</f>
        <v>0</v>
      </c>
      <c r="CZ308" s="20">
        <f>CZ294+CZ298</f>
        <v>0</v>
      </c>
      <c r="DA308" s="20"/>
      <c r="DB308" s="20"/>
      <c r="DF308" s="169"/>
      <c r="DG308" s="57"/>
      <c r="DH308" s="57"/>
      <c r="DI308" s="170"/>
      <c r="DQ308" s="17">
        <f>DR308+DS308+DT308+DU308</f>
        <v>279726.75956000003</v>
      </c>
      <c r="DR308" s="20">
        <f>DR294+DR298</f>
        <v>279726.75956000003</v>
      </c>
      <c r="DS308" s="20"/>
      <c r="DT308" s="20"/>
      <c r="DU308" s="20"/>
      <c r="DV308" s="17">
        <f>DW308+DX308+DY308+DZ308</f>
        <v>61037.786759999995</v>
      </c>
      <c r="DW308" s="20">
        <f>DW294+DW298</f>
        <v>61037.786759999995</v>
      </c>
      <c r="DX308" s="20"/>
      <c r="DY308" s="196"/>
      <c r="DZ308" s="21"/>
      <c r="EA308" s="372"/>
      <c r="EB308" s="372"/>
      <c r="EC308" s="372"/>
      <c r="ED308" s="372"/>
      <c r="EE308" s="372"/>
      <c r="EF308" s="372"/>
      <c r="EG308" s="372"/>
      <c r="EH308" s="372"/>
      <c r="EI308" s="372"/>
      <c r="EJ308" s="372"/>
      <c r="EK308" s="372"/>
      <c r="EL308" s="372"/>
      <c r="EM308" s="372"/>
      <c r="EN308" s="372"/>
      <c r="EO308" s="372"/>
      <c r="EP308" s="372"/>
      <c r="EQ308" s="372"/>
      <c r="ER308" s="372"/>
      <c r="ES308" s="372"/>
      <c r="ET308" s="372"/>
      <c r="EU308" s="372"/>
      <c r="EV308" s="372"/>
      <c r="EW308" s="372"/>
      <c r="EX308" s="372"/>
      <c r="EY308" s="372"/>
      <c r="EZ308" s="372"/>
      <c r="FA308" s="372"/>
      <c r="FB308" s="372"/>
      <c r="FC308" s="372"/>
      <c r="FD308" s="372"/>
      <c r="FE308" s="372"/>
      <c r="FF308" s="372"/>
      <c r="FG308" s="372"/>
      <c r="FH308" s="372"/>
      <c r="FI308" s="372"/>
      <c r="FJ308" s="372"/>
      <c r="FK308" s="372"/>
      <c r="FL308" s="372"/>
      <c r="FM308" s="372"/>
      <c r="FN308" s="372"/>
      <c r="FO308" s="372"/>
      <c r="FP308" s="372"/>
      <c r="FQ308" s="372"/>
      <c r="FR308" s="372"/>
      <c r="FS308" s="372"/>
      <c r="FT308" s="372"/>
      <c r="FU308" s="372"/>
      <c r="FV308" s="372"/>
      <c r="FW308" s="372"/>
      <c r="FX308" s="372"/>
      <c r="FY308" s="372"/>
      <c r="FZ308" s="372"/>
      <c r="GA308" s="372"/>
      <c r="GB308" s="372"/>
      <c r="GC308" s="372"/>
      <c r="GD308" s="372"/>
      <c r="GE308" s="372"/>
      <c r="GF308" s="372"/>
      <c r="GG308" s="372"/>
      <c r="GH308" s="372"/>
      <c r="GI308" s="372"/>
      <c r="GJ308" s="372"/>
      <c r="GK308" s="372"/>
      <c r="GL308" s="372"/>
      <c r="GM308" s="372"/>
      <c r="GN308" s="372"/>
      <c r="GO308" s="372"/>
      <c r="GP308" s="372"/>
      <c r="GQ308" s="372"/>
      <c r="GR308" s="372"/>
    </row>
    <row r="309" spans="2:200" s="172" customFormat="1" ht="19.5" hidden="1" customHeight="1" x14ac:dyDescent="0.25">
      <c r="B309" s="23"/>
      <c r="C309" s="23"/>
      <c r="D309" s="23"/>
      <c r="E309" s="118"/>
      <c r="F309" s="23"/>
      <c r="G309" s="23"/>
      <c r="H309" s="23"/>
      <c r="I309" s="23"/>
      <c r="J309" s="23"/>
      <c r="K309" s="23"/>
      <c r="L309" s="23"/>
      <c r="M309" s="430" t="s">
        <v>303</v>
      </c>
      <c r="N309" s="430"/>
      <c r="O309" s="220"/>
      <c r="P309" s="220"/>
      <c r="Q309" s="220"/>
      <c r="R309" s="220"/>
      <c r="S309" s="220"/>
      <c r="T309" s="220"/>
      <c r="U309" s="220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4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>
        <f t="shared" si="640"/>
        <v>0</v>
      </c>
      <c r="CG309" s="23">
        <f t="shared" si="641"/>
        <v>0</v>
      </c>
      <c r="CH309" s="23">
        <f t="shared" si="642"/>
        <v>0</v>
      </c>
      <c r="CI309" s="23">
        <f t="shared" si="643"/>
        <v>0</v>
      </c>
      <c r="CJ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Q309" s="23"/>
      <c r="DR309" s="23"/>
      <c r="DS309" s="23"/>
      <c r="DT309" s="23"/>
      <c r="DU309" s="23"/>
      <c r="DV309" s="23"/>
      <c r="DW309" s="23"/>
      <c r="DX309" s="23"/>
      <c r="DY309" s="221"/>
      <c r="DZ309" s="23"/>
      <c r="EA309" s="380"/>
      <c r="EB309" s="380"/>
      <c r="EC309" s="380"/>
      <c r="ED309" s="380"/>
      <c r="EE309" s="380"/>
      <c r="EF309" s="380"/>
      <c r="EG309" s="380"/>
      <c r="EH309" s="380"/>
      <c r="EI309" s="380"/>
      <c r="EJ309" s="380"/>
      <c r="EK309" s="380"/>
      <c r="EL309" s="380"/>
      <c r="EM309" s="380"/>
      <c r="EN309" s="380"/>
      <c r="EO309" s="380"/>
      <c r="EP309" s="380"/>
      <c r="EQ309" s="380"/>
      <c r="ER309" s="380"/>
      <c r="ES309" s="380"/>
      <c r="ET309" s="380"/>
      <c r="EU309" s="380"/>
      <c r="EV309" s="380"/>
      <c r="EW309" s="380"/>
      <c r="EX309" s="380"/>
      <c r="EY309" s="380"/>
      <c r="EZ309" s="380"/>
      <c r="FA309" s="380"/>
      <c r="FB309" s="380"/>
      <c r="FC309" s="380"/>
      <c r="FD309" s="380"/>
      <c r="FE309" s="380"/>
      <c r="FF309" s="380"/>
      <c r="FG309" s="380"/>
      <c r="FH309" s="380"/>
      <c r="FI309" s="380"/>
      <c r="FJ309" s="380"/>
      <c r="FK309" s="380"/>
      <c r="FL309" s="380"/>
      <c r="FM309" s="380"/>
      <c r="FN309" s="380"/>
      <c r="FO309" s="380"/>
      <c r="FP309" s="380"/>
      <c r="FQ309" s="380"/>
      <c r="FR309" s="380"/>
      <c r="FS309" s="380"/>
      <c r="FT309" s="380"/>
      <c r="FU309" s="380"/>
      <c r="FV309" s="380"/>
      <c r="FW309" s="380"/>
      <c r="FX309" s="380"/>
      <c r="FY309" s="380"/>
      <c r="FZ309" s="380"/>
      <c r="GA309" s="380"/>
      <c r="GB309" s="380"/>
      <c r="GC309" s="380"/>
      <c r="GD309" s="380"/>
      <c r="GE309" s="380"/>
      <c r="GF309" s="380"/>
      <c r="GG309" s="380"/>
      <c r="GH309" s="380"/>
      <c r="GI309" s="380"/>
      <c r="GJ309" s="380"/>
      <c r="GK309" s="380"/>
      <c r="GL309" s="380"/>
      <c r="GM309" s="380"/>
      <c r="GN309" s="380"/>
      <c r="GO309" s="380"/>
      <c r="GP309" s="380"/>
      <c r="GQ309" s="380"/>
      <c r="GR309" s="380"/>
    </row>
    <row r="310" spans="2:200" s="59" customFormat="1" ht="27.6" hidden="1" customHeight="1" x14ac:dyDescent="0.3">
      <c r="B310" s="24"/>
      <c r="C310" s="141"/>
      <c r="D310" s="24"/>
      <c r="E310" s="152"/>
      <c r="F310" s="24"/>
      <c r="G310" s="141"/>
      <c r="H310" s="24"/>
      <c r="I310" s="24"/>
      <c r="J310" s="24"/>
      <c r="K310" s="24"/>
      <c r="L310" s="24"/>
      <c r="M310" s="222">
        <v>1</v>
      </c>
      <c r="N310" s="197" t="s">
        <v>414</v>
      </c>
      <c r="O310" s="188" t="s">
        <v>448</v>
      </c>
      <c r="P310" s="188"/>
      <c r="Q310" s="223">
        <f t="shared" ref="Q310:Q312" si="726">BL310-BQ310</f>
        <v>55.414139999998952</v>
      </c>
      <c r="R310" s="224">
        <f t="shared" ref="R310:R312" si="727">BM310-BR310</f>
        <v>0</v>
      </c>
      <c r="S310" s="224">
        <f t="shared" ref="S310:S312" si="728">BN310-BS310</f>
        <v>0</v>
      </c>
      <c r="T310" s="225">
        <v>1</v>
      </c>
      <c r="U310" s="188"/>
      <c r="V310" s="24">
        <f t="shared" ref="V310:V312" si="729">W310+X310+Y310+Z310</f>
        <v>9535.06</v>
      </c>
      <c r="W310" s="26">
        <v>9535.06</v>
      </c>
      <c r="X310" s="26"/>
      <c r="Y310" s="26"/>
      <c r="Z310" s="26"/>
      <c r="AA310" s="24">
        <f t="shared" ref="AA310:AA311" si="730">AB310+AC310+AD310+AE310</f>
        <v>0</v>
      </c>
      <c r="AB310" s="26"/>
      <c r="AC310" s="26"/>
      <c r="AD310" s="26"/>
      <c r="AE310" s="26"/>
      <c r="AF310" s="24">
        <f t="shared" ref="AF310:AF311" si="731">AG310+AH310+AI310+AJ310</f>
        <v>0</v>
      </c>
      <c r="AG310" s="26"/>
      <c r="AH310" s="26"/>
      <c r="AI310" s="26"/>
      <c r="AJ310" s="26"/>
      <c r="AK310" s="24">
        <f t="shared" ref="AK310:AK311" si="732">AL310+AM310+AN310+AO310</f>
        <v>0</v>
      </c>
      <c r="AL310" s="26"/>
      <c r="AM310" s="26"/>
      <c r="AN310" s="26"/>
      <c r="AO310" s="26"/>
      <c r="AP310" s="226" t="s">
        <v>415</v>
      </c>
      <c r="AQ310" s="24">
        <f t="shared" ref="AQ310:AQ312" si="733">AR310+AS310+AT310+AU310</f>
        <v>9535.06</v>
      </c>
      <c r="AR310" s="26">
        <v>9535.06</v>
      </c>
      <c r="AS310" s="26"/>
      <c r="AT310" s="26"/>
      <c r="AU310" s="26"/>
      <c r="AV310" s="24" t="e">
        <f t="shared" ref="AV310:AV312" si="734">AW310+AX310+AY310+AZ310</f>
        <v>#REF!</v>
      </c>
      <c r="AW310" s="26"/>
      <c r="AX310" s="26" t="e">
        <f>#REF!-AS310</f>
        <v>#REF!</v>
      </c>
      <c r="AY310" s="26"/>
      <c r="AZ310" s="26"/>
      <c r="BA310" s="24">
        <f t="shared" ref="BA310:BA312" si="735">BB310+BC310+BD310+BE310</f>
        <v>9535.06</v>
      </c>
      <c r="BB310" s="26">
        <v>9535.06</v>
      </c>
      <c r="BC310" s="26"/>
      <c r="BD310" s="26"/>
      <c r="BE310" s="26"/>
      <c r="BF310" s="24">
        <f t="shared" ref="BF310:BF311" si="736">BG310+BH310+BI310+BJ310</f>
        <v>0</v>
      </c>
      <c r="BG310" s="26"/>
      <c r="BH310" s="26"/>
      <c r="BI310" s="26"/>
      <c r="BJ310" s="26"/>
      <c r="BK310" s="24">
        <f t="shared" ref="BK310:BK312" si="737">BL310+BM310+BN310+BO310</f>
        <v>9535.06</v>
      </c>
      <c r="BL310" s="26">
        <v>9535.06</v>
      </c>
      <c r="BM310" s="26"/>
      <c r="BN310" s="26"/>
      <c r="BO310" s="26"/>
      <c r="BP310" s="24">
        <f t="shared" ref="BP310:BP312" si="738">BQ310+BR310+BS310+BT310</f>
        <v>9479.6458600000005</v>
      </c>
      <c r="BQ310" s="26">
        <f>2814.096+5196.86986+1468.68</f>
        <v>9479.6458600000005</v>
      </c>
      <c r="BR310" s="26"/>
      <c r="BS310" s="26"/>
      <c r="BT310" s="26"/>
      <c r="BU310" s="24">
        <f t="shared" ref="BU310:BU312" si="739">BV310+BW310+BX310+BY310</f>
        <v>0</v>
      </c>
      <c r="BV310" s="26"/>
      <c r="BW310" s="26">
        <v>0</v>
      </c>
      <c r="BX310" s="26"/>
      <c r="BY310" s="26"/>
      <c r="BZ310" s="26">
        <f t="shared" si="639"/>
        <v>0</v>
      </c>
      <c r="CA310" s="24">
        <f t="shared" ref="CA310:CA313" si="740">CB310+CC310+CD310+CE310</f>
        <v>0</v>
      </c>
      <c r="CB310" s="26"/>
      <c r="CC310" s="26">
        <f t="shared" ref="CC310:CC318" si="741">BR310+BW310</f>
        <v>0</v>
      </c>
      <c r="CD310" s="26"/>
      <c r="CE310" s="26"/>
      <c r="CF310" s="24">
        <f t="shared" si="640"/>
        <v>55.414139999998952</v>
      </c>
      <c r="CG310" s="24">
        <f t="shared" si="641"/>
        <v>55.414139999998952</v>
      </c>
      <c r="CH310" s="24">
        <f t="shared" si="642"/>
        <v>0</v>
      </c>
      <c r="CI310" s="24">
        <f t="shared" si="643"/>
        <v>0</v>
      </c>
      <c r="CJ310" s="24"/>
      <c r="CK310" s="57"/>
      <c r="CN310" s="24">
        <f t="shared" ref="CN310:CN311" si="742">CO310+CP310+CQ310+CR310</f>
        <v>0</v>
      </c>
      <c r="CO310" s="26"/>
      <c r="CP310" s="26"/>
      <c r="CQ310" s="26"/>
      <c r="CR310" s="26"/>
      <c r="CS310" s="24">
        <f t="shared" ref="CS310:CS311" si="743">CT310+CU310+CV310+CW310</f>
        <v>0</v>
      </c>
      <c r="CT310" s="26"/>
      <c r="CU310" s="26"/>
      <c r="CV310" s="26"/>
      <c r="CW310" s="26"/>
      <c r="CX310" s="24">
        <f>CY310+CZ310+DA310+DB310</f>
        <v>0</v>
      </c>
      <c r="CY310" s="26"/>
      <c r="CZ310" s="26"/>
      <c r="DA310" s="26"/>
      <c r="DB310" s="26"/>
      <c r="DF310" s="169"/>
      <c r="DG310" s="57"/>
      <c r="DH310" s="57"/>
      <c r="DI310" s="170"/>
      <c r="DQ310" s="24">
        <f>DR310+DS310+DT310+DU310</f>
        <v>9479.6458600000005</v>
      </c>
      <c r="DR310" s="26">
        <v>9479.6458600000005</v>
      </c>
      <c r="DS310" s="26"/>
      <c r="DT310" s="26"/>
      <c r="DU310" s="26"/>
      <c r="DV310" s="24">
        <f>DW310+DX310+DY310+DZ310</f>
        <v>0</v>
      </c>
      <c r="DW310" s="26"/>
      <c r="DX310" s="26"/>
      <c r="DY310" s="141"/>
      <c r="DZ310" s="21"/>
      <c r="EA310" s="372"/>
      <c r="EB310" s="372"/>
      <c r="EC310" s="372"/>
      <c r="ED310" s="372"/>
      <c r="EE310" s="372"/>
      <c r="EF310" s="372"/>
      <c r="EG310" s="372"/>
      <c r="EH310" s="372"/>
      <c r="EI310" s="372"/>
      <c r="EJ310" s="372"/>
      <c r="EK310" s="372"/>
      <c r="EL310" s="372"/>
      <c r="EM310" s="372"/>
      <c r="EN310" s="372"/>
      <c r="EO310" s="372"/>
      <c r="EP310" s="372"/>
      <c r="EQ310" s="372"/>
      <c r="ER310" s="372"/>
      <c r="ES310" s="372"/>
      <c r="ET310" s="372"/>
      <c r="EU310" s="372"/>
      <c r="EV310" s="372"/>
      <c r="EW310" s="372"/>
      <c r="EX310" s="372"/>
      <c r="EY310" s="372"/>
      <c r="EZ310" s="372"/>
      <c r="FA310" s="372"/>
      <c r="FB310" s="372"/>
      <c r="FC310" s="372"/>
      <c r="FD310" s="372"/>
      <c r="FE310" s="372"/>
      <c r="FF310" s="372"/>
      <c r="FG310" s="372"/>
      <c r="FH310" s="372"/>
      <c r="FI310" s="372"/>
      <c r="FJ310" s="372"/>
      <c r="FK310" s="372"/>
      <c r="FL310" s="372"/>
      <c r="FM310" s="372"/>
      <c r="FN310" s="372"/>
      <c r="FO310" s="372"/>
      <c r="FP310" s="372"/>
      <c r="FQ310" s="372"/>
      <c r="FR310" s="372"/>
      <c r="FS310" s="372"/>
      <c r="FT310" s="372"/>
      <c r="FU310" s="372"/>
      <c r="FV310" s="372"/>
      <c r="FW310" s="372"/>
      <c r="FX310" s="372"/>
      <c r="FY310" s="372"/>
      <c r="FZ310" s="372"/>
      <c r="GA310" s="372"/>
      <c r="GB310" s="372"/>
      <c r="GC310" s="372"/>
      <c r="GD310" s="372"/>
      <c r="GE310" s="372"/>
      <c r="GF310" s="372"/>
      <c r="GG310" s="372"/>
      <c r="GH310" s="372"/>
      <c r="GI310" s="372"/>
      <c r="GJ310" s="372"/>
      <c r="GK310" s="372"/>
      <c r="GL310" s="372"/>
      <c r="GM310" s="372"/>
      <c r="GN310" s="372"/>
      <c r="GO310" s="372"/>
      <c r="GP310" s="372"/>
      <c r="GQ310" s="372"/>
      <c r="GR310" s="372"/>
    </row>
    <row r="311" spans="2:200" s="59" customFormat="1" ht="21" hidden="1" customHeight="1" x14ac:dyDescent="0.3">
      <c r="B311" s="24"/>
      <c r="C311" s="141"/>
      <c r="D311" s="24"/>
      <c r="E311" s="142"/>
      <c r="F311" s="24"/>
      <c r="G311" s="141"/>
      <c r="H311" s="24"/>
      <c r="I311" s="24"/>
      <c r="J311" s="24"/>
      <c r="K311" s="24"/>
      <c r="L311" s="24"/>
      <c r="M311" s="222">
        <v>2</v>
      </c>
      <c r="N311" s="197" t="s">
        <v>453</v>
      </c>
      <c r="O311" s="174"/>
      <c r="P311" s="216"/>
      <c r="Q311" s="216">
        <f t="shared" si="726"/>
        <v>0</v>
      </c>
      <c r="R311" s="216">
        <f t="shared" si="727"/>
        <v>0</v>
      </c>
      <c r="S311" s="216">
        <f t="shared" si="728"/>
        <v>0</v>
      </c>
      <c r="T311" s="227"/>
      <c r="U311" s="216"/>
      <c r="V311" s="25">
        <f t="shared" si="729"/>
        <v>8753.5529999999999</v>
      </c>
      <c r="W311" s="21">
        <v>8753.5529999999999</v>
      </c>
      <c r="X311" s="21"/>
      <c r="Y311" s="21"/>
      <c r="Z311" s="21"/>
      <c r="AA311" s="25">
        <f t="shared" si="730"/>
        <v>0</v>
      </c>
      <c r="AB311" s="21"/>
      <c r="AC311" s="21"/>
      <c r="AD311" s="21"/>
      <c r="AE311" s="21"/>
      <c r="AF311" s="25">
        <f t="shared" si="731"/>
        <v>0</v>
      </c>
      <c r="AG311" s="21"/>
      <c r="AH311" s="21"/>
      <c r="AI311" s="21"/>
      <c r="AJ311" s="21"/>
      <c r="AK311" s="25">
        <f t="shared" si="732"/>
        <v>0</v>
      </c>
      <c r="AL311" s="21"/>
      <c r="AM311" s="21"/>
      <c r="AN311" s="21"/>
      <c r="AO311" s="21"/>
      <c r="AP311" s="228"/>
      <c r="AQ311" s="25">
        <f t="shared" si="733"/>
        <v>0</v>
      </c>
      <c r="AR311" s="21"/>
      <c r="AS311" s="21"/>
      <c r="AT311" s="21"/>
      <c r="AU311" s="21"/>
      <c r="AV311" s="25" t="e">
        <f t="shared" si="734"/>
        <v>#REF!</v>
      </c>
      <c r="AW311" s="21"/>
      <c r="AX311" s="21" t="e">
        <f>#REF!-AS311</f>
        <v>#REF!</v>
      </c>
      <c r="AY311" s="21"/>
      <c r="AZ311" s="21"/>
      <c r="BA311" s="25">
        <f t="shared" si="735"/>
        <v>0</v>
      </c>
      <c r="BB311" s="21"/>
      <c r="BC311" s="21"/>
      <c r="BD311" s="21"/>
      <c r="BE311" s="21"/>
      <c r="BF311" s="25">
        <f t="shared" si="736"/>
        <v>0</v>
      </c>
      <c r="BG311" s="21"/>
      <c r="BH311" s="21"/>
      <c r="BI311" s="21"/>
      <c r="BJ311" s="21"/>
      <c r="BK311" s="25">
        <f t="shared" si="737"/>
        <v>0</v>
      </c>
      <c r="BL311" s="21"/>
      <c r="BM311" s="21"/>
      <c r="BN311" s="21"/>
      <c r="BO311" s="21"/>
      <c r="BP311" s="25">
        <f t="shared" si="738"/>
        <v>0</v>
      </c>
      <c r="BQ311" s="21"/>
      <c r="BR311" s="21"/>
      <c r="BS311" s="21"/>
      <c r="BT311" s="21"/>
      <c r="BU311" s="25">
        <f t="shared" si="739"/>
        <v>0</v>
      </c>
      <c r="BV311" s="21"/>
      <c r="BW311" s="21"/>
      <c r="BX311" s="22"/>
      <c r="BY311" s="22"/>
      <c r="BZ311" s="21">
        <f t="shared" si="639"/>
        <v>0</v>
      </c>
      <c r="CA311" s="25">
        <f t="shared" si="740"/>
        <v>0</v>
      </c>
      <c r="CB311" s="21"/>
      <c r="CC311" s="21">
        <f t="shared" si="741"/>
        <v>0</v>
      </c>
      <c r="CD311" s="22"/>
      <c r="CE311" s="22"/>
      <c r="CF311" s="25">
        <f t="shared" si="640"/>
        <v>0</v>
      </c>
      <c r="CG311" s="25">
        <f t="shared" si="641"/>
        <v>0</v>
      </c>
      <c r="CH311" s="25">
        <f t="shared" si="642"/>
        <v>0</v>
      </c>
      <c r="CI311" s="25">
        <f t="shared" si="643"/>
        <v>0</v>
      </c>
      <c r="CJ311" s="25"/>
      <c r="CK311" s="57"/>
      <c r="CN311" s="25">
        <f t="shared" si="742"/>
        <v>0</v>
      </c>
      <c r="CO311" s="21"/>
      <c r="CP311" s="21"/>
      <c r="CQ311" s="21"/>
      <c r="CR311" s="21"/>
      <c r="CS311" s="25">
        <f t="shared" si="743"/>
        <v>0</v>
      </c>
      <c r="CT311" s="21"/>
      <c r="CU311" s="21"/>
      <c r="CV311" s="21"/>
      <c r="CW311" s="21"/>
      <c r="CX311" s="25">
        <f>CY311+CZ311+DA311+DB311</f>
        <v>0</v>
      </c>
      <c r="CY311" s="21"/>
      <c r="CZ311" s="22"/>
      <c r="DA311" s="22"/>
      <c r="DB311" s="22"/>
      <c r="DF311" s="169"/>
      <c r="DG311" s="57"/>
      <c r="DH311" s="57"/>
      <c r="DI311" s="170"/>
      <c r="DQ311" s="25">
        <f t="shared" ref="DQ311:DQ312" si="744">DR311+DS311+DT311+DU311</f>
        <v>0</v>
      </c>
      <c r="DR311" s="21"/>
      <c r="DS311" s="21"/>
      <c r="DT311" s="22"/>
      <c r="DU311" s="22"/>
      <c r="DV311" s="25">
        <f>DW311+DX311+DY311+DZ311</f>
        <v>0</v>
      </c>
      <c r="DW311" s="21"/>
      <c r="DX311" s="21"/>
      <c r="DY311" s="151"/>
      <c r="DZ311" s="22"/>
      <c r="EA311" s="372"/>
      <c r="EB311" s="372"/>
      <c r="EC311" s="372"/>
      <c r="ED311" s="372"/>
      <c r="EE311" s="372"/>
      <c r="EF311" s="372"/>
      <c r="EG311" s="372"/>
      <c r="EH311" s="372"/>
      <c r="EI311" s="372"/>
      <c r="EJ311" s="372"/>
      <c r="EK311" s="372"/>
      <c r="EL311" s="372"/>
      <c r="EM311" s="372"/>
      <c r="EN311" s="372"/>
      <c r="EO311" s="372"/>
      <c r="EP311" s="372"/>
      <c r="EQ311" s="372"/>
      <c r="ER311" s="372"/>
      <c r="ES311" s="372"/>
      <c r="ET311" s="372"/>
      <c r="EU311" s="372"/>
      <c r="EV311" s="372"/>
      <c r="EW311" s="372"/>
      <c r="EX311" s="372"/>
      <c r="EY311" s="372"/>
      <c r="EZ311" s="372"/>
      <c r="FA311" s="372"/>
      <c r="FB311" s="372"/>
      <c r="FC311" s="372"/>
      <c r="FD311" s="372"/>
      <c r="FE311" s="372"/>
      <c r="FF311" s="372"/>
      <c r="FG311" s="372"/>
      <c r="FH311" s="372"/>
      <c r="FI311" s="372"/>
      <c r="FJ311" s="372"/>
      <c r="FK311" s="372"/>
      <c r="FL311" s="372"/>
      <c r="FM311" s="372"/>
      <c r="FN311" s="372"/>
      <c r="FO311" s="372"/>
      <c r="FP311" s="372"/>
      <c r="FQ311" s="372"/>
      <c r="FR311" s="372"/>
      <c r="FS311" s="372"/>
      <c r="FT311" s="372"/>
      <c r="FU311" s="372"/>
      <c r="FV311" s="372"/>
      <c r="FW311" s="372"/>
      <c r="FX311" s="372"/>
      <c r="FY311" s="372"/>
      <c r="FZ311" s="372"/>
      <c r="GA311" s="372"/>
      <c r="GB311" s="372"/>
      <c r="GC311" s="372"/>
      <c r="GD311" s="372"/>
      <c r="GE311" s="372"/>
      <c r="GF311" s="372"/>
      <c r="GG311" s="372"/>
      <c r="GH311" s="372"/>
      <c r="GI311" s="372"/>
      <c r="GJ311" s="372"/>
      <c r="GK311" s="372"/>
      <c r="GL311" s="372"/>
      <c r="GM311" s="372"/>
      <c r="GN311" s="372"/>
      <c r="GO311" s="372"/>
      <c r="GP311" s="372"/>
      <c r="GQ311" s="372"/>
      <c r="GR311" s="372"/>
    </row>
    <row r="312" spans="2:200" s="59" customFormat="1" ht="21" hidden="1" customHeight="1" x14ac:dyDescent="0.3">
      <c r="B312" s="143"/>
      <c r="C312" s="143"/>
      <c r="D312" s="143"/>
      <c r="E312" s="199"/>
      <c r="F312" s="143"/>
      <c r="G312" s="143"/>
      <c r="H312" s="143"/>
      <c r="I312" s="143"/>
      <c r="J312" s="143"/>
      <c r="K312" s="143"/>
      <c r="L312" s="143"/>
      <c r="M312" s="197">
        <v>3</v>
      </c>
      <c r="N312" s="174" t="s">
        <v>476</v>
      </c>
      <c r="O312" s="216"/>
      <c r="P312" s="216"/>
      <c r="Q312" s="216">
        <f t="shared" si="726"/>
        <v>0</v>
      </c>
      <c r="R312" s="216">
        <f t="shared" si="727"/>
        <v>0</v>
      </c>
      <c r="S312" s="216">
        <f t="shared" si="728"/>
        <v>0</v>
      </c>
      <c r="T312" s="227">
        <v>1</v>
      </c>
      <c r="U312" s="216"/>
      <c r="V312" s="25">
        <f t="shared" si="729"/>
        <v>691</v>
      </c>
      <c r="W312" s="21">
        <v>691</v>
      </c>
      <c r="X312" s="21"/>
      <c r="Y312" s="21"/>
      <c r="Z312" s="21"/>
      <c r="AA312" s="25"/>
      <c r="AB312" s="21"/>
      <c r="AC312" s="21"/>
      <c r="AD312" s="21"/>
      <c r="AE312" s="21"/>
      <c r="AF312" s="25"/>
      <c r="AG312" s="21"/>
      <c r="AH312" s="21"/>
      <c r="AI312" s="21"/>
      <c r="AJ312" s="21"/>
      <c r="AK312" s="25"/>
      <c r="AL312" s="21"/>
      <c r="AM312" s="21"/>
      <c r="AN312" s="21"/>
      <c r="AO312" s="21"/>
      <c r="AP312" s="228" t="s">
        <v>495</v>
      </c>
      <c r="AQ312" s="25">
        <f t="shared" si="733"/>
        <v>691</v>
      </c>
      <c r="AR312" s="21">
        <v>691</v>
      </c>
      <c r="AS312" s="21"/>
      <c r="AT312" s="21"/>
      <c r="AU312" s="21"/>
      <c r="AV312" s="25" t="e">
        <f t="shared" si="734"/>
        <v>#REF!</v>
      </c>
      <c r="AW312" s="21"/>
      <c r="AX312" s="21" t="e">
        <f>#REF!-AS312</f>
        <v>#REF!</v>
      </c>
      <c r="AY312" s="21"/>
      <c r="AZ312" s="21"/>
      <c r="BA312" s="25">
        <f t="shared" si="735"/>
        <v>691</v>
      </c>
      <c r="BB312" s="21">
        <v>691</v>
      </c>
      <c r="BC312" s="21"/>
      <c r="BD312" s="21"/>
      <c r="BE312" s="21"/>
      <c r="BF312" s="25"/>
      <c r="BG312" s="21"/>
      <c r="BH312" s="21"/>
      <c r="BI312" s="21"/>
      <c r="BJ312" s="21"/>
      <c r="BK312" s="25">
        <f t="shared" si="737"/>
        <v>691</v>
      </c>
      <c r="BL312" s="21">
        <v>691</v>
      </c>
      <c r="BM312" s="21"/>
      <c r="BN312" s="21"/>
      <c r="BO312" s="21"/>
      <c r="BP312" s="25">
        <f t="shared" si="738"/>
        <v>691</v>
      </c>
      <c r="BQ312" s="21">
        <v>691</v>
      </c>
      <c r="BR312" s="21"/>
      <c r="BS312" s="21"/>
      <c r="BT312" s="21"/>
      <c r="BU312" s="25">
        <f t="shared" si="739"/>
        <v>0.52839999999999998</v>
      </c>
      <c r="BV312" s="21">
        <v>0.52839999999999998</v>
      </c>
      <c r="BW312" s="21">
        <v>0</v>
      </c>
      <c r="BX312" s="22"/>
      <c r="BY312" s="22"/>
      <c r="BZ312" s="143">
        <f t="shared" si="639"/>
        <v>0</v>
      </c>
      <c r="CA312" s="21">
        <f t="shared" si="740"/>
        <v>0</v>
      </c>
      <c r="CB312" s="21"/>
      <c r="CC312" s="21">
        <f t="shared" si="741"/>
        <v>0</v>
      </c>
      <c r="CD312" s="22"/>
      <c r="CE312" s="22"/>
      <c r="CF312" s="25">
        <f t="shared" si="640"/>
        <v>0</v>
      </c>
      <c r="CG312" s="25">
        <f t="shared" si="641"/>
        <v>0</v>
      </c>
      <c r="CH312" s="25">
        <f t="shared" si="642"/>
        <v>0</v>
      </c>
      <c r="CI312" s="25">
        <f t="shared" si="643"/>
        <v>0</v>
      </c>
      <c r="CJ312" s="25"/>
      <c r="CK312" s="57"/>
      <c r="CN312" s="25"/>
      <c r="CO312" s="21"/>
      <c r="CP312" s="21"/>
      <c r="CQ312" s="21"/>
      <c r="CR312" s="21"/>
      <c r="CS312" s="25"/>
      <c r="CT312" s="21"/>
      <c r="CU312" s="21"/>
      <c r="CV312" s="21"/>
      <c r="CW312" s="21"/>
      <c r="CX312" s="25"/>
      <c r="CY312" s="21"/>
      <c r="CZ312" s="22"/>
      <c r="DA312" s="22"/>
      <c r="DB312" s="22"/>
      <c r="DF312" s="169"/>
      <c r="DG312" s="57"/>
      <c r="DH312" s="57"/>
      <c r="DI312" s="170"/>
      <c r="DQ312" s="25">
        <f t="shared" si="744"/>
        <v>691</v>
      </c>
      <c r="DR312" s="21">
        <v>691</v>
      </c>
      <c r="DS312" s="21"/>
      <c r="DT312" s="22"/>
      <c r="DU312" s="22"/>
      <c r="DV312" s="25">
        <f t="shared" ref="DV312" si="745">DW312+DX312+DY312+DZ312</f>
        <v>52.84</v>
      </c>
      <c r="DW312" s="21">
        <v>52.84</v>
      </c>
      <c r="DX312" s="22"/>
      <c r="DY312" s="151"/>
      <c r="DZ312" s="22"/>
      <c r="EA312" s="372"/>
      <c r="EB312" s="372"/>
      <c r="EC312" s="372"/>
      <c r="ED312" s="372"/>
      <c r="EE312" s="372"/>
      <c r="EF312" s="372"/>
      <c r="EG312" s="372"/>
      <c r="EH312" s="372"/>
      <c r="EI312" s="372"/>
      <c r="EJ312" s="372"/>
      <c r="EK312" s="372"/>
      <c r="EL312" s="372"/>
      <c r="EM312" s="372"/>
      <c r="EN312" s="372"/>
      <c r="EO312" s="372"/>
      <c r="EP312" s="372"/>
      <c r="EQ312" s="372"/>
      <c r="ER312" s="372"/>
      <c r="ES312" s="372"/>
      <c r="ET312" s="372"/>
      <c r="EU312" s="372"/>
      <c r="EV312" s="372"/>
      <c r="EW312" s="372"/>
      <c r="EX312" s="372"/>
      <c r="EY312" s="372"/>
      <c r="EZ312" s="372"/>
      <c r="FA312" s="372"/>
      <c r="FB312" s="372"/>
      <c r="FC312" s="372"/>
      <c r="FD312" s="372"/>
      <c r="FE312" s="372"/>
      <c r="FF312" s="372"/>
      <c r="FG312" s="372"/>
      <c r="FH312" s="372"/>
      <c r="FI312" s="372"/>
      <c r="FJ312" s="372"/>
      <c r="FK312" s="372"/>
      <c r="FL312" s="372"/>
      <c r="FM312" s="372"/>
      <c r="FN312" s="372"/>
      <c r="FO312" s="372"/>
      <c r="FP312" s="372"/>
      <c r="FQ312" s="372"/>
      <c r="FR312" s="372"/>
      <c r="FS312" s="372"/>
      <c r="FT312" s="372"/>
      <c r="FU312" s="372"/>
      <c r="FV312" s="372"/>
      <c r="FW312" s="372"/>
      <c r="FX312" s="372"/>
      <c r="FY312" s="372"/>
      <c r="FZ312" s="372"/>
      <c r="GA312" s="372"/>
      <c r="GB312" s="372"/>
      <c r="GC312" s="372"/>
      <c r="GD312" s="372"/>
      <c r="GE312" s="372"/>
      <c r="GF312" s="372"/>
      <c r="GG312" s="372"/>
      <c r="GH312" s="372"/>
      <c r="GI312" s="372"/>
      <c r="GJ312" s="372"/>
      <c r="GK312" s="372"/>
      <c r="GL312" s="372"/>
      <c r="GM312" s="372"/>
      <c r="GN312" s="372"/>
      <c r="GO312" s="372"/>
      <c r="GP312" s="372"/>
      <c r="GQ312" s="372"/>
      <c r="GR312" s="372"/>
    </row>
    <row r="313" spans="2:200" s="59" customFormat="1" ht="21" hidden="1" customHeight="1" x14ac:dyDescent="0.25">
      <c r="B313" s="143"/>
      <c r="C313" s="143"/>
      <c r="D313" s="143"/>
      <c r="E313" s="199"/>
      <c r="F313" s="143"/>
      <c r="G313" s="143"/>
      <c r="H313" s="143"/>
      <c r="I313" s="143"/>
      <c r="J313" s="143"/>
      <c r="K313" s="143"/>
      <c r="L313" s="143"/>
      <c r="M313" s="422"/>
      <c r="N313" s="429"/>
      <c r="O313" s="216"/>
      <c r="P313" s="216"/>
      <c r="Q313" s="216"/>
      <c r="R313" s="216"/>
      <c r="S313" s="216"/>
      <c r="T313" s="227"/>
      <c r="U313" s="216"/>
      <c r="V313" s="229"/>
      <c r="W313" s="229"/>
      <c r="X313" s="229"/>
      <c r="Y313" s="229"/>
      <c r="Z313" s="229"/>
      <c r="AA313" s="229"/>
      <c r="AB313" s="229"/>
      <c r="AC313" s="229"/>
      <c r="AD313" s="229"/>
      <c r="AE313" s="229"/>
      <c r="AF313" s="229"/>
      <c r="AG313" s="229"/>
      <c r="AH313" s="229"/>
      <c r="AI313" s="229"/>
      <c r="AJ313" s="229"/>
      <c r="AK313" s="230"/>
      <c r="AL313" s="230"/>
      <c r="AM313" s="230"/>
      <c r="AN313" s="230"/>
      <c r="AO313" s="230"/>
      <c r="AP313" s="159"/>
      <c r="AQ313" s="21"/>
      <c r="AR313" s="21"/>
      <c r="AS313" s="21"/>
      <c r="AT313" s="21"/>
      <c r="AU313" s="21"/>
      <c r="AV313" s="25"/>
      <c r="AW313" s="21"/>
      <c r="AX313" s="21"/>
      <c r="AY313" s="21"/>
      <c r="AZ313" s="21"/>
      <c r="BA313" s="25"/>
      <c r="BB313" s="21"/>
      <c r="BC313" s="21"/>
      <c r="BD313" s="21"/>
      <c r="BE313" s="21"/>
      <c r="BF313" s="25"/>
      <c r="BG313" s="21"/>
      <c r="BH313" s="21"/>
      <c r="BI313" s="21"/>
      <c r="BJ313" s="21"/>
      <c r="BK313" s="25"/>
      <c r="BL313" s="21"/>
      <c r="BM313" s="21"/>
      <c r="BN313" s="21"/>
      <c r="BO313" s="21"/>
      <c r="BP313" s="25"/>
      <c r="BQ313" s="21"/>
      <c r="BR313" s="21"/>
      <c r="BS313" s="21"/>
      <c r="BT313" s="21"/>
      <c r="BU313" s="25"/>
      <c r="BV313" s="21"/>
      <c r="BW313" s="21"/>
      <c r="BX313" s="22"/>
      <c r="BY313" s="22"/>
      <c r="BZ313" s="21">
        <f t="shared" si="639"/>
        <v>0</v>
      </c>
      <c r="CA313" s="25">
        <f t="shared" si="740"/>
        <v>0</v>
      </c>
      <c r="CB313" s="21"/>
      <c r="CC313" s="21">
        <f t="shared" si="741"/>
        <v>0</v>
      </c>
      <c r="CD313" s="22"/>
      <c r="CE313" s="22"/>
      <c r="CF313" s="25">
        <f t="shared" si="640"/>
        <v>0</v>
      </c>
      <c r="CG313" s="25">
        <f t="shared" si="641"/>
        <v>0</v>
      </c>
      <c r="CH313" s="25">
        <f t="shared" si="642"/>
        <v>0</v>
      </c>
      <c r="CI313" s="25">
        <f t="shared" si="643"/>
        <v>0</v>
      </c>
      <c r="CJ313" s="25"/>
      <c r="CK313" s="57"/>
      <c r="CN313" s="25"/>
      <c r="CO313" s="21"/>
      <c r="CP313" s="21"/>
      <c r="CQ313" s="21"/>
      <c r="CR313" s="21"/>
      <c r="CS313" s="25"/>
      <c r="CT313" s="21"/>
      <c r="CU313" s="21"/>
      <c r="CV313" s="21"/>
      <c r="CW313" s="21"/>
      <c r="CX313" s="25"/>
      <c r="CY313" s="21"/>
      <c r="CZ313" s="22"/>
      <c r="DA313" s="22"/>
      <c r="DB313" s="22"/>
      <c r="DF313" s="169"/>
      <c r="DG313" s="57"/>
      <c r="DH313" s="57"/>
      <c r="DI313" s="170"/>
      <c r="DQ313" s="25"/>
      <c r="DR313" s="21"/>
      <c r="DS313" s="22"/>
      <c r="DT313" s="22"/>
      <c r="DU313" s="22"/>
      <c r="DV313" s="25"/>
      <c r="DW313" s="21"/>
      <c r="DX313" s="22"/>
      <c r="DY313" s="151"/>
      <c r="DZ313" s="22"/>
      <c r="EA313" s="372"/>
      <c r="EB313" s="372"/>
      <c r="EC313" s="372"/>
      <c r="ED313" s="372"/>
      <c r="EE313" s="372"/>
      <c r="EF313" s="372"/>
      <c r="EG313" s="372"/>
      <c r="EH313" s="372"/>
      <c r="EI313" s="372"/>
      <c r="EJ313" s="372"/>
      <c r="EK313" s="372"/>
      <c r="EL313" s="372"/>
      <c r="EM313" s="372"/>
      <c r="EN313" s="372"/>
      <c r="EO313" s="372"/>
      <c r="EP313" s="372"/>
      <c r="EQ313" s="372"/>
      <c r="ER313" s="372"/>
      <c r="ES313" s="372"/>
      <c r="ET313" s="372"/>
      <c r="EU313" s="372"/>
      <c r="EV313" s="372"/>
      <c r="EW313" s="372"/>
      <c r="EX313" s="372"/>
      <c r="EY313" s="372"/>
      <c r="EZ313" s="372"/>
      <c r="FA313" s="372"/>
      <c r="FB313" s="372"/>
      <c r="FC313" s="372"/>
      <c r="FD313" s="372"/>
      <c r="FE313" s="372"/>
      <c r="FF313" s="372"/>
      <c r="FG313" s="372"/>
      <c r="FH313" s="372"/>
      <c r="FI313" s="372"/>
      <c r="FJ313" s="372"/>
      <c r="FK313" s="372"/>
      <c r="FL313" s="372"/>
      <c r="FM313" s="372"/>
      <c r="FN313" s="372"/>
      <c r="FO313" s="372"/>
      <c r="FP313" s="372"/>
      <c r="FQ313" s="372"/>
      <c r="FR313" s="372"/>
      <c r="FS313" s="372"/>
      <c r="FT313" s="372"/>
      <c r="FU313" s="372"/>
      <c r="FV313" s="372"/>
      <c r="FW313" s="372"/>
      <c r="FX313" s="372"/>
      <c r="FY313" s="372"/>
      <c r="FZ313" s="372"/>
      <c r="GA313" s="372"/>
      <c r="GB313" s="372"/>
      <c r="GC313" s="372"/>
      <c r="GD313" s="372"/>
      <c r="GE313" s="372"/>
      <c r="GF313" s="372"/>
      <c r="GG313" s="372"/>
      <c r="GH313" s="372"/>
      <c r="GI313" s="372"/>
      <c r="GJ313" s="372"/>
      <c r="GK313" s="372"/>
      <c r="GL313" s="372"/>
      <c r="GM313" s="372"/>
      <c r="GN313" s="372"/>
      <c r="GO313" s="372"/>
      <c r="GP313" s="372"/>
      <c r="GQ313" s="372"/>
      <c r="GR313" s="372"/>
    </row>
    <row r="314" spans="2:200" s="48" customFormat="1" ht="15.6" hidden="1" x14ac:dyDescent="0.3">
      <c r="B314" s="231"/>
      <c r="C314" s="232"/>
      <c r="D314" s="232"/>
      <c r="M314" s="431" t="s">
        <v>295</v>
      </c>
      <c r="N314" s="432"/>
      <c r="O314" s="219"/>
      <c r="P314" s="219"/>
      <c r="Q314" s="219"/>
      <c r="R314" s="219"/>
      <c r="S314" s="219"/>
      <c r="T314" s="44">
        <f>T310+T311+T312+T313</f>
        <v>2</v>
      </c>
      <c r="U314" s="219"/>
      <c r="V314" s="43">
        <f>X314</f>
        <v>0</v>
      </c>
      <c r="W314" s="43">
        <f>W310+W311+W312+W313</f>
        <v>18979.612999999998</v>
      </c>
      <c r="X314" s="43">
        <f>X310+X311</f>
        <v>0</v>
      </c>
      <c r="Y314" s="43">
        <f t="shared" ref="Y314:Z314" si="746">Y310+Y311+Y312+Y313</f>
        <v>0</v>
      </c>
      <c r="Z314" s="43">
        <f t="shared" si="746"/>
        <v>0</v>
      </c>
      <c r="AA314" s="43">
        <f>AC314</f>
        <v>0</v>
      </c>
      <c r="AB314" s="43"/>
      <c r="AC314" s="43">
        <f>AC310+AC311</f>
        <v>0</v>
      </c>
      <c r="AD314" s="43"/>
      <c r="AE314" s="43"/>
      <c r="AF314" s="43">
        <f>AH314</f>
        <v>0</v>
      </c>
      <c r="AG314" s="43"/>
      <c r="AH314" s="43">
        <f>AH310+AH311</f>
        <v>0</v>
      </c>
      <c r="AI314" s="43"/>
      <c r="AJ314" s="43"/>
      <c r="AK314" s="43">
        <f>AM314</f>
        <v>0</v>
      </c>
      <c r="AL314" s="43"/>
      <c r="AM314" s="43">
        <f>AM310+AM311</f>
        <v>0</v>
      </c>
      <c r="AN314" s="43"/>
      <c r="AO314" s="43"/>
      <c r="AP314" s="43"/>
      <c r="AQ314" s="43">
        <f>AQ310+AQ311+AQ312+AQ313</f>
        <v>10226.06</v>
      </c>
      <c r="AR314" s="43">
        <f>AR310+AR311+AR312+AR313</f>
        <v>10226.06</v>
      </c>
      <c r="AS314" s="43">
        <f>AS310+AS311+AS312+AS313</f>
        <v>0</v>
      </c>
      <c r="AT314" s="43">
        <f>AT310+AT311+AT312+AT313</f>
        <v>0</v>
      </c>
      <c r="AU314" s="43">
        <f>AU310+AU311+AU312+AU313</f>
        <v>0</v>
      </c>
      <c r="AV314" s="43" t="e">
        <f>AV298+AV302</f>
        <v>#REF!</v>
      </c>
      <c r="AW314" s="43">
        <f t="shared" ref="AW314:AZ314" si="747">AW310+AW311+AW312</f>
        <v>0</v>
      </c>
      <c r="AX314" s="43" t="e">
        <f t="shared" si="747"/>
        <v>#REF!</v>
      </c>
      <c r="AY314" s="43">
        <f t="shared" si="747"/>
        <v>0</v>
      </c>
      <c r="AZ314" s="43">
        <f t="shared" si="747"/>
        <v>0</v>
      </c>
      <c r="BA314" s="43">
        <f>BA310+BA311+BA312+BA313</f>
        <v>10226.06</v>
      </c>
      <c r="BB314" s="43">
        <f>BB310+BB311+BB312+BB313</f>
        <v>10226.06</v>
      </c>
      <c r="BC314" s="43">
        <f>BC310+BC311+BC312+BC313</f>
        <v>0</v>
      </c>
      <c r="BD314" s="43">
        <f t="shared" ref="BD314:BE314" si="748">BD310+BD311+BD312+BD313</f>
        <v>0</v>
      </c>
      <c r="BE314" s="43">
        <f t="shared" si="748"/>
        <v>0</v>
      </c>
      <c r="BF314" s="43"/>
      <c r="BG314" s="43"/>
      <c r="BH314" s="43"/>
      <c r="BI314" s="43"/>
      <c r="BJ314" s="43"/>
      <c r="BK314" s="43">
        <f>BK310+BK311+BK312+BK313</f>
        <v>10226.06</v>
      </c>
      <c r="BL314" s="43">
        <f>BL310+BL311+BL312</f>
        <v>10226.06</v>
      </c>
      <c r="BM314" s="43">
        <f>BM310+BM311+BM312+BM313</f>
        <v>0</v>
      </c>
      <c r="BN314" s="43">
        <f t="shared" ref="BN314:CJ314" si="749">BN310+BN311+BN312+BN313</f>
        <v>0</v>
      </c>
      <c r="BO314" s="43">
        <f t="shared" si="749"/>
        <v>0</v>
      </c>
      <c r="BP314" s="43">
        <f t="shared" si="749"/>
        <v>10170.645860000001</v>
      </c>
      <c r="BQ314" s="43">
        <f t="shared" si="749"/>
        <v>10170.645860000001</v>
      </c>
      <c r="BR314" s="43">
        <f t="shared" si="749"/>
        <v>0</v>
      </c>
      <c r="BS314" s="43">
        <f t="shared" si="749"/>
        <v>0</v>
      </c>
      <c r="BT314" s="43">
        <f t="shared" si="749"/>
        <v>0</v>
      </c>
      <c r="BU314" s="43">
        <f t="shared" si="749"/>
        <v>0.52839999999999998</v>
      </c>
      <c r="BV314" s="43">
        <f t="shared" si="749"/>
        <v>0.52839999999999998</v>
      </c>
      <c r="BW314" s="43">
        <f t="shared" si="749"/>
        <v>0</v>
      </c>
      <c r="BX314" s="43">
        <f t="shared" si="749"/>
        <v>0</v>
      </c>
      <c r="BY314" s="43">
        <f t="shared" si="749"/>
        <v>0</v>
      </c>
      <c r="BZ314" s="233">
        <f t="shared" si="749"/>
        <v>0</v>
      </c>
      <c r="CA314" s="43">
        <f t="shared" si="749"/>
        <v>0</v>
      </c>
      <c r="CB314" s="43">
        <f t="shared" si="749"/>
        <v>0</v>
      </c>
      <c r="CC314" s="43">
        <f t="shared" si="749"/>
        <v>0</v>
      </c>
      <c r="CD314" s="43">
        <f t="shared" si="749"/>
        <v>0</v>
      </c>
      <c r="CE314" s="43">
        <f t="shared" si="749"/>
        <v>0</v>
      </c>
      <c r="CF314" s="43">
        <f t="shared" si="640"/>
        <v>55.414139999998952</v>
      </c>
      <c r="CG314" s="43">
        <f t="shared" si="641"/>
        <v>55.414139999998952</v>
      </c>
      <c r="CH314" s="43">
        <f t="shared" si="642"/>
        <v>0</v>
      </c>
      <c r="CI314" s="43">
        <f t="shared" si="643"/>
        <v>0</v>
      </c>
      <c r="CJ314" s="43">
        <f t="shared" si="749"/>
        <v>0</v>
      </c>
      <c r="CK314" s="46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>
        <f>CX298+CX302</f>
        <v>0</v>
      </c>
      <c r="CY314" s="43">
        <f>CY298+CY302</f>
        <v>0</v>
      </c>
      <c r="CZ314" s="43">
        <f>CZ298+CZ302</f>
        <v>0</v>
      </c>
      <c r="DA314" s="43">
        <f>DA298+DA302</f>
        <v>0</v>
      </c>
      <c r="DB314" s="43">
        <f>DB298+DB302</f>
        <v>0</v>
      </c>
      <c r="DF314" s="234"/>
      <c r="DG314" s="46"/>
      <c r="DH314" s="46"/>
      <c r="DI314" s="235"/>
      <c r="DQ314" s="43">
        <f>DQ310+DQ311+DQ312</f>
        <v>10170.645860000001</v>
      </c>
      <c r="DR314" s="43"/>
      <c r="DS314" s="43">
        <f>DS310+DS311+DS312</f>
        <v>0</v>
      </c>
      <c r="DT314" s="43"/>
      <c r="DU314" s="43"/>
      <c r="DV314" s="43">
        <f t="shared" ref="DV314:DZ314" si="750">DV310+DV311+DV312</f>
        <v>52.84</v>
      </c>
      <c r="DW314" s="43">
        <f t="shared" si="750"/>
        <v>52.84</v>
      </c>
      <c r="DX314" s="43">
        <f t="shared" si="750"/>
        <v>0</v>
      </c>
      <c r="DY314" s="120">
        <f t="shared" si="750"/>
        <v>0</v>
      </c>
      <c r="DZ314" s="43">
        <f t="shared" si="750"/>
        <v>0</v>
      </c>
      <c r="EA314" s="372"/>
      <c r="EB314" s="372"/>
      <c r="EC314" s="372"/>
      <c r="ED314" s="372"/>
      <c r="EE314" s="372"/>
      <c r="EF314" s="372"/>
      <c r="EG314" s="372"/>
      <c r="EH314" s="372"/>
      <c r="EI314" s="372"/>
      <c r="EJ314" s="372"/>
      <c r="EK314" s="372"/>
      <c r="EL314" s="372"/>
      <c r="EM314" s="372"/>
      <c r="EN314" s="372"/>
      <c r="EO314" s="372"/>
      <c r="EP314" s="372"/>
      <c r="EQ314" s="372"/>
      <c r="ER314" s="372"/>
      <c r="ES314" s="372"/>
      <c r="ET314" s="372"/>
      <c r="EU314" s="372"/>
      <c r="EV314" s="372"/>
      <c r="EW314" s="372"/>
      <c r="EX314" s="372"/>
      <c r="EY314" s="372"/>
      <c r="EZ314" s="372"/>
      <c r="FA314" s="372"/>
      <c r="FB314" s="372"/>
      <c r="FC314" s="372"/>
      <c r="FD314" s="372"/>
      <c r="FE314" s="372"/>
      <c r="FF314" s="372"/>
      <c r="FG314" s="372"/>
      <c r="FH314" s="372"/>
      <c r="FI314" s="372"/>
      <c r="FJ314" s="372"/>
      <c r="FK314" s="372"/>
      <c r="FL314" s="372"/>
      <c r="FM314" s="372"/>
      <c r="FN314" s="372"/>
      <c r="FO314" s="372"/>
      <c r="FP314" s="372"/>
      <c r="FQ314" s="372"/>
      <c r="FR314" s="372"/>
      <c r="FS314" s="372"/>
      <c r="FT314" s="372"/>
      <c r="FU314" s="372"/>
      <c r="FV314" s="372"/>
      <c r="FW314" s="372"/>
      <c r="FX314" s="372"/>
      <c r="FY314" s="372"/>
      <c r="FZ314" s="372"/>
      <c r="GA314" s="372"/>
      <c r="GB314" s="372"/>
      <c r="GC314" s="372"/>
      <c r="GD314" s="372"/>
      <c r="GE314" s="372"/>
      <c r="GF314" s="372"/>
      <c r="GG314" s="372"/>
      <c r="GH314" s="372"/>
      <c r="GI314" s="372"/>
      <c r="GJ314" s="372"/>
      <c r="GK314" s="372"/>
      <c r="GL314" s="372"/>
      <c r="GM314" s="372"/>
      <c r="GN314" s="372"/>
      <c r="GO314" s="372"/>
      <c r="GP314" s="372"/>
      <c r="GQ314" s="372"/>
      <c r="GR314" s="372"/>
    </row>
    <row r="315" spans="2:200" s="59" customFormat="1" ht="12.75" hidden="1" customHeight="1" thickBot="1" x14ac:dyDescent="0.3">
      <c r="B315" s="143"/>
      <c r="C315" s="143"/>
      <c r="D315" s="143"/>
      <c r="E315" s="199"/>
      <c r="F315" s="143"/>
      <c r="G315" s="143"/>
      <c r="H315" s="143"/>
      <c r="I315" s="143"/>
      <c r="J315" s="143"/>
      <c r="K315" s="143"/>
      <c r="L315" s="143"/>
      <c r="M315" s="236"/>
      <c r="N315" s="236"/>
      <c r="O315" s="236"/>
      <c r="P315" s="236"/>
      <c r="Q315" s="236"/>
      <c r="R315" s="236"/>
      <c r="S315" s="236"/>
      <c r="T315" s="236"/>
      <c r="U315" s="236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202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3"/>
      <c r="BZ315" s="202"/>
      <c r="CA315" s="143"/>
      <c r="CB315" s="143"/>
      <c r="CC315" s="143"/>
      <c r="CD315" s="143"/>
      <c r="CE315" s="143"/>
      <c r="CF315" s="143">
        <f t="shared" si="640"/>
        <v>0</v>
      </c>
      <c r="CG315" s="143">
        <f t="shared" si="641"/>
        <v>0</v>
      </c>
      <c r="CH315" s="143">
        <f t="shared" si="642"/>
        <v>0</v>
      </c>
      <c r="CI315" s="143">
        <f t="shared" si="643"/>
        <v>0</v>
      </c>
      <c r="CJ315" s="143"/>
      <c r="CK315" s="57"/>
      <c r="CN315" s="143"/>
      <c r="CO315" s="143"/>
      <c r="CP315" s="143"/>
      <c r="CQ315" s="143"/>
      <c r="CR315" s="143"/>
      <c r="CS315" s="143"/>
      <c r="CT315" s="143"/>
      <c r="CU315" s="143"/>
      <c r="CV315" s="143"/>
      <c r="CW315" s="143"/>
      <c r="CX315" s="143"/>
      <c r="CY315" s="143"/>
      <c r="CZ315" s="143"/>
      <c r="DA315" s="143"/>
      <c r="DB315" s="143"/>
      <c r="DF315" s="237" t="s">
        <v>308</v>
      </c>
      <c r="DG315" s="57"/>
      <c r="DH315" s="57"/>
      <c r="DI315" s="170"/>
      <c r="DQ315" s="143"/>
      <c r="DR315" s="143"/>
      <c r="DS315" s="143"/>
      <c r="DT315" s="143"/>
      <c r="DU315" s="143"/>
      <c r="DV315" s="143"/>
      <c r="DW315" s="143"/>
      <c r="DX315" s="143"/>
      <c r="DY315" s="143"/>
      <c r="DZ315" s="21"/>
      <c r="EA315" s="372"/>
      <c r="EB315" s="372"/>
      <c r="EC315" s="372"/>
      <c r="ED315" s="372"/>
      <c r="EE315" s="372"/>
      <c r="EF315" s="372"/>
      <c r="EG315" s="372"/>
      <c r="EH315" s="372"/>
      <c r="EI315" s="372"/>
      <c r="EJ315" s="372"/>
      <c r="EK315" s="372"/>
      <c r="EL315" s="372"/>
      <c r="EM315" s="372"/>
      <c r="EN315" s="372"/>
      <c r="EO315" s="372"/>
      <c r="EP315" s="372"/>
      <c r="EQ315" s="372"/>
      <c r="ER315" s="372"/>
      <c r="ES315" s="372"/>
      <c r="ET315" s="372"/>
      <c r="EU315" s="372"/>
      <c r="EV315" s="372"/>
      <c r="EW315" s="372"/>
      <c r="EX315" s="372"/>
      <c r="EY315" s="372"/>
      <c r="EZ315" s="372"/>
      <c r="FA315" s="372"/>
      <c r="FB315" s="372"/>
      <c r="FC315" s="372"/>
      <c r="FD315" s="372"/>
      <c r="FE315" s="372"/>
      <c r="FF315" s="372"/>
      <c r="FG315" s="372"/>
      <c r="FH315" s="372"/>
      <c r="FI315" s="372"/>
      <c r="FJ315" s="372"/>
      <c r="FK315" s="372"/>
      <c r="FL315" s="372"/>
      <c r="FM315" s="372"/>
      <c r="FN315" s="372"/>
      <c r="FO315" s="372"/>
      <c r="FP315" s="372"/>
      <c r="FQ315" s="372"/>
      <c r="FR315" s="372"/>
      <c r="FS315" s="372"/>
      <c r="FT315" s="372"/>
      <c r="FU315" s="372"/>
      <c r="FV315" s="372"/>
      <c r="FW315" s="372"/>
      <c r="FX315" s="372"/>
      <c r="FY315" s="372"/>
      <c r="FZ315" s="372"/>
      <c r="GA315" s="372"/>
      <c r="GB315" s="372"/>
      <c r="GC315" s="372"/>
      <c r="GD315" s="372"/>
      <c r="GE315" s="372"/>
      <c r="GF315" s="372"/>
      <c r="GG315" s="372"/>
      <c r="GH315" s="372"/>
      <c r="GI315" s="372"/>
      <c r="GJ315" s="372"/>
      <c r="GK315" s="372"/>
      <c r="GL315" s="372"/>
      <c r="GM315" s="372"/>
      <c r="GN315" s="372"/>
      <c r="GO315" s="372"/>
      <c r="GP315" s="372"/>
      <c r="GQ315" s="372"/>
      <c r="GR315" s="372"/>
    </row>
    <row r="316" spans="2:200" s="48" customFormat="1" ht="16.2" hidden="1" thickBot="1" x14ac:dyDescent="0.35">
      <c r="B316" s="231"/>
      <c r="C316" s="232"/>
      <c r="D316" s="232"/>
      <c r="M316" s="431" t="s">
        <v>284</v>
      </c>
      <c r="N316" s="432"/>
      <c r="O316" s="219"/>
      <c r="P316" s="219"/>
      <c r="Q316" s="219"/>
      <c r="R316" s="219"/>
      <c r="S316" s="219"/>
      <c r="T316" s="219"/>
      <c r="U316" s="219"/>
      <c r="V316" s="43">
        <f>W316+X316+Y316+Z316</f>
        <v>1092056.192</v>
      </c>
      <c r="W316" s="43">
        <f>W317+W318</f>
        <v>613407.56400000001</v>
      </c>
      <c r="X316" s="43">
        <f>X317+X318</f>
        <v>223922.57699999999</v>
      </c>
      <c r="Y316" s="43">
        <f>Y317+Y318</f>
        <v>254726.05100000004</v>
      </c>
      <c r="Z316" s="43">
        <f>Z317+Z318</f>
        <v>0</v>
      </c>
      <c r="AA316" s="43">
        <f>AB316+AC316+AD316+AE316</f>
        <v>1063871.942</v>
      </c>
      <c r="AB316" s="43">
        <f>AB317+AB318</f>
        <v>579145.89100000006</v>
      </c>
      <c r="AC316" s="43">
        <f>AC317+AC318</f>
        <v>230000.00000000003</v>
      </c>
      <c r="AD316" s="43">
        <f>AD317+AD318</f>
        <v>254726.05099999998</v>
      </c>
      <c r="AE316" s="43">
        <f>AE317+AE318</f>
        <v>0</v>
      </c>
      <c r="AF316" s="43">
        <f>AG316+AH316+AI316+AJ316</f>
        <v>1071836.1440000001</v>
      </c>
      <c r="AG316" s="43">
        <f>AG317+AG318</f>
        <v>587110.09299999999</v>
      </c>
      <c r="AH316" s="43">
        <f>AH317+AH318</f>
        <v>230000.00000000003</v>
      </c>
      <c r="AI316" s="43">
        <f>AI317+AI318</f>
        <v>254726.05100000001</v>
      </c>
      <c r="AJ316" s="43">
        <f>AJ317+AJ318</f>
        <v>0</v>
      </c>
      <c r="AK316" s="43">
        <f>AL316+AM316+AN316+AO316</f>
        <v>683000</v>
      </c>
      <c r="AL316" s="43">
        <f>AL317+AL318</f>
        <v>421431.3</v>
      </c>
      <c r="AM316" s="43">
        <f>AM317+AM318</f>
        <v>100000</v>
      </c>
      <c r="AN316" s="43">
        <f>AN317+AN318</f>
        <v>161568.70000000001</v>
      </c>
      <c r="AO316" s="43">
        <f>AO317+AO318</f>
        <v>0</v>
      </c>
      <c r="AP316" s="43"/>
      <c r="AQ316" s="43">
        <f>AR316+AS316+AT316+AU316</f>
        <v>1083302.639</v>
      </c>
      <c r="AR316" s="43">
        <f>AR317+AR318</f>
        <v>604654.01100000006</v>
      </c>
      <c r="AS316" s="43">
        <f>AS317+AS318</f>
        <v>223922.57699999999</v>
      </c>
      <c r="AT316" s="43">
        <f>AT317+AT318</f>
        <v>254726.05100000004</v>
      </c>
      <c r="AU316" s="43">
        <f>AU317+AU318</f>
        <v>0</v>
      </c>
      <c r="AV316" s="43" t="e">
        <f>AW316+AX316+AY316+AZ316</f>
        <v>#REF!</v>
      </c>
      <c r="AW316" s="43" t="e">
        <f>AW317+AW318</f>
        <v>#REF!</v>
      </c>
      <c r="AX316" s="43" t="e">
        <f>AX317+AX318</f>
        <v>#REF!</v>
      </c>
      <c r="AY316" s="43" t="e">
        <f>AY317+AY318</f>
        <v>#REF!</v>
      </c>
      <c r="AZ316" s="43" t="e">
        <f>AZ317+AZ318</f>
        <v>#REF!</v>
      </c>
      <c r="BA316" s="43">
        <f>BB316+BC316+BD316+BE316</f>
        <v>803963.91177999997</v>
      </c>
      <c r="BB316" s="43">
        <f>BB317+BB318</f>
        <v>325315.28378</v>
      </c>
      <c r="BC316" s="43">
        <f>BC317+BC318</f>
        <v>223922.57699999999</v>
      </c>
      <c r="BD316" s="43">
        <f>BD317+BD318</f>
        <v>254726.05100000004</v>
      </c>
      <c r="BE316" s="43">
        <f>BE317+BE318</f>
        <v>0</v>
      </c>
      <c r="BF316" s="43">
        <f>BG316+BH316+BI316+BJ316</f>
        <v>0</v>
      </c>
      <c r="BG316" s="43">
        <f>BG317+BG318</f>
        <v>0</v>
      </c>
      <c r="BH316" s="43">
        <f>BH317+BH318</f>
        <v>0</v>
      </c>
      <c r="BI316" s="43">
        <f>BI317+BI318</f>
        <v>0</v>
      </c>
      <c r="BJ316" s="43">
        <f>BJ317+BJ318</f>
        <v>0</v>
      </c>
      <c r="BK316" s="43">
        <f>BL316+BM316+BN316+BO316</f>
        <v>803963.91177999997</v>
      </c>
      <c r="BL316" s="43">
        <f>BL317+BL318</f>
        <v>325315.28378</v>
      </c>
      <c r="BM316" s="43">
        <f>BM317+BM318</f>
        <v>223922.57699999999</v>
      </c>
      <c r="BN316" s="43">
        <f>BN317+BN318</f>
        <v>254726.05100000004</v>
      </c>
      <c r="BO316" s="43">
        <f>BO317+BO318</f>
        <v>0</v>
      </c>
      <c r="BP316" s="43">
        <f>BQ316+BR316+BS316+BT316</f>
        <v>776215.99295999995</v>
      </c>
      <c r="BQ316" s="43">
        <f>BQ317+BQ318</f>
        <v>325259.86963999999</v>
      </c>
      <c r="BR316" s="43">
        <f>BR317+BR318</f>
        <v>212572.74614999996</v>
      </c>
      <c r="BS316" s="43">
        <f>BS317+BS318</f>
        <v>238383.37716999999</v>
      </c>
      <c r="BT316" s="43">
        <f>BT317+BT318</f>
        <v>0</v>
      </c>
      <c r="BU316" s="43">
        <f>BV316+BW316+BX316+BY316</f>
        <v>268970.45321000001</v>
      </c>
      <c r="BV316" s="43">
        <f>BV317+BV318</f>
        <v>56690.228580000003</v>
      </c>
      <c r="BW316" s="43">
        <f>BW317+BW318</f>
        <v>128148.25510000001</v>
      </c>
      <c r="BX316" s="43">
        <f>BX317+BX318</f>
        <v>84131.969530000017</v>
      </c>
      <c r="BY316" s="43">
        <f>BY317+BY318</f>
        <v>0</v>
      </c>
      <c r="BZ316" s="43">
        <f t="shared" si="639"/>
        <v>1035015.27191</v>
      </c>
      <c r="CA316" s="43">
        <f>CB316+CC316+CD316+CE316</f>
        <v>1035015.27191</v>
      </c>
      <c r="CB316" s="43">
        <f>CB317+CB318</f>
        <v>371778.92395999999</v>
      </c>
      <c r="CC316" s="43">
        <f t="shared" si="741"/>
        <v>340721.00124999997</v>
      </c>
      <c r="CD316" s="43">
        <f>CD317+CD318</f>
        <v>322515.34669999999</v>
      </c>
      <c r="CE316" s="43">
        <f>CE317+CE318</f>
        <v>0</v>
      </c>
      <c r="CF316" s="43">
        <f t="shared" si="640"/>
        <v>27747.918820000079</v>
      </c>
      <c r="CG316" s="43">
        <f t="shared" si="641"/>
        <v>55.414140000008047</v>
      </c>
      <c r="CH316" s="43">
        <f t="shared" si="642"/>
        <v>11349.830850000028</v>
      </c>
      <c r="CI316" s="43">
        <f t="shared" si="643"/>
        <v>16342.673830000043</v>
      </c>
      <c r="CJ316" s="43">
        <f>CJ317+CJ318</f>
        <v>0</v>
      </c>
      <c r="CK316" s="46"/>
      <c r="CN316" s="43">
        <f>CN292</f>
        <v>0</v>
      </c>
      <c r="CO316" s="43">
        <f>CO292</f>
        <v>0</v>
      </c>
      <c r="CP316" s="43">
        <f>CP292</f>
        <v>0</v>
      </c>
      <c r="CQ316" s="43">
        <f>CQ292</f>
        <v>0</v>
      </c>
      <c r="CR316" s="43">
        <f>CR292</f>
        <v>0</v>
      </c>
      <c r="CS316" s="43">
        <f>CT316+CU316+CV316+CW316</f>
        <v>0</v>
      </c>
      <c r="CT316" s="43">
        <f>CT317+CT318</f>
        <v>0</v>
      </c>
      <c r="CU316" s="43">
        <f>CU317+CU318</f>
        <v>0</v>
      </c>
      <c r="CV316" s="43">
        <f>CV317+CV318</f>
        <v>0</v>
      </c>
      <c r="CW316" s="43">
        <f>CW317+CW318</f>
        <v>0</v>
      </c>
      <c r="CX316" s="43">
        <f t="shared" ref="CX316:DE316" si="751">CX306+CX314</f>
        <v>0</v>
      </c>
      <c r="CY316" s="43">
        <f t="shared" si="751"/>
        <v>0</v>
      </c>
      <c r="CZ316" s="43">
        <f t="shared" si="751"/>
        <v>0</v>
      </c>
      <c r="DA316" s="43">
        <f t="shared" si="751"/>
        <v>0</v>
      </c>
      <c r="DB316" s="43">
        <f t="shared" si="751"/>
        <v>0</v>
      </c>
      <c r="DC316" s="43">
        <f t="shared" si="751"/>
        <v>0</v>
      </c>
      <c r="DD316" s="43">
        <f t="shared" si="751"/>
        <v>0</v>
      </c>
      <c r="DE316" s="120">
        <f t="shared" si="751"/>
        <v>0</v>
      </c>
      <c r="DF316" s="238">
        <f>DH316-DI316</f>
        <v>27692.504679999896</v>
      </c>
      <c r="DG316" s="239"/>
      <c r="DH316" s="240">
        <f>DH260+DH265</f>
        <v>793737.85177999991</v>
      </c>
      <c r="DI316" s="238">
        <f>DI260+DI265</f>
        <v>766045.34710000001</v>
      </c>
      <c r="DQ316" s="43">
        <f>DR316+DS316+DT316+DU316</f>
        <v>715432.46661</v>
      </c>
      <c r="DR316" s="43">
        <f>DR317+DR318</f>
        <v>302114.80282000004</v>
      </c>
      <c r="DS316" s="43">
        <f>DS317+DS318</f>
        <v>212572.74614999996</v>
      </c>
      <c r="DT316" s="43">
        <f>DT317+DT318</f>
        <v>200744.91764</v>
      </c>
      <c r="DU316" s="43">
        <f>DU317+DU318</f>
        <v>0</v>
      </c>
      <c r="DV316" s="43">
        <f>DW316+DX316+DY316+DZ316</f>
        <v>203343.85976999998</v>
      </c>
      <c r="DW316" s="43">
        <f>DW317+DW318</f>
        <v>61090.626759999992</v>
      </c>
      <c r="DX316" s="43">
        <f>DX317+DX318</f>
        <v>72908.370759999976</v>
      </c>
      <c r="DY316" s="120">
        <f>DY317+DY318</f>
        <v>69344.862249999991</v>
      </c>
      <c r="DZ316" s="43">
        <f>DZ317+DZ318</f>
        <v>0</v>
      </c>
      <c r="EA316" s="372"/>
      <c r="EB316" s="372"/>
      <c r="EC316" s="372"/>
      <c r="ED316" s="372"/>
      <c r="EE316" s="372"/>
      <c r="EF316" s="372"/>
      <c r="EG316" s="372"/>
      <c r="EH316" s="372"/>
      <c r="EI316" s="372"/>
      <c r="EJ316" s="372"/>
      <c r="EK316" s="372"/>
      <c r="EL316" s="372"/>
      <c r="EM316" s="372"/>
      <c r="EN316" s="372"/>
      <c r="EO316" s="372"/>
      <c r="EP316" s="372"/>
      <c r="EQ316" s="372"/>
      <c r="ER316" s="372"/>
      <c r="ES316" s="372"/>
      <c r="ET316" s="372"/>
      <c r="EU316" s="372"/>
      <c r="EV316" s="372"/>
      <c r="EW316" s="372"/>
      <c r="EX316" s="372"/>
      <c r="EY316" s="372"/>
      <c r="EZ316" s="372"/>
      <c r="FA316" s="372"/>
      <c r="FB316" s="372"/>
      <c r="FC316" s="372"/>
      <c r="FD316" s="372"/>
      <c r="FE316" s="372"/>
      <c r="FF316" s="372"/>
      <c r="FG316" s="372"/>
      <c r="FH316" s="372"/>
      <c r="FI316" s="372"/>
      <c r="FJ316" s="372"/>
      <c r="FK316" s="372"/>
      <c r="FL316" s="372"/>
      <c r="FM316" s="372"/>
      <c r="FN316" s="372"/>
      <c r="FO316" s="372"/>
      <c r="FP316" s="372"/>
      <c r="FQ316" s="372"/>
      <c r="FR316" s="372"/>
      <c r="FS316" s="372"/>
      <c r="FT316" s="372"/>
      <c r="FU316" s="372"/>
      <c r="FV316" s="372"/>
      <c r="FW316" s="372"/>
      <c r="FX316" s="372"/>
      <c r="FY316" s="372"/>
      <c r="FZ316" s="372"/>
      <c r="GA316" s="372"/>
      <c r="GB316" s="372"/>
      <c r="GC316" s="372"/>
      <c r="GD316" s="372"/>
      <c r="GE316" s="372"/>
      <c r="GF316" s="372"/>
      <c r="GG316" s="372"/>
      <c r="GH316" s="372"/>
      <c r="GI316" s="372"/>
      <c r="GJ316" s="372"/>
      <c r="GK316" s="372"/>
      <c r="GL316" s="372"/>
      <c r="GM316" s="372"/>
      <c r="GN316" s="372"/>
      <c r="GO316" s="372"/>
      <c r="GP316" s="372"/>
      <c r="GQ316" s="372"/>
      <c r="GR316" s="372"/>
    </row>
    <row r="317" spans="2:200" s="59" customFormat="1" ht="19.5" hidden="1" customHeight="1" x14ac:dyDescent="0.25">
      <c r="B317" s="24"/>
      <c r="C317" s="141"/>
      <c r="D317" s="24"/>
      <c r="E317" s="142"/>
      <c r="F317" s="24"/>
      <c r="G317" s="141"/>
      <c r="H317" s="24"/>
      <c r="I317" s="24"/>
      <c r="J317" s="24"/>
      <c r="K317" s="24"/>
      <c r="L317" s="24"/>
      <c r="M317" s="173"/>
      <c r="N317" s="174" t="s">
        <v>286</v>
      </c>
      <c r="O317" s="174"/>
      <c r="P317" s="174"/>
      <c r="Q317" s="174"/>
      <c r="R317" s="174"/>
      <c r="S317" s="174"/>
      <c r="T317" s="174"/>
      <c r="U317" s="174"/>
      <c r="V317" s="25">
        <f>W317+X317+Y317+Z317</f>
        <v>49023.359999999993</v>
      </c>
      <c r="W317" s="21">
        <f>W307</f>
        <v>49023.359999999993</v>
      </c>
      <c r="X317" s="21">
        <f>X307</f>
        <v>0</v>
      </c>
      <c r="Y317" s="21">
        <f>Y307</f>
        <v>0</v>
      </c>
      <c r="Z317" s="21">
        <f>Z307</f>
        <v>0</v>
      </c>
      <c r="AA317" s="25">
        <f>AB317+AC317+AD317+AE317</f>
        <v>33741.300000000003</v>
      </c>
      <c r="AB317" s="21">
        <f>AB307</f>
        <v>33741.300000000003</v>
      </c>
      <c r="AC317" s="21">
        <f>AC307</f>
        <v>0</v>
      </c>
      <c r="AD317" s="21">
        <f>AD307</f>
        <v>0</v>
      </c>
      <c r="AE317" s="21">
        <f>AE307</f>
        <v>0</v>
      </c>
      <c r="AF317" s="25">
        <f>AG317+AH317+AI317+AJ317</f>
        <v>97565.494999999995</v>
      </c>
      <c r="AG317" s="21">
        <f>AG307</f>
        <v>97565.494999999995</v>
      </c>
      <c r="AH317" s="21">
        <f>AH307</f>
        <v>0</v>
      </c>
      <c r="AI317" s="21">
        <f>AI307</f>
        <v>0</v>
      </c>
      <c r="AJ317" s="21">
        <f>AJ307</f>
        <v>0</v>
      </c>
      <c r="AK317" s="25">
        <f>AL317+AM317+AN317+AO317</f>
        <v>0</v>
      </c>
      <c r="AL317" s="21">
        <f>AL307</f>
        <v>0</v>
      </c>
      <c r="AM317" s="21">
        <f>AM307</f>
        <v>0</v>
      </c>
      <c r="AN317" s="21">
        <f>AN307</f>
        <v>0</v>
      </c>
      <c r="AO317" s="21">
        <f>AO307</f>
        <v>0</v>
      </c>
      <c r="AP317" s="22"/>
      <c r="AQ317" s="25">
        <f>AR317+AS317+AT317+AU317</f>
        <v>49023.359999999993</v>
      </c>
      <c r="AR317" s="21">
        <f t="shared" ref="AR317:AZ317" si="752">AR307</f>
        <v>49023.359999999993</v>
      </c>
      <c r="AS317" s="21">
        <f t="shared" si="752"/>
        <v>0</v>
      </c>
      <c r="AT317" s="21">
        <f t="shared" si="752"/>
        <v>0</v>
      </c>
      <c r="AU317" s="21">
        <f t="shared" si="752"/>
        <v>0</v>
      </c>
      <c r="AV317" s="21" t="e">
        <f t="shared" si="752"/>
        <v>#REF!</v>
      </c>
      <c r="AW317" s="21" t="e">
        <f t="shared" si="752"/>
        <v>#REF!</v>
      </c>
      <c r="AX317" s="21" t="e">
        <f t="shared" si="752"/>
        <v>#REF!</v>
      </c>
      <c r="AY317" s="21" t="e">
        <f t="shared" si="752"/>
        <v>#REF!</v>
      </c>
      <c r="AZ317" s="21" t="e">
        <f t="shared" si="752"/>
        <v>#REF!</v>
      </c>
      <c r="BA317" s="25">
        <f>BB317+BC317+BD317+BE317</f>
        <v>22388.043260000002</v>
      </c>
      <c r="BB317" s="21">
        <f t="shared" ref="BB317:BJ317" si="753">BB307</f>
        <v>22388.043260000002</v>
      </c>
      <c r="BC317" s="21">
        <f t="shared" si="753"/>
        <v>0</v>
      </c>
      <c r="BD317" s="21">
        <f t="shared" si="753"/>
        <v>0</v>
      </c>
      <c r="BE317" s="21">
        <f t="shared" si="753"/>
        <v>0</v>
      </c>
      <c r="BF317" s="21">
        <f t="shared" si="753"/>
        <v>0</v>
      </c>
      <c r="BG317" s="21">
        <f t="shared" si="753"/>
        <v>0</v>
      </c>
      <c r="BH317" s="21">
        <f t="shared" si="753"/>
        <v>0</v>
      </c>
      <c r="BI317" s="21">
        <f t="shared" si="753"/>
        <v>0</v>
      </c>
      <c r="BJ317" s="21">
        <f t="shared" si="753"/>
        <v>0</v>
      </c>
      <c r="BK317" s="25">
        <f>BL317+BM317+BN317+BO317</f>
        <v>22388.043260000002</v>
      </c>
      <c r="BL317" s="21">
        <f>BL307</f>
        <v>22388.043260000002</v>
      </c>
      <c r="BM317" s="21">
        <f>BM307</f>
        <v>0</v>
      </c>
      <c r="BN317" s="21">
        <f>BN307</f>
        <v>0</v>
      </c>
      <c r="BO317" s="21">
        <f>BO307</f>
        <v>0</v>
      </c>
      <c r="BP317" s="25">
        <f>BQ317+BR317+BS317+BT317</f>
        <v>22388.043260000002</v>
      </c>
      <c r="BQ317" s="21">
        <f>BQ307</f>
        <v>22388.043260000002</v>
      </c>
      <c r="BR317" s="21">
        <f>BR307</f>
        <v>0</v>
      </c>
      <c r="BS317" s="21">
        <f>BS307</f>
        <v>0</v>
      </c>
      <c r="BT317" s="21">
        <f>BT307</f>
        <v>0</v>
      </c>
      <c r="BU317" s="25">
        <f>BV317+BW317+BX317+BY317</f>
        <v>0</v>
      </c>
      <c r="BV317" s="21">
        <f>BV307</f>
        <v>0</v>
      </c>
      <c r="BW317" s="21">
        <f>BW307</f>
        <v>0</v>
      </c>
      <c r="BX317" s="21">
        <f>BX307</f>
        <v>0</v>
      </c>
      <c r="BY317" s="21">
        <f>BY307</f>
        <v>0</v>
      </c>
      <c r="BZ317" s="21">
        <f t="shared" si="639"/>
        <v>22388.043260000002</v>
      </c>
      <c r="CA317" s="25">
        <f>CB317+CC317+CD317+CE317</f>
        <v>22388.043260000002</v>
      </c>
      <c r="CB317" s="21">
        <f>CB307</f>
        <v>22388.043260000002</v>
      </c>
      <c r="CC317" s="21">
        <f t="shared" si="741"/>
        <v>0</v>
      </c>
      <c r="CD317" s="21">
        <f>CD307</f>
        <v>0</v>
      </c>
      <c r="CE317" s="21">
        <f>CE307</f>
        <v>0</v>
      </c>
      <c r="CF317" s="25">
        <f t="shared" si="640"/>
        <v>0</v>
      </c>
      <c r="CG317" s="21">
        <f t="shared" si="641"/>
        <v>0</v>
      </c>
      <c r="CH317" s="21">
        <f t="shared" si="642"/>
        <v>0</v>
      </c>
      <c r="CI317" s="21">
        <f t="shared" si="643"/>
        <v>0</v>
      </c>
      <c r="CJ317" s="21">
        <f>CJ307</f>
        <v>0</v>
      </c>
      <c r="CK317" s="57"/>
      <c r="CN317" s="25">
        <f>CO317+CP317+CQ317+CR317</f>
        <v>0</v>
      </c>
      <c r="CO317" s="21">
        <f>CO301+CO305</f>
        <v>0</v>
      </c>
      <c r="CP317" s="21">
        <f>CP301+CP305</f>
        <v>0</v>
      </c>
      <c r="CQ317" s="21">
        <f>CQ301+CQ305</f>
        <v>0</v>
      </c>
      <c r="CR317" s="21">
        <f>CR301+CR305</f>
        <v>0</v>
      </c>
      <c r="CS317" s="25">
        <f>CT317+CU317+CV317+CW317</f>
        <v>0</v>
      </c>
      <c r="CT317" s="21">
        <f t="shared" ref="CT317:CW318" si="754">CT301+CT305</f>
        <v>0</v>
      </c>
      <c r="CU317" s="21">
        <f t="shared" si="754"/>
        <v>0</v>
      </c>
      <c r="CV317" s="21">
        <f t="shared" si="754"/>
        <v>0</v>
      </c>
      <c r="CW317" s="21">
        <f t="shared" si="754"/>
        <v>0</v>
      </c>
      <c r="CX317" s="25">
        <f>CY317+CZ317+DA317+DB317</f>
        <v>0</v>
      </c>
      <c r="CY317" s="21">
        <f>CY301+CY305</f>
        <v>0</v>
      </c>
      <c r="CZ317" s="21">
        <f>CZ301+CZ305</f>
        <v>0</v>
      </c>
      <c r="DA317" s="21">
        <f>DA301+DA305</f>
        <v>0</v>
      </c>
      <c r="DB317" s="21">
        <f>DB301+DB305</f>
        <v>0</v>
      </c>
      <c r="DK317" s="21">
        <f>DK301+DK305</f>
        <v>0</v>
      </c>
      <c r="DL317" s="21">
        <f>DL301+DL305</f>
        <v>0</v>
      </c>
      <c r="DN317" s="21">
        <f>DN301+DN305</f>
        <v>0</v>
      </c>
      <c r="DQ317" s="25">
        <f>DR317+DS317+DT317+DU317</f>
        <v>22388.043260000002</v>
      </c>
      <c r="DR317" s="25">
        <f>DR293</f>
        <v>22388.043260000002</v>
      </c>
      <c r="DS317" s="25">
        <f t="shared" ref="DS317:DU317" si="755">DS293</f>
        <v>0</v>
      </c>
      <c r="DT317" s="25">
        <f t="shared" si="755"/>
        <v>0</v>
      </c>
      <c r="DU317" s="25">
        <f t="shared" si="755"/>
        <v>0</v>
      </c>
      <c r="DV317" s="25">
        <f>DW317+DX317+DY317+DZ317</f>
        <v>142253.23300999997</v>
      </c>
      <c r="DW317" s="25">
        <f>DW293</f>
        <v>0</v>
      </c>
      <c r="DX317" s="25">
        <f t="shared" ref="DX317:DZ317" si="756">DX293</f>
        <v>72908.370759999976</v>
      </c>
      <c r="DY317" s="241">
        <f t="shared" si="756"/>
        <v>69344.862249999991</v>
      </c>
      <c r="DZ317" s="21">
        <f t="shared" si="756"/>
        <v>0</v>
      </c>
      <c r="EA317" s="372"/>
      <c r="EB317" s="372"/>
      <c r="EC317" s="372"/>
      <c r="ED317" s="372"/>
      <c r="EE317" s="372"/>
      <c r="EF317" s="372"/>
      <c r="EG317" s="372"/>
      <c r="EH317" s="372"/>
      <c r="EI317" s="372"/>
      <c r="EJ317" s="372"/>
      <c r="EK317" s="372"/>
      <c r="EL317" s="372"/>
      <c r="EM317" s="372"/>
      <c r="EN317" s="372"/>
      <c r="EO317" s="372"/>
      <c r="EP317" s="372"/>
      <c r="EQ317" s="372"/>
      <c r="ER317" s="372"/>
      <c r="ES317" s="372"/>
      <c r="ET317" s="372"/>
      <c r="EU317" s="372"/>
      <c r="EV317" s="372"/>
      <c r="EW317" s="372"/>
      <c r="EX317" s="372"/>
      <c r="EY317" s="372"/>
      <c r="EZ317" s="372"/>
      <c r="FA317" s="372"/>
      <c r="FB317" s="372"/>
      <c r="FC317" s="372"/>
      <c r="FD317" s="372"/>
      <c r="FE317" s="372"/>
      <c r="FF317" s="372"/>
      <c r="FG317" s="372"/>
      <c r="FH317" s="372"/>
      <c r="FI317" s="372"/>
      <c r="FJ317" s="372"/>
      <c r="FK317" s="372"/>
      <c r="FL317" s="372"/>
      <c r="FM317" s="372"/>
      <c r="FN317" s="372"/>
      <c r="FO317" s="372"/>
      <c r="FP317" s="372"/>
      <c r="FQ317" s="372"/>
      <c r="FR317" s="372"/>
      <c r="FS317" s="372"/>
      <c r="FT317" s="372"/>
      <c r="FU317" s="372"/>
      <c r="FV317" s="372"/>
      <c r="FW317" s="372"/>
      <c r="FX317" s="372"/>
      <c r="FY317" s="372"/>
      <c r="FZ317" s="372"/>
      <c r="GA317" s="372"/>
      <c r="GB317" s="372"/>
      <c r="GC317" s="372"/>
      <c r="GD317" s="372"/>
      <c r="GE317" s="372"/>
      <c r="GF317" s="372"/>
      <c r="GG317" s="372"/>
      <c r="GH317" s="372"/>
      <c r="GI317" s="372"/>
      <c r="GJ317" s="372"/>
      <c r="GK317" s="372"/>
      <c r="GL317" s="372"/>
      <c r="GM317" s="372"/>
      <c r="GN317" s="372"/>
      <c r="GO317" s="372"/>
      <c r="GP317" s="372"/>
      <c r="GQ317" s="372"/>
      <c r="GR317" s="372"/>
    </row>
    <row r="318" spans="2:200" s="59" customFormat="1" ht="19.5" hidden="1" customHeight="1" x14ac:dyDescent="0.25">
      <c r="B318" s="24"/>
      <c r="C318" s="141"/>
      <c r="D318" s="24"/>
      <c r="E318" s="142"/>
      <c r="F318" s="24"/>
      <c r="G318" s="141"/>
      <c r="H318" s="24"/>
      <c r="I318" s="24"/>
      <c r="J318" s="24"/>
      <c r="K318" s="24"/>
      <c r="L318" s="24"/>
      <c r="M318" s="173"/>
      <c r="N318" s="174" t="s">
        <v>287</v>
      </c>
      <c r="O318" s="174"/>
      <c r="P318" s="174"/>
      <c r="Q318" s="174"/>
      <c r="R318" s="174"/>
      <c r="S318" s="174"/>
      <c r="T318" s="174"/>
      <c r="U318" s="174"/>
      <c r="V318" s="25">
        <f>W318+X318+Y318+Z318</f>
        <v>1043032.8319999999</v>
      </c>
      <c r="W318" s="21">
        <f>W308+W314</f>
        <v>564384.20400000003</v>
      </c>
      <c r="X318" s="21">
        <f>X308+X314</f>
        <v>223922.57699999999</v>
      </c>
      <c r="Y318" s="21">
        <f>Y308+Y314</f>
        <v>254726.05100000004</v>
      </c>
      <c r="Z318" s="21">
        <f>Z308+Z314</f>
        <v>0</v>
      </c>
      <c r="AA318" s="25">
        <f>AB318+AC318+AD318+AE318</f>
        <v>1030130.642</v>
      </c>
      <c r="AB318" s="21">
        <f>AB308+AB314</f>
        <v>545404.59100000001</v>
      </c>
      <c r="AC318" s="21">
        <f>AC308+AC314</f>
        <v>230000.00000000003</v>
      </c>
      <c r="AD318" s="21">
        <f>AD308+AD314</f>
        <v>254726.05099999998</v>
      </c>
      <c r="AE318" s="21">
        <f>AE308+AE314</f>
        <v>0</v>
      </c>
      <c r="AF318" s="25">
        <f>AG318+AH318+AI318+AJ318</f>
        <v>974270.64899999998</v>
      </c>
      <c r="AG318" s="21">
        <f>AG308+AG314</f>
        <v>489544.598</v>
      </c>
      <c r="AH318" s="21">
        <f>AH308+AH314</f>
        <v>230000.00000000003</v>
      </c>
      <c r="AI318" s="21">
        <f>AI308+AI314</f>
        <v>254726.05100000001</v>
      </c>
      <c r="AJ318" s="21">
        <f>AJ308+AJ314</f>
        <v>0</v>
      </c>
      <c r="AK318" s="25">
        <f>AL318+AM318+AN318+AO318</f>
        <v>683000</v>
      </c>
      <c r="AL318" s="21">
        <f>AL308+AL314</f>
        <v>421431.3</v>
      </c>
      <c r="AM318" s="21">
        <f>AM308+AM314</f>
        <v>100000</v>
      </c>
      <c r="AN318" s="21">
        <f>AN308+AN314</f>
        <v>161568.70000000001</v>
      </c>
      <c r="AO318" s="21">
        <f>AO308+AO314</f>
        <v>0</v>
      </c>
      <c r="AP318" s="22"/>
      <c r="AQ318" s="25">
        <f>AR318+AS318+AT318+AU318</f>
        <v>1034279.2790000001</v>
      </c>
      <c r="AR318" s="21">
        <f t="shared" ref="AR318:AZ318" si="757">AR308+AR314</f>
        <v>555630.65100000007</v>
      </c>
      <c r="AS318" s="21">
        <f t="shared" si="757"/>
        <v>223922.57699999999</v>
      </c>
      <c r="AT318" s="21">
        <f t="shared" si="757"/>
        <v>254726.05100000004</v>
      </c>
      <c r="AU318" s="21">
        <f t="shared" si="757"/>
        <v>0</v>
      </c>
      <c r="AV318" s="21" t="e">
        <f t="shared" si="757"/>
        <v>#REF!</v>
      </c>
      <c r="AW318" s="21" t="e">
        <f t="shared" si="757"/>
        <v>#REF!</v>
      </c>
      <c r="AX318" s="21" t="e">
        <f t="shared" si="757"/>
        <v>#REF!</v>
      </c>
      <c r="AY318" s="21">
        <f t="shared" si="757"/>
        <v>0</v>
      </c>
      <c r="AZ318" s="21" t="e">
        <f t="shared" si="757"/>
        <v>#REF!</v>
      </c>
      <c r="BA318" s="25">
        <f>BB318+BC318+BD318+BE318</f>
        <v>781575.86852000002</v>
      </c>
      <c r="BB318" s="21">
        <f t="shared" ref="BB318:BJ318" si="758">BB308+BB314</f>
        <v>302927.24051999999</v>
      </c>
      <c r="BC318" s="21">
        <f t="shared" si="758"/>
        <v>223922.57699999999</v>
      </c>
      <c r="BD318" s="21">
        <f t="shared" si="758"/>
        <v>254726.05100000004</v>
      </c>
      <c r="BE318" s="21">
        <f t="shared" si="758"/>
        <v>0</v>
      </c>
      <c r="BF318" s="21">
        <f t="shared" si="758"/>
        <v>0</v>
      </c>
      <c r="BG318" s="21">
        <f t="shared" si="758"/>
        <v>0</v>
      </c>
      <c r="BH318" s="21">
        <f t="shared" si="758"/>
        <v>0</v>
      </c>
      <c r="BI318" s="21">
        <f t="shared" si="758"/>
        <v>0</v>
      </c>
      <c r="BJ318" s="21">
        <f t="shared" si="758"/>
        <v>0</v>
      </c>
      <c r="BK318" s="25">
        <f>BL318+BM318+BN318+BO318</f>
        <v>781575.86852000002</v>
      </c>
      <c r="BL318" s="21">
        <f>BL308+BL314</f>
        <v>302927.24051999999</v>
      </c>
      <c r="BM318" s="21">
        <f>BM308+BM314</f>
        <v>223922.57699999999</v>
      </c>
      <c r="BN318" s="21">
        <f>BN308+BN314</f>
        <v>254726.05100000004</v>
      </c>
      <c r="BO318" s="21">
        <f>BO308+BO314</f>
        <v>0</v>
      </c>
      <c r="BP318" s="25">
        <f>BQ318+BR318+BS318+BT318</f>
        <v>753827.9497</v>
      </c>
      <c r="BQ318" s="21">
        <f>BQ308+BQ314</f>
        <v>302871.82637999998</v>
      </c>
      <c r="BR318" s="21">
        <f>BR308+BR314</f>
        <v>212572.74614999996</v>
      </c>
      <c r="BS318" s="21">
        <f>BS308+BS314</f>
        <v>238383.37716999999</v>
      </c>
      <c r="BT318" s="21">
        <f>BT308+BT314</f>
        <v>0</v>
      </c>
      <c r="BU318" s="25">
        <f>BV318+BW318+BX318+BY318</f>
        <v>268970.45321000001</v>
      </c>
      <c r="BV318" s="21">
        <f>BV308+BV314</f>
        <v>56690.228580000003</v>
      </c>
      <c r="BW318" s="21">
        <f>BW308+BW314</f>
        <v>128148.25510000001</v>
      </c>
      <c r="BX318" s="21">
        <f>BX308+BX314</f>
        <v>84131.969530000017</v>
      </c>
      <c r="BY318" s="21">
        <f>BY308+BY314</f>
        <v>0</v>
      </c>
      <c r="BZ318" s="21">
        <f t="shared" si="639"/>
        <v>1012627.2286499999</v>
      </c>
      <c r="CA318" s="25">
        <f>CB318+CC318+CD318+CE318</f>
        <v>1012627.2286499999</v>
      </c>
      <c r="CB318" s="21">
        <f>CB308+CB314</f>
        <v>349390.88069999998</v>
      </c>
      <c r="CC318" s="21">
        <f t="shared" si="741"/>
        <v>340721.00124999997</v>
      </c>
      <c r="CD318" s="21">
        <f>CD308+CD314</f>
        <v>322515.34669999999</v>
      </c>
      <c r="CE318" s="21">
        <f>CE308+CE314</f>
        <v>0</v>
      </c>
      <c r="CF318" s="25">
        <f t="shared" si="640"/>
        <v>27747.918820000079</v>
      </c>
      <c r="CG318" s="21">
        <f t="shared" si="641"/>
        <v>55.414140000008047</v>
      </c>
      <c r="CH318" s="21">
        <f t="shared" si="642"/>
        <v>11349.830850000028</v>
      </c>
      <c r="CI318" s="21">
        <f t="shared" si="643"/>
        <v>16342.673830000043</v>
      </c>
      <c r="CJ318" s="21">
        <f>CJ308+CJ314</f>
        <v>0</v>
      </c>
      <c r="CK318" s="57"/>
      <c r="CN318" s="25">
        <f>CO318+CP318+CQ318+CR318</f>
        <v>0</v>
      </c>
      <c r="CO318" s="21">
        <f>CO302+CO306</f>
        <v>0</v>
      </c>
      <c r="CP318" s="21">
        <f>CP302+CP306</f>
        <v>0</v>
      </c>
      <c r="CQ318" s="21"/>
      <c r="CR318" s="21"/>
      <c r="CS318" s="25">
        <f>CT318+CU318+CV318+CW318</f>
        <v>0</v>
      </c>
      <c r="CT318" s="21">
        <f t="shared" si="754"/>
        <v>0</v>
      </c>
      <c r="CU318" s="21">
        <f t="shared" si="754"/>
        <v>0</v>
      </c>
      <c r="CV318" s="21">
        <f t="shared" si="754"/>
        <v>0</v>
      </c>
      <c r="CW318" s="21">
        <f t="shared" si="754"/>
        <v>0</v>
      </c>
      <c r="CX318" s="25">
        <f>CY318+CZ318+DA318+DB318</f>
        <v>0</v>
      </c>
      <c r="CY318" s="21">
        <f>CY302+CY306</f>
        <v>0</v>
      </c>
      <c r="CZ318" s="21">
        <f>CZ302+CZ306</f>
        <v>0</v>
      </c>
      <c r="DA318" s="21"/>
      <c r="DB318" s="21"/>
      <c r="DK318" s="21">
        <f>DK302+DK306</f>
        <v>0</v>
      </c>
      <c r="DL318" s="21">
        <f>DL302+DL306</f>
        <v>0</v>
      </c>
      <c r="DN318" s="21">
        <f>DN302+DN306</f>
        <v>0</v>
      </c>
      <c r="DQ318" s="25">
        <f>DR318+DS318+DT318+DU318</f>
        <v>693044.42335000006</v>
      </c>
      <c r="DR318" s="21">
        <f>DR294+DR314</f>
        <v>279726.75956000003</v>
      </c>
      <c r="DS318" s="21">
        <f t="shared" ref="DS318:DU318" si="759">DS294+DS314</f>
        <v>212572.74614999996</v>
      </c>
      <c r="DT318" s="21">
        <f t="shared" si="759"/>
        <v>200744.91764</v>
      </c>
      <c r="DU318" s="21">
        <f t="shared" si="759"/>
        <v>0</v>
      </c>
      <c r="DV318" s="25">
        <f>DW318+DX318+DY318+DZ318</f>
        <v>61090.626759999992</v>
      </c>
      <c r="DW318" s="21">
        <f>DW294+DW314</f>
        <v>61090.626759999992</v>
      </c>
      <c r="DX318" s="21">
        <f t="shared" ref="DX318:DZ318" si="760">DX294+DX314</f>
        <v>0</v>
      </c>
      <c r="DY318" s="159">
        <f t="shared" si="760"/>
        <v>0</v>
      </c>
      <c r="DZ318" s="21">
        <f t="shared" si="760"/>
        <v>0</v>
      </c>
      <c r="EA318" s="372"/>
      <c r="EB318" s="372"/>
      <c r="EC318" s="372"/>
      <c r="ED318" s="372"/>
      <c r="EE318" s="372"/>
      <c r="EF318" s="372"/>
      <c r="EG318" s="372"/>
      <c r="EH318" s="372"/>
      <c r="EI318" s="372"/>
      <c r="EJ318" s="372"/>
      <c r="EK318" s="372"/>
      <c r="EL318" s="372"/>
      <c r="EM318" s="372"/>
      <c r="EN318" s="372"/>
      <c r="EO318" s="372"/>
      <c r="EP318" s="372"/>
      <c r="EQ318" s="372"/>
      <c r="ER318" s="372"/>
      <c r="ES318" s="372"/>
      <c r="ET318" s="372"/>
      <c r="EU318" s="372"/>
      <c r="EV318" s="372"/>
      <c r="EW318" s="372"/>
      <c r="EX318" s="372"/>
      <c r="EY318" s="372"/>
      <c r="EZ318" s="372"/>
      <c r="FA318" s="372"/>
      <c r="FB318" s="372"/>
      <c r="FC318" s="372"/>
      <c r="FD318" s="372"/>
      <c r="FE318" s="372"/>
      <c r="FF318" s="372"/>
      <c r="FG318" s="372"/>
      <c r="FH318" s="372"/>
      <c r="FI318" s="372"/>
      <c r="FJ318" s="372"/>
      <c r="FK318" s="372"/>
      <c r="FL318" s="372"/>
      <c r="FM318" s="372"/>
      <c r="FN318" s="372"/>
      <c r="FO318" s="372"/>
      <c r="FP318" s="372"/>
      <c r="FQ318" s="372"/>
      <c r="FR318" s="372"/>
      <c r="FS318" s="372"/>
      <c r="FT318" s="372"/>
      <c r="FU318" s="372"/>
      <c r="FV318" s="372"/>
      <c r="FW318" s="372"/>
      <c r="FX318" s="372"/>
      <c r="FY318" s="372"/>
      <c r="FZ318" s="372"/>
      <c r="GA318" s="372"/>
      <c r="GB318" s="372"/>
      <c r="GC318" s="372"/>
      <c r="GD318" s="372"/>
      <c r="GE318" s="372"/>
      <c r="GF318" s="372"/>
      <c r="GG318" s="372"/>
      <c r="GH318" s="372"/>
      <c r="GI318" s="372"/>
      <c r="GJ318" s="372"/>
      <c r="GK318" s="372"/>
      <c r="GL318" s="372"/>
      <c r="GM318" s="372"/>
      <c r="GN318" s="372"/>
      <c r="GO318" s="372"/>
      <c r="GP318" s="372"/>
      <c r="GQ318" s="372"/>
      <c r="GR318" s="372"/>
    </row>
    <row r="319" spans="2:200" s="59" customFormat="1" ht="19.5" hidden="1" customHeight="1" x14ac:dyDescent="0.25">
      <c r="B319" s="143"/>
      <c r="C319" s="143"/>
      <c r="D319" s="143"/>
      <c r="E319" s="199"/>
      <c r="F319" s="143"/>
      <c r="G319" s="143"/>
      <c r="H319" s="143"/>
      <c r="I319" s="143"/>
      <c r="J319" s="143"/>
      <c r="K319" s="143"/>
      <c r="L319" s="143"/>
      <c r="M319" s="236"/>
      <c r="N319" s="236"/>
      <c r="O319" s="236"/>
      <c r="P319" s="236"/>
      <c r="Q319" s="236"/>
      <c r="R319" s="236"/>
      <c r="S319" s="236"/>
      <c r="T319" s="236"/>
      <c r="U319" s="236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202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3"/>
      <c r="BZ319" s="202"/>
      <c r="CA319" s="143"/>
      <c r="CB319" s="143"/>
      <c r="CC319" s="143"/>
      <c r="CD319" s="143"/>
      <c r="CE319" s="143"/>
      <c r="CF319" s="143">
        <f t="shared" si="640"/>
        <v>0</v>
      </c>
      <c r="CG319" s="143">
        <f t="shared" si="641"/>
        <v>0</v>
      </c>
      <c r="CH319" s="143">
        <f t="shared" si="642"/>
        <v>0</v>
      </c>
      <c r="CI319" s="143">
        <f t="shared" si="643"/>
        <v>0</v>
      </c>
      <c r="CJ319" s="143"/>
      <c r="CK319" s="57"/>
      <c r="CN319" s="143"/>
      <c r="CO319" s="143"/>
      <c r="CP319" s="143"/>
      <c r="CQ319" s="143"/>
      <c r="CR319" s="143"/>
      <c r="CS319" s="143"/>
      <c r="CT319" s="143"/>
      <c r="CU319" s="143"/>
      <c r="CV319" s="143"/>
      <c r="CW319" s="143"/>
      <c r="CX319" s="143"/>
      <c r="CY319" s="143"/>
      <c r="CZ319" s="143"/>
      <c r="DA319" s="143"/>
      <c r="DB319" s="143"/>
      <c r="DK319" s="143"/>
      <c r="DL319" s="143"/>
      <c r="DN319" s="143"/>
      <c r="DQ319" s="143"/>
      <c r="DR319" s="143"/>
      <c r="DS319" s="143"/>
      <c r="DT319" s="143"/>
      <c r="DU319" s="143"/>
      <c r="DV319" s="143"/>
      <c r="DW319" s="143"/>
      <c r="DX319" s="143"/>
      <c r="DY319" s="143"/>
      <c r="DZ319" s="21"/>
      <c r="EA319" s="372"/>
      <c r="EB319" s="372"/>
      <c r="EC319" s="372"/>
      <c r="ED319" s="372"/>
      <c r="EE319" s="372"/>
      <c r="EF319" s="372"/>
      <c r="EG319" s="372"/>
      <c r="EH319" s="372"/>
      <c r="EI319" s="372"/>
      <c r="EJ319" s="372"/>
      <c r="EK319" s="372"/>
      <c r="EL319" s="372"/>
      <c r="EM319" s="372"/>
      <c r="EN319" s="372"/>
      <c r="EO319" s="372"/>
      <c r="EP319" s="372"/>
      <c r="EQ319" s="372"/>
      <c r="ER319" s="372"/>
      <c r="ES319" s="372"/>
      <c r="ET319" s="372"/>
      <c r="EU319" s="372"/>
      <c r="EV319" s="372"/>
      <c r="EW319" s="372"/>
      <c r="EX319" s="372"/>
      <c r="EY319" s="372"/>
      <c r="EZ319" s="372"/>
      <c r="FA319" s="372"/>
      <c r="FB319" s="372"/>
      <c r="FC319" s="372"/>
      <c r="FD319" s="372"/>
      <c r="FE319" s="372"/>
      <c r="FF319" s="372"/>
      <c r="FG319" s="372"/>
      <c r="FH319" s="372"/>
      <c r="FI319" s="372"/>
      <c r="FJ319" s="372"/>
      <c r="FK319" s="372"/>
      <c r="FL319" s="372"/>
      <c r="FM319" s="372"/>
      <c r="FN319" s="372"/>
      <c r="FO319" s="372"/>
      <c r="FP319" s="372"/>
      <c r="FQ319" s="372"/>
      <c r="FR319" s="372"/>
      <c r="FS319" s="372"/>
      <c r="FT319" s="372"/>
      <c r="FU319" s="372"/>
      <c r="FV319" s="372"/>
      <c r="FW319" s="372"/>
      <c r="FX319" s="372"/>
      <c r="FY319" s="372"/>
      <c r="FZ319" s="372"/>
      <c r="GA319" s="372"/>
      <c r="GB319" s="372"/>
      <c r="GC319" s="372"/>
      <c r="GD319" s="372"/>
      <c r="GE319" s="372"/>
      <c r="GF319" s="372"/>
      <c r="GG319" s="372"/>
      <c r="GH319" s="372"/>
      <c r="GI319" s="372"/>
      <c r="GJ319" s="372"/>
      <c r="GK319" s="372"/>
      <c r="GL319" s="372"/>
      <c r="GM319" s="372"/>
      <c r="GN319" s="372"/>
      <c r="GO319" s="372"/>
      <c r="GP319" s="372"/>
      <c r="GQ319" s="372"/>
      <c r="GR319" s="372"/>
    </row>
    <row r="320" spans="2:200" ht="25.5" hidden="1" customHeight="1" x14ac:dyDescent="0.3">
      <c r="BA320" s="59">
        <f>BA306-BF306</f>
        <v>793737.85177999991</v>
      </c>
      <c r="BB320" s="59">
        <f t="shared" ref="BB320:BE320" si="761">BB306-BG306</f>
        <v>315089.22378</v>
      </c>
      <c r="BC320" s="59">
        <f t="shared" si="761"/>
        <v>223922.57699999999</v>
      </c>
      <c r="BD320" s="59">
        <f t="shared" si="761"/>
        <v>254726.05100000004</v>
      </c>
      <c r="BE320" s="59">
        <f t="shared" si="761"/>
        <v>0</v>
      </c>
      <c r="BK320" s="59">
        <f>BK306-BP306</f>
        <v>27692.504680000013</v>
      </c>
      <c r="BL320" s="59">
        <f t="shared" ref="BL320:BO320" si="762">BL306-BQ306</f>
        <v>0</v>
      </c>
      <c r="BM320" s="59">
        <f t="shared" si="762"/>
        <v>11349.830850000028</v>
      </c>
      <c r="BN320" s="59">
        <f t="shared" si="762"/>
        <v>16342.673830000043</v>
      </c>
      <c r="BO320" s="59">
        <f t="shared" si="762"/>
        <v>0</v>
      </c>
      <c r="CF320" s="8">
        <f t="shared" si="640"/>
        <v>27692.504680000071</v>
      </c>
      <c r="CG320" s="8">
        <f t="shared" si="641"/>
        <v>0</v>
      </c>
      <c r="CH320" s="8">
        <f t="shared" si="642"/>
        <v>11349.830850000028</v>
      </c>
      <c r="CI320" s="8">
        <f t="shared" si="643"/>
        <v>16342.673830000043</v>
      </c>
      <c r="DZ320" s="198"/>
    </row>
    <row r="321" spans="2:200" ht="15.75" hidden="1" customHeight="1" x14ac:dyDescent="0.3">
      <c r="M321" s="244" t="s">
        <v>292</v>
      </c>
      <c r="N321" s="245"/>
      <c r="O321" s="245"/>
      <c r="P321" s="245"/>
      <c r="Q321" s="245"/>
      <c r="R321" s="245"/>
      <c r="S321" s="245"/>
      <c r="T321" s="245"/>
      <c r="U321" s="245"/>
      <c r="V321" s="246"/>
      <c r="W321" s="246"/>
      <c r="X321" s="246"/>
      <c r="Y321" s="246"/>
      <c r="Z321" s="246"/>
      <c r="AA321" s="246"/>
      <c r="AB321" s="246"/>
      <c r="AC321" s="246"/>
      <c r="AD321" s="246"/>
      <c r="AE321" s="246"/>
      <c r="AF321" s="246"/>
      <c r="AG321" s="246"/>
      <c r="AH321" s="246"/>
      <c r="AI321" s="246"/>
      <c r="AJ321" s="246"/>
      <c r="AK321" s="246"/>
      <c r="AL321" s="246"/>
      <c r="AM321" s="246"/>
      <c r="AN321" s="246"/>
      <c r="AO321" s="246"/>
      <c r="AP321" s="246"/>
      <c r="AQ321" s="247" t="e">
        <f>SUM(AQ292/#REF!)</f>
        <v>#REF!</v>
      </c>
      <c r="AR321" s="248" t="e">
        <f>SUM(AR292/#REF!)</f>
        <v>#REF!</v>
      </c>
      <c r="AS321" s="248" t="e">
        <f>SUM(AS292/#REF!)</f>
        <v>#REF!</v>
      </c>
      <c r="AT321" s="248" t="e">
        <f>SUM(AT292/#REF!)</f>
        <v>#REF!</v>
      </c>
      <c r="AU321" s="248"/>
      <c r="AV321" s="155"/>
      <c r="AW321" s="155"/>
      <c r="AX321" s="155"/>
      <c r="AY321" s="155"/>
      <c r="AZ321" s="155"/>
      <c r="BA321" s="248"/>
      <c r="BB321" s="248"/>
      <c r="BC321" s="248"/>
      <c r="BD321" s="248"/>
      <c r="BE321" s="248"/>
      <c r="BF321" s="249"/>
      <c r="BG321" s="249"/>
      <c r="BH321" s="249"/>
      <c r="BI321" s="249"/>
      <c r="BJ321" s="249"/>
      <c r="BK321" s="248"/>
      <c r="BL321" s="248"/>
      <c r="BM321" s="248"/>
      <c r="BN321" s="248"/>
      <c r="BO321" s="248"/>
      <c r="BP321" s="249"/>
      <c r="BQ321" s="249"/>
      <c r="BR321" s="249"/>
      <c r="BS321" s="249"/>
      <c r="BT321" s="249"/>
      <c r="BU321" s="250"/>
      <c r="BV321" s="249"/>
      <c r="BW321" s="249"/>
      <c r="BX321" s="249"/>
      <c r="BY321" s="249"/>
      <c r="BZ321" s="246"/>
      <c r="CA321" s="249"/>
      <c r="CB321" s="249"/>
      <c r="CC321" s="249"/>
      <c r="CD321" s="249"/>
      <c r="CE321" s="249"/>
      <c r="CF321" s="249">
        <f t="shared" si="640"/>
        <v>0</v>
      </c>
      <c r="CG321" s="249">
        <f t="shared" si="641"/>
        <v>0</v>
      </c>
      <c r="CH321" s="249">
        <f t="shared" si="642"/>
        <v>0</v>
      </c>
      <c r="CI321" s="249">
        <f t="shared" si="643"/>
        <v>0</v>
      </c>
      <c r="CJ321" s="249"/>
      <c r="CK321" s="251"/>
      <c r="CL321" s="252"/>
      <c r="CM321" s="252"/>
      <c r="CN321" s="252"/>
      <c r="CO321" s="252"/>
      <c r="CP321" s="252"/>
      <c r="CQ321" s="249"/>
      <c r="CR321" s="252"/>
      <c r="CS321" s="252"/>
      <c r="CT321" s="252"/>
      <c r="CU321" s="252"/>
      <c r="CV321" s="252"/>
      <c r="CW321" s="252"/>
      <c r="CX321" s="252"/>
      <c r="CY321" s="252"/>
      <c r="CZ321" s="252"/>
      <c r="DA321" s="252"/>
      <c r="DB321" s="252"/>
      <c r="DC321" s="252"/>
      <c r="DD321" s="252"/>
      <c r="DE321" s="252"/>
      <c r="DF321" s="252"/>
      <c r="DG321" s="252"/>
      <c r="DH321" s="252"/>
      <c r="DI321" s="252"/>
      <c r="DK321" s="249"/>
      <c r="DL321" s="249"/>
      <c r="DN321" s="249"/>
      <c r="DQ321" s="155"/>
      <c r="DR321" s="155"/>
      <c r="DS321" s="155"/>
      <c r="DT321" s="155"/>
      <c r="DU321" s="157"/>
      <c r="DV321" s="155"/>
      <c r="DW321" s="155"/>
      <c r="DX321" s="155"/>
      <c r="DY321" s="157"/>
      <c r="DZ321" s="155"/>
    </row>
    <row r="322" spans="2:200" ht="18.75" hidden="1" customHeight="1" x14ac:dyDescent="0.3">
      <c r="M322" s="253" t="s">
        <v>293</v>
      </c>
      <c r="AQ322" s="254" t="e">
        <f>SUM(AQ294/#REF!)</f>
        <v>#REF!</v>
      </c>
      <c r="AR322" s="255" t="e">
        <f>SUM(AR294/#REF!)</f>
        <v>#REF!</v>
      </c>
      <c r="AS322" s="255" t="e">
        <f>SUM(AS294/#REF!)</f>
        <v>#REF!</v>
      </c>
      <c r="AT322" s="255" t="e">
        <f>SUM(AT294/#REF!)</f>
        <v>#REF!</v>
      </c>
      <c r="AU322" s="255"/>
      <c r="BK322" s="59"/>
      <c r="BL322" s="59"/>
      <c r="BM322" s="59"/>
      <c r="BN322" s="59"/>
      <c r="BO322" s="59"/>
      <c r="CF322" s="8">
        <f t="shared" si="640"/>
        <v>0</v>
      </c>
      <c r="CG322" s="8">
        <f t="shared" si="641"/>
        <v>0</v>
      </c>
      <c r="CH322" s="8">
        <f t="shared" si="642"/>
        <v>0</v>
      </c>
      <c r="CI322" s="8">
        <f t="shared" si="643"/>
        <v>0</v>
      </c>
      <c r="DZ322" s="198"/>
    </row>
    <row r="323" spans="2:200" ht="15.75" hidden="1" customHeight="1" x14ac:dyDescent="0.3">
      <c r="M323" s="244" t="s">
        <v>285</v>
      </c>
      <c r="N323" s="245"/>
      <c r="O323" s="245"/>
      <c r="P323" s="245"/>
      <c r="Q323" s="245"/>
      <c r="R323" s="245"/>
      <c r="S323" s="245"/>
      <c r="T323" s="245"/>
      <c r="U323" s="245"/>
      <c r="V323" s="246"/>
      <c r="W323" s="246"/>
      <c r="X323" s="246"/>
      <c r="Y323" s="246"/>
      <c r="Z323" s="246"/>
      <c r="AA323" s="246"/>
      <c r="AB323" s="246"/>
      <c r="AC323" s="246"/>
      <c r="AD323" s="246"/>
      <c r="AE323" s="246"/>
      <c r="AF323" s="246"/>
      <c r="AG323" s="246"/>
      <c r="AH323" s="246"/>
      <c r="AI323" s="246"/>
      <c r="AJ323" s="246"/>
      <c r="AK323" s="246"/>
      <c r="AL323" s="246"/>
      <c r="AM323" s="246"/>
      <c r="AN323" s="246"/>
      <c r="AO323" s="246"/>
      <c r="AP323" s="246"/>
      <c r="AQ323" s="247" t="e">
        <f>SUM(AQ260/#REF!)</f>
        <v>#REF!</v>
      </c>
      <c r="AR323" s="248" t="e">
        <f>SUM(AR260/#REF!)</f>
        <v>#REF!</v>
      </c>
      <c r="AS323" s="248" t="e">
        <f>SUM(AS260/#REF!)</f>
        <v>#REF!</v>
      </c>
      <c r="AT323" s="248" t="e">
        <f>SUM(AT260/#REF!)</f>
        <v>#REF!</v>
      </c>
      <c r="AU323" s="248"/>
      <c r="AV323" s="155"/>
      <c r="AW323" s="155"/>
      <c r="AX323" s="155"/>
      <c r="AY323" s="155"/>
      <c r="AZ323" s="155"/>
      <c r="BA323" s="248"/>
      <c r="BB323" s="248"/>
      <c r="BC323" s="248"/>
      <c r="BD323" s="248"/>
      <c r="BE323" s="248"/>
      <c r="BK323" s="248"/>
      <c r="BL323" s="248"/>
      <c r="BM323" s="248"/>
      <c r="BN323" s="248"/>
      <c r="BO323" s="248"/>
      <c r="CF323" s="8">
        <f t="shared" si="640"/>
        <v>0</v>
      </c>
      <c r="CG323" s="8">
        <f t="shared" si="641"/>
        <v>0</v>
      </c>
      <c r="CH323" s="8">
        <f t="shared" si="642"/>
        <v>0</v>
      </c>
      <c r="CI323" s="8">
        <f t="shared" si="643"/>
        <v>0</v>
      </c>
      <c r="DZ323" s="198"/>
    </row>
    <row r="324" spans="2:200" ht="18.75" hidden="1" customHeight="1" x14ac:dyDescent="0.3">
      <c r="BK324" s="59"/>
      <c r="BL324" s="59"/>
      <c r="BM324" s="59"/>
      <c r="BN324" s="59"/>
      <c r="BO324" s="59"/>
      <c r="CF324" s="8">
        <f t="shared" si="640"/>
        <v>0</v>
      </c>
      <c r="CG324" s="8">
        <f t="shared" si="641"/>
        <v>0</v>
      </c>
      <c r="CH324" s="8">
        <f t="shared" si="642"/>
        <v>0</v>
      </c>
      <c r="CI324" s="8">
        <f t="shared" si="643"/>
        <v>0</v>
      </c>
      <c r="DZ324" s="198"/>
    </row>
    <row r="325" spans="2:200" ht="17.399999999999999" hidden="1" customHeight="1" x14ac:dyDescent="0.3">
      <c r="N325" s="242" t="s">
        <v>304</v>
      </c>
      <c r="AP325" s="256"/>
      <c r="AQ325" s="257" t="e">
        <f>AV306</f>
        <v>#REF!</v>
      </c>
      <c r="AR325" s="258" t="e">
        <f>AW306</f>
        <v>#REF!</v>
      </c>
      <c r="AS325" s="258" t="e">
        <f>AX306</f>
        <v>#REF!</v>
      </c>
      <c r="AT325" s="258" t="e">
        <f>AY306</f>
        <v>#REF!</v>
      </c>
      <c r="AU325" s="258" t="e">
        <f>AZ306</f>
        <v>#REF!</v>
      </c>
      <c r="BK325" s="59"/>
      <c r="BL325" s="59"/>
      <c r="BM325" s="59"/>
      <c r="BN325" s="59"/>
      <c r="BO325" s="59"/>
      <c r="CF325" s="8">
        <f t="shared" si="640"/>
        <v>0</v>
      </c>
      <c r="CG325" s="8">
        <f t="shared" si="641"/>
        <v>0</v>
      </c>
      <c r="CH325" s="8">
        <f t="shared" si="642"/>
        <v>0</v>
      </c>
      <c r="CI325" s="8">
        <f t="shared" si="643"/>
        <v>0</v>
      </c>
      <c r="DZ325" s="198"/>
    </row>
    <row r="326" spans="2:200" s="172" customFormat="1" ht="19.5" hidden="1" customHeight="1" x14ac:dyDescent="0.25">
      <c r="B326" s="23"/>
      <c r="C326" s="23"/>
      <c r="D326" s="23"/>
      <c r="E326" s="118"/>
      <c r="F326" s="23"/>
      <c r="G326" s="23"/>
      <c r="H326" s="23"/>
      <c r="I326" s="23"/>
      <c r="J326" s="23"/>
      <c r="K326" s="23"/>
      <c r="L326" s="23"/>
      <c r="M326" s="430" t="s">
        <v>315</v>
      </c>
      <c r="N326" s="430"/>
      <c r="O326" s="220"/>
      <c r="P326" s="220"/>
      <c r="Q326" s="220"/>
      <c r="R326" s="220"/>
      <c r="S326" s="220"/>
      <c r="T326" s="220"/>
      <c r="U326" s="220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4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>
        <f t="shared" si="640"/>
        <v>0</v>
      </c>
      <c r="CG326" s="23">
        <f t="shared" si="641"/>
        <v>0</v>
      </c>
      <c r="CH326" s="23">
        <f t="shared" si="642"/>
        <v>0</v>
      </c>
      <c r="CI326" s="23">
        <f t="shared" si="643"/>
        <v>0</v>
      </c>
      <c r="CJ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Q326" s="23"/>
      <c r="DR326" s="23"/>
      <c r="DS326" s="23"/>
      <c r="DT326" s="23"/>
      <c r="DU326" s="23"/>
      <c r="DV326" s="23"/>
      <c r="DW326" s="23"/>
      <c r="DX326" s="23"/>
      <c r="DY326" s="221"/>
      <c r="DZ326" s="23"/>
      <c r="EA326" s="380"/>
      <c r="EB326" s="380"/>
      <c r="EC326" s="380"/>
      <c r="ED326" s="380"/>
      <c r="EE326" s="380"/>
      <c r="EF326" s="380"/>
      <c r="EG326" s="380"/>
      <c r="EH326" s="380"/>
      <c r="EI326" s="380"/>
      <c r="EJ326" s="380"/>
      <c r="EK326" s="380"/>
      <c r="EL326" s="380"/>
      <c r="EM326" s="380"/>
      <c r="EN326" s="380"/>
      <c r="EO326" s="380"/>
      <c r="EP326" s="380"/>
      <c r="EQ326" s="380"/>
      <c r="ER326" s="380"/>
      <c r="ES326" s="380"/>
      <c r="ET326" s="380"/>
      <c r="EU326" s="380"/>
      <c r="EV326" s="380"/>
      <c r="EW326" s="380"/>
      <c r="EX326" s="380"/>
      <c r="EY326" s="380"/>
      <c r="EZ326" s="380"/>
      <c r="FA326" s="380"/>
      <c r="FB326" s="380"/>
      <c r="FC326" s="380"/>
      <c r="FD326" s="380"/>
      <c r="FE326" s="380"/>
      <c r="FF326" s="380"/>
      <c r="FG326" s="380"/>
      <c r="FH326" s="380"/>
      <c r="FI326" s="380"/>
      <c r="FJ326" s="380"/>
      <c r="FK326" s="380"/>
      <c r="FL326" s="380"/>
      <c r="FM326" s="380"/>
      <c r="FN326" s="380"/>
      <c r="FO326" s="380"/>
      <c r="FP326" s="380"/>
      <c r="FQ326" s="380"/>
      <c r="FR326" s="380"/>
      <c r="FS326" s="380"/>
      <c r="FT326" s="380"/>
      <c r="FU326" s="380"/>
      <c r="FV326" s="380"/>
      <c r="FW326" s="380"/>
      <c r="FX326" s="380"/>
      <c r="FY326" s="380"/>
      <c r="FZ326" s="380"/>
      <c r="GA326" s="380"/>
      <c r="GB326" s="380"/>
      <c r="GC326" s="380"/>
      <c r="GD326" s="380"/>
      <c r="GE326" s="380"/>
      <c r="GF326" s="380"/>
      <c r="GG326" s="380"/>
      <c r="GH326" s="380"/>
      <c r="GI326" s="380"/>
      <c r="GJ326" s="380"/>
      <c r="GK326" s="380"/>
      <c r="GL326" s="380"/>
      <c r="GM326" s="380"/>
      <c r="GN326" s="380"/>
      <c r="GO326" s="380"/>
      <c r="GP326" s="380"/>
      <c r="GQ326" s="380"/>
      <c r="GR326" s="380"/>
    </row>
    <row r="327" spans="2:200" s="59" customFormat="1" ht="19.5" hidden="1" customHeight="1" x14ac:dyDescent="0.3">
      <c r="B327" s="24"/>
      <c r="C327" s="141"/>
      <c r="D327" s="24"/>
      <c r="E327" s="152"/>
      <c r="F327" s="24"/>
      <c r="G327" s="141"/>
      <c r="H327" s="24"/>
      <c r="I327" s="24"/>
      <c r="J327" s="24"/>
      <c r="K327" s="24"/>
      <c r="L327" s="24"/>
      <c r="M327" s="259"/>
      <c r="N327" s="188"/>
      <c r="O327" s="188"/>
      <c r="P327" s="188"/>
      <c r="Q327" s="188"/>
      <c r="R327" s="188"/>
      <c r="S327" s="188"/>
      <c r="T327" s="225"/>
      <c r="U327" s="188"/>
      <c r="V327" s="24">
        <f t="shared" ref="V327" si="763">W327+X327+Y327+Z327</f>
        <v>0</v>
      </c>
      <c r="W327" s="26"/>
      <c r="X327" s="26"/>
      <c r="Y327" s="26"/>
      <c r="Z327" s="26"/>
      <c r="AA327" s="24">
        <f t="shared" ref="AA327" si="764">AB327+AC327+AD327+AE327</f>
        <v>0</v>
      </c>
      <c r="AB327" s="26"/>
      <c r="AC327" s="26"/>
      <c r="AD327" s="26"/>
      <c r="AE327" s="26"/>
      <c r="AF327" s="24">
        <f t="shared" ref="AF327" si="765">AG327+AH327+AI327+AJ327</f>
        <v>0</v>
      </c>
      <c r="AG327" s="26"/>
      <c r="AH327" s="26"/>
      <c r="AI327" s="26"/>
      <c r="AJ327" s="26"/>
      <c r="AK327" s="24">
        <f t="shared" ref="AK327" si="766">AL327+AM327+AN327+AO327</f>
        <v>0</v>
      </c>
      <c r="AL327" s="26"/>
      <c r="AM327" s="26"/>
      <c r="AN327" s="26"/>
      <c r="AO327" s="26"/>
      <c r="AP327" s="226"/>
      <c r="AQ327" s="24">
        <f t="shared" ref="AQ327" si="767">AR327+AS327+AT327+AU327</f>
        <v>0</v>
      </c>
      <c r="AR327" s="26"/>
      <c r="AS327" s="26"/>
      <c r="AT327" s="26"/>
      <c r="AU327" s="26"/>
      <c r="AV327" s="24" t="e">
        <f t="shared" ref="AV327" si="768">AW327+AX327+AY327+AZ327</f>
        <v>#REF!</v>
      </c>
      <c r="AW327" s="26"/>
      <c r="AX327" s="26" t="e">
        <f>#REF!-AS327</f>
        <v>#REF!</v>
      </c>
      <c r="AY327" s="26"/>
      <c r="AZ327" s="26"/>
      <c r="BA327" s="24">
        <f t="shared" ref="BA327" si="769">BB327+BC327+BD327+BE327</f>
        <v>0</v>
      </c>
      <c r="BB327" s="26"/>
      <c r="BC327" s="26"/>
      <c r="BD327" s="26"/>
      <c r="BE327" s="26"/>
      <c r="BF327" s="24">
        <f t="shared" ref="BF327" si="770">BG327+BH327+BI327+BJ327</f>
        <v>0</v>
      </c>
      <c r="BG327" s="26"/>
      <c r="BH327" s="26"/>
      <c r="BI327" s="26"/>
      <c r="BJ327" s="26"/>
      <c r="BK327" s="24">
        <f t="shared" ref="BK327" si="771">BL327+BM327+BN327+BO327</f>
        <v>0</v>
      </c>
      <c r="BL327" s="26"/>
      <c r="BM327" s="26"/>
      <c r="BN327" s="26"/>
      <c r="BO327" s="26"/>
      <c r="BP327" s="24">
        <f t="shared" ref="BP327" si="772">BQ327+BR327+BS327+BT327</f>
        <v>0</v>
      </c>
      <c r="BQ327" s="26"/>
      <c r="BR327" s="26"/>
      <c r="BS327" s="26"/>
      <c r="BT327" s="26"/>
      <c r="BU327" s="24">
        <f t="shared" ref="BU327" si="773">BV327+BW327+BX327+BY327</f>
        <v>0</v>
      </c>
      <c r="BV327" s="26"/>
      <c r="BW327" s="26"/>
      <c r="BX327" s="26"/>
      <c r="BY327" s="26"/>
      <c r="BZ327" s="26">
        <f t="shared" ref="BZ327" si="774">CA327</f>
        <v>0</v>
      </c>
      <c r="CA327" s="24">
        <f t="shared" ref="CA327" si="775">CB327+CC327+CD327+CE327</f>
        <v>0</v>
      </c>
      <c r="CB327" s="26"/>
      <c r="CC327" s="26">
        <f t="shared" ref="CC327" si="776">BR327+BW327</f>
        <v>0</v>
      </c>
      <c r="CD327" s="26"/>
      <c r="CE327" s="26"/>
      <c r="CF327" s="24">
        <f t="shared" ref="CF327:CF354" si="777">CG327+CH327+CI327</f>
        <v>0</v>
      </c>
      <c r="CG327" s="24">
        <f t="shared" ref="CG327:CG354" si="778">BL327-BQ327</f>
        <v>0</v>
      </c>
      <c r="CH327" s="24">
        <f t="shared" ref="CH327:CH354" si="779">BM327-BR327</f>
        <v>0</v>
      </c>
      <c r="CI327" s="24">
        <f t="shared" ref="CI327:CI354" si="780">BN327-BS327</f>
        <v>0</v>
      </c>
      <c r="CJ327" s="24"/>
      <c r="CK327" s="57"/>
      <c r="CN327" s="24">
        <f t="shared" ref="CN327" si="781">CO327+CP327+CQ327+CR327</f>
        <v>0</v>
      </c>
      <c r="CO327" s="26"/>
      <c r="CP327" s="26"/>
      <c r="CQ327" s="26"/>
      <c r="CR327" s="26"/>
      <c r="CS327" s="24">
        <f t="shared" ref="CS327" si="782">CT327+CU327+CV327+CW327</f>
        <v>0</v>
      </c>
      <c r="CT327" s="26"/>
      <c r="CU327" s="26"/>
      <c r="CV327" s="26"/>
      <c r="CW327" s="26"/>
      <c r="CX327" s="24">
        <f>CY327+CZ327+DA327+DB327</f>
        <v>0</v>
      </c>
      <c r="CY327" s="26"/>
      <c r="CZ327" s="26"/>
      <c r="DA327" s="26"/>
      <c r="DB327" s="26"/>
      <c r="DF327" s="169"/>
      <c r="DG327" s="57"/>
      <c r="DH327" s="57"/>
      <c r="DI327" s="170"/>
      <c r="DQ327" s="24">
        <f>DR327+DS327+DT327+DU327</f>
        <v>0</v>
      </c>
      <c r="DR327" s="26"/>
      <c r="DS327" s="26"/>
      <c r="DT327" s="26"/>
      <c r="DU327" s="26"/>
      <c r="DV327" s="24">
        <f>DW327+DX327+DY327+DZ327</f>
        <v>0</v>
      </c>
      <c r="DW327" s="26"/>
      <c r="DX327" s="26"/>
      <c r="DY327" s="141"/>
      <c r="DZ327" s="21"/>
      <c r="EA327" s="372"/>
      <c r="EB327" s="372"/>
      <c r="EC327" s="372"/>
      <c r="ED327" s="372"/>
      <c r="EE327" s="372"/>
      <c r="EF327" s="372"/>
      <c r="EG327" s="372"/>
      <c r="EH327" s="372"/>
      <c r="EI327" s="372"/>
      <c r="EJ327" s="372"/>
      <c r="EK327" s="372"/>
      <c r="EL327" s="372"/>
      <c r="EM327" s="372"/>
      <c r="EN327" s="372"/>
      <c r="EO327" s="372"/>
      <c r="EP327" s="372"/>
      <c r="EQ327" s="372"/>
      <c r="ER327" s="372"/>
      <c r="ES327" s="372"/>
      <c r="ET327" s="372"/>
      <c r="EU327" s="372"/>
      <c r="EV327" s="372"/>
      <c r="EW327" s="372"/>
      <c r="EX327" s="372"/>
      <c r="EY327" s="372"/>
      <c r="EZ327" s="372"/>
      <c r="FA327" s="372"/>
      <c r="FB327" s="372"/>
      <c r="FC327" s="372"/>
      <c r="FD327" s="372"/>
      <c r="FE327" s="372"/>
      <c r="FF327" s="372"/>
      <c r="FG327" s="372"/>
      <c r="FH327" s="372"/>
      <c r="FI327" s="372"/>
      <c r="FJ327" s="372"/>
      <c r="FK327" s="372"/>
      <c r="FL327" s="372"/>
      <c r="FM327" s="372"/>
      <c r="FN327" s="372"/>
      <c r="FO327" s="372"/>
      <c r="FP327" s="372"/>
      <c r="FQ327" s="372"/>
      <c r="FR327" s="372"/>
      <c r="FS327" s="372"/>
      <c r="FT327" s="372"/>
      <c r="FU327" s="372"/>
      <c r="FV327" s="372"/>
      <c r="FW327" s="372"/>
      <c r="FX327" s="372"/>
      <c r="FY327" s="372"/>
      <c r="FZ327" s="372"/>
      <c r="GA327" s="372"/>
      <c r="GB327" s="372"/>
      <c r="GC327" s="372"/>
      <c r="GD327" s="372"/>
      <c r="GE327" s="372"/>
      <c r="GF327" s="372"/>
      <c r="GG327" s="372"/>
      <c r="GH327" s="372"/>
      <c r="GI327" s="372"/>
      <c r="GJ327" s="372"/>
      <c r="GK327" s="372"/>
      <c r="GL327" s="372"/>
      <c r="GM327" s="372"/>
      <c r="GN327" s="372"/>
      <c r="GO327" s="372"/>
      <c r="GP327" s="372"/>
      <c r="GQ327" s="372"/>
      <c r="GR327" s="372"/>
    </row>
    <row r="328" spans="2:200" s="48" customFormat="1" ht="15.6" hidden="1" x14ac:dyDescent="0.3">
      <c r="B328" s="231"/>
      <c r="C328" s="232"/>
      <c r="D328" s="232"/>
      <c r="M328" s="431" t="s">
        <v>316</v>
      </c>
      <c r="N328" s="432"/>
      <c r="O328" s="219"/>
      <c r="P328" s="219"/>
      <c r="Q328" s="219"/>
      <c r="R328" s="219"/>
      <c r="S328" s="219"/>
      <c r="T328" s="44">
        <f>T327</f>
        <v>0</v>
      </c>
      <c r="U328" s="219"/>
      <c r="V328" s="43">
        <f t="shared" ref="V328:Z328" si="783">V327</f>
        <v>0</v>
      </c>
      <c r="W328" s="43">
        <f t="shared" si="783"/>
        <v>0</v>
      </c>
      <c r="X328" s="43">
        <f t="shared" si="783"/>
        <v>0</v>
      </c>
      <c r="Y328" s="43">
        <f t="shared" si="783"/>
        <v>0</v>
      </c>
      <c r="Z328" s="43">
        <f t="shared" si="783"/>
        <v>0</v>
      </c>
      <c r="AA328" s="43">
        <f t="shared" ref="AA328:AE328" si="784">AA327</f>
        <v>0</v>
      </c>
      <c r="AB328" s="43">
        <f t="shared" si="784"/>
        <v>0</v>
      </c>
      <c r="AC328" s="43">
        <f t="shared" si="784"/>
        <v>0</v>
      </c>
      <c r="AD328" s="43">
        <f t="shared" si="784"/>
        <v>0</v>
      </c>
      <c r="AE328" s="43">
        <f t="shared" si="784"/>
        <v>0</v>
      </c>
      <c r="AF328" s="43">
        <f t="shared" ref="AF328:AJ328" si="785">AF327</f>
        <v>0</v>
      </c>
      <c r="AG328" s="43">
        <f t="shared" si="785"/>
        <v>0</v>
      </c>
      <c r="AH328" s="43">
        <f t="shared" si="785"/>
        <v>0</v>
      </c>
      <c r="AI328" s="43">
        <f t="shared" si="785"/>
        <v>0</v>
      </c>
      <c r="AJ328" s="43">
        <f t="shared" si="785"/>
        <v>0</v>
      </c>
      <c r="AK328" s="43">
        <f t="shared" ref="AK328:CJ328" si="786">AK327</f>
        <v>0</v>
      </c>
      <c r="AL328" s="43">
        <f t="shared" si="786"/>
        <v>0</v>
      </c>
      <c r="AM328" s="43">
        <f t="shared" si="786"/>
        <v>0</v>
      </c>
      <c r="AN328" s="43">
        <f t="shared" si="786"/>
        <v>0</v>
      </c>
      <c r="AO328" s="43">
        <f t="shared" si="786"/>
        <v>0</v>
      </c>
      <c r="AP328" s="43"/>
      <c r="AQ328" s="43">
        <f t="shared" si="786"/>
        <v>0</v>
      </c>
      <c r="AR328" s="43">
        <f t="shared" si="786"/>
        <v>0</v>
      </c>
      <c r="AS328" s="43">
        <f t="shared" si="786"/>
        <v>0</v>
      </c>
      <c r="AT328" s="43">
        <f t="shared" si="786"/>
        <v>0</v>
      </c>
      <c r="AU328" s="43">
        <f t="shared" si="786"/>
        <v>0</v>
      </c>
      <c r="AV328" s="43" t="e">
        <f t="shared" si="786"/>
        <v>#REF!</v>
      </c>
      <c r="AW328" s="43">
        <f t="shared" si="786"/>
        <v>0</v>
      </c>
      <c r="AX328" s="43" t="e">
        <f t="shared" si="786"/>
        <v>#REF!</v>
      </c>
      <c r="AY328" s="43">
        <f t="shared" si="786"/>
        <v>0</v>
      </c>
      <c r="AZ328" s="43">
        <f t="shared" si="786"/>
        <v>0</v>
      </c>
      <c r="BA328" s="43">
        <f t="shared" si="786"/>
        <v>0</v>
      </c>
      <c r="BB328" s="43">
        <f t="shared" si="786"/>
        <v>0</v>
      </c>
      <c r="BC328" s="43">
        <f t="shared" si="786"/>
        <v>0</v>
      </c>
      <c r="BD328" s="43">
        <f t="shared" si="786"/>
        <v>0</v>
      </c>
      <c r="BE328" s="43">
        <f t="shared" si="786"/>
        <v>0</v>
      </c>
      <c r="BF328" s="43">
        <f t="shared" si="786"/>
        <v>0</v>
      </c>
      <c r="BG328" s="43">
        <f t="shared" si="786"/>
        <v>0</v>
      </c>
      <c r="BH328" s="43">
        <f t="shared" si="786"/>
        <v>0</v>
      </c>
      <c r="BI328" s="43">
        <f t="shared" si="786"/>
        <v>0</v>
      </c>
      <c r="BJ328" s="43">
        <f t="shared" si="786"/>
        <v>0</v>
      </c>
      <c r="BK328" s="43">
        <f t="shared" si="786"/>
        <v>0</v>
      </c>
      <c r="BL328" s="43">
        <f t="shared" si="786"/>
        <v>0</v>
      </c>
      <c r="BM328" s="43">
        <f t="shared" si="786"/>
        <v>0</v>
      </c>
      <c r="BN328" s="43">
        <f t="shared" si="786"/>
        <v>0</v>
      </c>
      <c r="BO328" s="43">
        <f t="shared" si="786"/>
        <v>0</v>
      </c>
      <c r="BP328" s="43">
        <f t="shared" si="786"/>
        <v>0</v>
      </c>
      <c r="BQ328" s="43">
        <f t="shared" si="786"/>
        <v>0</v>
      </c>
      <c r="BR328" s="43">
        <f t="shared" si="786"/>
        <v>0</v>
      </c>
      <c r="BS328" s="43">
        <f t="shared" si="786"/>
        <v>0</v>
      </c>
      <c r="BT328" s="43">
        <f t="shared" si="786"/>
        <v>0</v>
      </c>
      <c r="BU328" s="43">
        <f t="shared" si="786"/>
        <v>0</v>
      </c>
      <c r="BV328" s="43">
        <f t="shared" si="786"/>
        <v>0</v>
      </c>
      <c r="BW328" s="43">
        <f t="shared" si="786"/>
        <v>0</v>
      </c>
      <c r="BX328" s="43">
        <f t="shared" si="786"/>
        <v>0</v>
      </c>
      <c r="BY328" s="43">
        <f t="shared" si="786"/>
        <v>0</v>
      </c>
      <c r="BZ328" s="233">
        <f t="shared" si="786"/>
        <v>0</v>
      </c>
      <c r="CA328" s="43">
        <f t="shared" si="786"/>
        <v>0</v>
      </c>
      <c r="CB328" s="43">
        <f t="shared" si="786"/>
        <v>0</v>
      </c>
      <c r="CC328" s="43">
        <f t="shared" si="786"/>
        <v>0</v>
      </c>
      <c r="CD328" s="43">
        <f t="shared" si="786"/>
        <v>0</v>
      </c>
      <c r="CE328" s="43">
        <f t="shared" si="786"/>
        <v>0</v>
      </c>
      <c r="CF328" s="43">
        <f t="shared" si="777"/>
        <v>0</v>
      </c>
      <c r="CG328" s="43">
        <f t="shared" si="778"/>
        <v>0</v>
      </c>
      <c r="CH328" s="43">
        <f t="shared" si="779"/>
        <v>0</v>
      </c>
      <c r="CI328" s="43">
        <f t="shared" si="780"/>
        <v>0</v>
      </c>
      <c r="CJ328" s="43">
        <f t="shared" si="786"/>
        <v>0</v>
      </c>
      <c r="CK328" s="46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>
        <f>CX315+CX319</f>
        <v>0</v>
      </c>
      <c r="CY328" s="43">
        <f>CY315+CY319</f>
        <v>0</v>
      </c>
      <c r="CZ328" s="43">
        <f>CZ315+CZ319</f>
        <v>0</v>
      </c>
      <c r="DA328" s="43">
        <f>DA315+DA319</f>
        <v>0</v>
      </c>
      <c r="DB328" s="43">
        <f>DB315+DB319</f>
        <v>0</v>
      </c>
      <c r="DF328" s="234"/>
      <c r="DG328" s="46"/>
      <c r="DH328" s="46"/>
      <c r="DI328" s="235"/>
      <c r="DQ328" s="43">
        <f t="shared" ref="DQ328:DZ328" si="787">DQ327</f>
        <v>0</v>
      </c>
      <c r="DR328" s="43">
        <f t="shared" si="787"/>
        <v>0</v>
      </c>
      <c r="DS328" s="43">
        <f t="shared" si="787"/>
        <v>0</v>
      </c>
      <c r="DT328" s="43">
        <f t="shared" si="787"/>
        <v>0</v>
      </c>
      <c r="DU328" s="43">
        <f t="shared" si="787"/>
        <v>0</v>
      </c>
      <c r="DV328" s="43">
        <f t="shared" si="787"/>
        <v>0</v>
      </c>
      <c r="DW328" s="43">
        <f t="shared" si="787"/>
        <v>0</v>
      </c>
      <c r="DX328" s="43">
        <f t="shared" si="787"/>
        <v>0</v>
      </c>
      <c r="DY328" s="120">
        <f t="shared" si="787"/>
        <v>0</v>
      </c>
      <c r="DZ328" s="43">
        <f t="shared" si="787"/>
        <v>0</v>
      </c>
      <c r="EA328" s="372"/>
      <c r="EB328" s="372"/>
      <c r="EC328" s="372"/>
      <c r="ED328" s="372"/>
      <c r="EE328" s="372"/>
      <c r="EF328" s="372"/>
      <c r="EG328" s="372"/>
      <c r="EH328" s="372"/>
      <c r="EI328" s="372"/>
      <c r="EJ328" s="372"/>
      <c r="EK328" s="372"/>
      <c r="EL328" s="372"/>
      <c r="EM328" s="372"/>
      <c r="EN328" s="372"/>
      <c r="EO328" s="372"/>
      <c r="EP328" s="372"/>
      <c r="EQ328" s="372"/>
      <c r="ER328" s="372"/>
      <c r="ES328" s="372"/>
      <c r="ET328" s="372"/>
      <c r="EU328" s="372"/>
      <c r="EV328" s="372"/>
      <c r="EW328" s="372"/>
      <c r="EX328" s="372"/>
      <c r="EY328" s="372"/>
      <c r="EZ328" s="372"/>
      <c r="FA328" s="372"/>
      <c r="FB328" s="372"/>
      <c r="FC328" s="372"/>
      <c r="FD328" s="372"/>
      <c r="FE328" s="372"/>
      <c r="FF328" s="372"/>
      <c r="FG328" s="372"/>
      <c r="FH328" s="372"/>
      <c r="FI328" s="372"/>
      <c r="FJ328" s="372"/>
      <c r="FK328" s="372"/>
      <c r="FL328" s="372"/>
      <c r="FM328" s="372"/>
      <c r="FN328" s="372"/>
      <c r="FO328" s="372"/>
      <c r="FP328" s="372"/>
      <c r="FQ328" s="372"/>
      <c r="FR328" s="372"/>
      <c r="FS328" s="372"/>
      <c r="FT328" s="372"/>
      <c r="FU328" s="372"/>
      <c r="FV328" s="372"/>
      <c r="FW328" s="372"/>
      <c r="FX328" s="372"/>
      <c r="FY328" s="372"/>
      <c r="FZ328" s="372"/>
      <c r="GA328" s="372"/>
      <c r="GB328" s="372"/>
      <c r="GC328" s="372"/>
      <c r="GD328" s="372"/>
      <c r="GE328" s="372"/>
      <c r="GF328" s="372"/>
      <c r="GG328" s="372"/>
      <c r="GH328" s="372"/>
      <c r="GI328" s="372"/>
      <c r="GJ328" s="372"/>
      <c r="GK328" s="372"/>
      <c r="GL328" s="372"/>
      <c r="GM328" s="372"/>
      <c r="GN328" s="372"/>
      <c r="GO328" s="372"/>
      <c r="GP328" s="372"/>
      <c r="GQ328" s="372"/>
      <c r="GR328" s="372"/>
    </row>
    <row r="329" spans="2:200" s="59" customFormat="1" ht="12.75" hidden="1" customHeight="1" thickBot="1" x14ac:dyDescent="0.3">
      <c r="B329" s="143"/>
      <c r="C329" s="143"/>
      <c r="D329" s="143"/>
      <c r="E329" s="199"/>
      <c r="F329" s="143"/>
      <c r="G329" s="143"/>
      <c r="H329" s="143"/>
      <c r="I329" s="143"/>
      <c r="J329" s="143"/>
      <c r="K329" s="143"/>
      <c r="L329" s="143"/>
      <c r="M329" s="236"/>
      <c r="N329" s="236"/>
      <c r="O329" s="236"/>
      <c r="P329" s="236"/>
      <c r="Q329" s="236"/>
      <c r="R329" s="236"/>
      <c r="S329" s="236"/>
      <c r="T329" s="236"/>
      <c r="U329" s="236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202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  <c r="BR329" s="143"/>
      <c r="BS329" s="143"/>
      <c r="BT329" s="143"/>
      <c r="BU329" s="143"/>
      <c r="BV329" s="143"/>
      <c r="BW329" s="143"/>
      <c r="BX329" s="143"/>
      <c r="BY329" s="143"/>
      <c r="BZ329" s="202"/>
      <c r="CA329" s="143"/>
      <c r="CB329" s="143"/>
      <c r="CC329" s="143"/>
      <c r="CD329" s="143"/>
      <c r="CE329" s="143"/>
      <c r="CF329" s="143">
        <f t="shared" si="777"/>
        <v>0</v>
      </c>
      <c r="CG329" s="143">
        <f t="shared" si="778"/>
        <v>0</v>
      </c>
      <c r="CH329" s="143">
        <f t="shared" si="779"/>
        <v>0</v>
      </c>
      <c r="CI329" s="143">
        <f t="shared" si="780"/>
        <v>0</v>
      </c>
      <c r="CJ329" s="143"/>
      <c r="CK329" s="57"/>
      <c r="CN329" s="143"/>
      <c r="CO329" s="143"/>
      <c r="CP329" s="143"/>
      <c r="CQ329" s="143"/>
      <c r="CR329" s="143"/>
      <c r="CS329" s="143"/>
      <c r="CT329" s="143"/>
      <c r="CU329" s="143"/>
      <c r="CV329" s="143"/>
      <c r="CW329" s="143"/>
      <c r="CX329" s="143"/>
      <c r="CY329" s="143"/>
      <c r="CZ329" s="143"/>
      <c r="DA329" s="143"/>
      <c r="DB329" s="143"/>
      <c r="DF329" s="237" t="s">
        <v>308</v>
      </c>
      <c r="DG329" s="57"/>
      <c r="DH329" s="57"/>
      <c r="DI329" s="170"/>
      <c r="DQ329" s="143"/>
      <c r="DR329" s="143"/>
      <c r="DS329" s="143"/>
      <c r="DT329" s="143"/>
      <c r="DU329" s="143"/>
      <c r="DV329" s="143"/>
      <c r="DW329" s="143"/>
      <c r="DX329" s="143"/>
      <c r="DY329" s="143"/>
      <c r="DZ329" s="21"/>
      <c r="EA329" s="372"/>
      <c r="EB329" s="372"/>
      <c r="EC329" s="372"/>
      <c r="ED329" s="372"/>
      <c r="EE329" s="372"/>
      <c r="EF329" s="372"/>
      <c r="EG329" s="372"/>
      <c r="EH329" s="372"/>
      <c r="EI329" s="372"/>
      <c r="EJ329" s="372"/>
      <c r="EK329" s="372"/>
      <c r="EL329" s="372"/>
      <c r="EM329" s="372"/>
      <c r="EN329" s="372"/>
      <c r="EO329" s="372"/>
      <c r="EP329" s="372"/>
      <c r="EQ329" s="372"/>
      <c r="ER329" s="372"/>
      <c r="ES329" s="372"/>
      <c r="ET329" s="372"/>
      <c r="EU329" s="372"/>
      <c r="EV329" s="372"/>
      <c r="EW329" s="372"/>
      <c r="EX329" s="372"/>
      <c r="EY329" s="372"/>
      <c r="EZ329" s="372"/>
      <c r="FA329" s="372"/>
      <c r="FB329" s="372"/>
      <c r="FC329" s="372"/>
      <c r="FD329" s="372"/>
      <c r="FE329" s="372"/>
      <c r="FF329" s="372"/>
      <c r="FG329" s="372"/>
      <c r="FH329" s="372"/>
      <c r="FI329" s="372"/>
      <c r="FJ329" s="372"/>
      <c r="FK329" s="372"/>
      <c r="FL329" s="372"/>
      <c r="FM329" s="372"/>
      <c r="FN329" s="372"/>
      <c r="FO329" s="372"/>
      <c r="FP329" s="372"/>
      <c r="FQ329" s="372"/>
      <c r="FR329" s="372"/>
      <c r="FS329" s="372"/>
      <c r="FT329" s="372"/>
      <c r="FU329" s="372"/>
      <c r="FV329" s="372"/>
      <c r="FW329" s="372"/>
      <c r="FX329" s="372"/>
      <c r="FY329" s="372"/>
      <c r="FZ329" s="372"/>
      <c r="GA329" s="372"/>
      <c r="GB329" s="372"/>
      <c r="GC329" s="372"/>
      <c r="GD329" s="372"/>
      <c r="GE329" s="372"/>
      <c r="GF329" s="372"/>
      <c r="GG329" s="372"/>
      <c r="GH329" s="372"/>
      <c r="GI329" s="372"/>
      <c r="GJ329" s="372"/>
      <c r="GK329" s="372"/>
      <c r="GL329" s="372"/>
      <c r="GM329" s="372"/>
      <c r="GN329" s="372"/>
      <c r="GO329" s="372"/>
      <c r="GP329" s="372"/>
      <c r="GQ329" s="372"/>
      <c r="GR329" s="372"/>
    </row>
    <row r="330" spans="2:200" s="48" customFormat="1" ht="16.2" hidden="1" thickBot="1" x14ac:dyDescent="0.35">
      <c r="B330" s="231"/>
      <c r="C330" s="232"/>
      <c r="D330" s="232"/>
      <c r="M330" s="431" t="s">
        <v>284</v>
      </c>
      <c r="N330" s="432"/>
      <c r="O330" s="219"/>
      <c r="P330" s="219"/>
      <c r="Q330" s="219"/>
      <c r="R330" s="219"/>
      <c r="S330" s="219"/>
      <c r="T330" s="219"/>
      <c r="U330" s="219"/>
      <c r="V330" s="43">
        <f t="shared" ref="V330:Z330" si="788">V316+V328</f>
        <v>1092056.192</v>
      </c>
      <c r="W330" s="43">
        <f t="shared" si="788"/>
        <v>613407.56400000001</v>
      </c>
      <c r="X330" s="43">
        <f t="shared" si="788"/>
        <v>223922.57699999999</v>
      </c>
      <c r="Y330" s="43">
        <f t="shared" si="788"/>
        <v>254726.05100000004</v>
      </c>
      <c r="Z330" s="43">
        <f t="shared" si="788"/>
        <v>0</v>
      </c>
      <c r="AA330" s="43">
        <f t="shared" ref="AA330:AE330" si="789">AA316+AA328</f>
        <v>1063871.942</v>
      </c>
      <c r="AB330" s="43">
        <f t="shared" si="789"/>
        <v>579145.89100000006</v>
      </c>
      <c r="AC330" s="43">
        <f t="shared" si="789"/>
        <v>230000.00000000003</v>
      </c>
      <c r="AD330" s="43">
        <f t="shared" si="789"/>
        <v>254726.05099999998</v>
      </c>
      <c r="AE330" s="43">
        <f t="shared" si="789"/>
        <v>0</v>
      </c>
      <c r="AF330" s="43">
        <f t="shared" ref="AF330:AJ330" si="790">AF316+AF328</f>
        <v>1071836.1440000001</v>
      </c>
      <c r="AG330" s="43">
        <f t="shared" si="790"/>
        <v>587110.09299999999</v>
      </c>
      <c r="AH330" s="43">
        <f t="shared" si="790"/>
        <v>230000.00000000003</v>
      </c>
      <c r="AI330" s="43">
        <f t="shared" si="790"/>
        <v>254726.05100000001</v>
      </c>
      <c r="AJ330" s="43">
        <f t="shared" si="790"/>
        <v>0</v>
      </c>
      <c r="AK330" s="43">
        <f t="shared" ref="AK330:CJ330" si="791">AK316+AK328</f>
        <v>683000</v>
      </c>
      <c r="AL330" s="43">
        <f t="shared" si="791"/>
        <v>421431.3</v>
      </c>
      <c r="AM330" s="43">
        <f t="shared" si="791"/>
        <v>100000</v>
      </c>
      <c r="AN330" s="43">
        <f t="shared" si="791"/>
        <v>161568.70000000001</v>
      </c>
      <c r="AO330" s="43">
        <f t="shared" si="791"/>
        <v>0</v>
      </c>
      <c r="AP330" s="43"/>
      <c r="AQ330" s="43">
        <f t="shared" si="791"/>
        <v>1083302.639</v>
      </c>
      <c r="AR330" s="43">
        <f t="shared" si="791"/>
        <v>604654.01100000006</v>
      </c>
      <c r="AS330" s="43">
        <f t="shared" si="791"/>
        <v>223922.57699999999</v>
      </c>
      <c r="AT330" s="43">
        <f t="shared" si="791"/>
        <v>254726.05100000004</v>
      </c>
      <c r="AU330" s="43">
        <f t="shared" si="791"/>
        <v>0</v>
      </c>
      <c r="AV330" s="43" t="e">
        <f t="shared" si="791"/>
        <v>#REF!</v>
      </c>
      <c r="AW330" s="43" t="e">
        <f t="shared" si="791"/>
        <v>#REF!</v>
      </c>
      <c r="AX330" s="43" t="e">
        <f t="shared" si="791"/>
        <v>#REF!</v>
      </c>
      <c r="AY330" s="43" t="e">
        <f t="shared" si="791"/>
        <v>#REF!</v>
      </c>
      <c r="AZ330" s="43" t="e">
        <f t="shared" si="791"/>
        <v>#REF!</v>
      </c>
      <c r="BA330" s="43">
        <f t="shared" si="791"/>
        <v>803963.91177999997</v>
      </c>
      <c r="BB330" s="43">
        <f t="shared" si="791"/>
        <v>325315.28378</v>
      </c>
      <c r="BC330" s="43">
        <f t="shared" si="791"/>
        <v>223922.57699999999</v>
      </c>
      <c r="BD330" s="43">
        <f t="shared" si="791"/>
        <v>254726.05100000004</v>
      </c>
      <c r="BE330" s="43">
        <f t="shared" si="791"/>
        <v>0</v>
      </c>
      <c r="BF330" s="43">
        <f t="shared" si="791"/>
        <v>0</v>
      </c>
      <c r="BG330" s="43">
        <f t="shared" si="791"/>
        <v>0</v>
      </c>
      <c r="BH330" s="43">
        <f t="shared" si="791"/>
        <v>0</v>
      </c>
      <c r="BI330" s="43">
        <f t="shared" si="791"/>
        <v>0</v>
      </c>
      <c r="BJ330" s="43">
        <f t="shared" si="791"/>
        <v>0</v>
      </c>
      <c r="BK330" s="43">
        <f t="shared" si="791"/>
        <v>803963.91177999997</v>
      </c>
      <c r="BL330" s="43">
        <f t="shared" si="791"/>
        <v>325315.28378</v>
      </c>
      <c r="BM330" s="43">
        <f t="shared" si="791"/>
        <v>223922.57699999999</v>
      </c>
      <c r="BN330" s="43">
        <f t="shared" si="791"/>
        <v>254726.05100000004</v>
      </c>
      <c r="BO330" s="43">
        <f t="shared" si="791"/>
        <v>0</v>
      </c>
      <c r="BP330" s="43">
        <f t="shared" si="791"/>
        <v>776215.99295999995</v>
      </c>
      <c r="BQ330" s="43">
        <f t="shared" si="791"/>
        <v>325259.86963999999</v>
      </c>
      <c r="BR330" s="43">
        <f t="shared" si="791"/>
        <v>212572.74614999996</v>
      </c>
      <c r="BS330" s="43">
        <f t="shared" si="791"/>
        <v>238383.37716999999</v>
      </c>
      <c r="BT330" s="43">
        <f t="shared" si="791"/>
        <v>0</v>
      </c>
      <c r="BU330" s="43">
        <f t="shared" si="791"/>
        <v>268970.45321000001</v>
      </c>
      <c r="BV330" s="43">
        <f t="shared" si="791"/>
        <v>56690.228580000003</v>
      </c>
      <c r="BW330" s="43">
        <f t="shared" si="791"/>
        <v>128148.25510000001</v>
      </c>
      <c r="BX330" s="43">
        <f t="shared" si="791"/>
        <v>84131.969530000017</v>
      </c>
      <c r="BY330" s="43">
        <f t="shared" si="791"/>
        <v>0</v>
      </c>
      <c r="BZ330" s="43">
        <f t="shared" si="791"/>
        <v>1035015.27191</v>
      </c>
      <c r="CA330" s="43">
        <f t="shared" si="791"/>
        <v>1035015.27191</v>
      </c>
      <c r="CB330" s="43">
        <f t="shared" si="791"/>
        <v>371778.92395999999</v>
      </c>
      <c r="CC330" s="43">
        <f t="shared" si="791"/>
        <v>340721.00124999997</v>
      </c>
      <c r="CD330" s="43">
        <f t="shared" si="791"/>
        <v>322515.34669999999</v>
      </c>
      <c r="CE330" s="43">
        <f t="shared" si="791"/>
        <v>0</v>
      </c>
      <c r="CF330" s="43">
        <f t="shared" si="777"/>
        <v>27747.918820000079</v>
      </c>
      <c r="CG330" s="43">
        <f t="shared" si="778"/>
        <v>55.414140000008047</v>
      </c>
      <c r="CH330" s="43">
        <f t="shared" si="779"/>
        <v>11349.830850000028</v>
      </c>
      <c r="CI330" s="43">
        <f t="shared" si="780"/>
        <v>16342.673830000043</v>
      </c>
      <c r="CJ330" s="43">
        <f t="shared" si="791"/>
        <v>0</v>
      </c>
      <c r="CK330" s="46"/>
      <c r="CN330" s="43">
        <f>CN309</f>
        <v>0</v>
      </c>
      <c r="CO330" s="43">
        <f>CO309</f>
        <v>0</v>
      </c>
      <c r="CP330" s="43">
        <f>CP309</f>
        <v>0</v>
      </c>
      <c r="CQ330" s="43">
        <f>CQ309</f>
        <v>0</v>
      </c>
      <c r="CR330" s="43">
        <f>CR309</f>
        <v>0</v>
      </c>
      <c r="CS330" s="43">
        <f>CT330+CU330+CV330+CW330</f>
        <v>0</v>
      </c>
      <c r="CT330" s="43">
        <f>CT331+CT332</f>
        <v>0</v>
      </c>
      <c r="CU330" s="43">
        <f>CU331+CU332</f>
        <v>0</v>
      </c>
      <c r="CV330" s="43">
        <f>CV331+CV332</f>
        <v>0</v>
      </c>
      <c r="CW330" s="43">
        <f>CW331+CW332</f>
        <v>0</v>
      </c>
      <c r="CX330" s="43">
        <f t="shared" ref="CX330:DE330" si="792">CX323+CX328</f>
        <v>0</v>
      </c>
      <c r="CY330" s="43">
        <f t="shared" si="792"/>
        <v>0</v>
      </c>
      <c r="CZ330" s="43">
        <f t="shared" si="792"/>
        <v>0</v>
      </c>
      <c r="DA330" s="43">
        <f t="shared" si="792"/>
        <v>0</v>
      </c>
      <c r="DB330" s="43">
        <f t="shared" si="792"/>
        <v>0</v>
      </c>
      <c r="DC330" s="43">
        <f t="shared" si="792"/>
        <v>0</v>
      </c>
      <c r="DD330" s="43">
        <f t="shared" si="792"/>
        <v>0</v>
      </c>
      <c r="DE330" s="120">
        <f t="shared" si="792"/>
        <v>0</v>
      </c>
      <c r="DF330" s="238">
        <f>DH330-DI330</f>
        <v>0</v>
      </c>
      <c r="DG330" s="239"/>
      <c r="DH330" s="240">
        <f>DH277+DH282</f>
        <v>0</v>
      </c>
      <c r="DI330" s="238">
        <f>DI277+DI282</f>
        <v>0</v>
      </c>
      <c r="DQ330" s="43">
        <f t="shared" ref="DQ330:DZ330" si="793">DQ316+DQ328</f>
        <v>715432.46661</v>
      </c>
      <c r="DR330" s="43">
        <f t="shared" si="793"/>
        <v>302114.80282000004</v>
      </c>
      <c r="DS330" s="43">
        <f t="shared" si="793"/>
        <v>212572.74614999996</v>
      </c>
      <c r="DT330" s="43">
        <f t="shared" si="793"/>
        <v>200744.91764</v>
      </c>
      <c r="DU330" s="43">
        <f t="shared" si="793"/>
        <v>0</v>
      </c>
      <c r="DV330" s="43">
        <f t="shared" si="793"/>
        <v>203343.85976999998</v>
      </c>
      <c r="DW330" s="43">
        <f t="shared" si="793"/>
        <v>61090.626759999992</v>
      </c>
      <c r="DX330" s="43">
        <f t="shared" si="793"/>
        <v>72908.370759999976</v>
      </c>
      <c r="DY330" s="120">
        <f t="shared" si="793"/>
        <v>69344.862249999991</v>
      </c>
      <c r="DZ330" s="43">
        <f t="shared" si="793"/>
        <v>0</v>
      </c>
      <c r="EA330" s="372"/>
      <c r="EB330" s="372"/>
      <c r="EC330" s="372"/>
      <c r="ED330" s="372"/>
      <c r="EE330" s="372"/>
      <c r="EF330" s="372"/>
      <c r="EG330" s="372"/>
      <c r="EH330" s="372"/>
      <c r="EI330" s="372"/>
      <c r="EJ330" s="372"/>
      <c r="EK330" s="372"/>
      <c r="EL330" s="372"/>
      <c r="EM330" s="372"/>
      <c r="EN330" s="372"/>
      <c r="EO330" s="372"/>
      <c r="EP330" s="372"/>
      <c r="EQ330" s="372"/>
      <c r="ER330" s="372"/>
      <c r="ES330" s="372"/>
      <c r="ET330" s="372"/>
      <c r="EU330" s="372"/>
      <c r="EV330" s="372"/>
      <c r="EW330" s="372"/>
      <c r="EX330" s="372"/>
      <c r="EY330" s="372"/>
      <c r="EZ330" s="372"/>
      <c r="FA330" s="372"/>
      <c r="FB330" s="372"/>
      <c r="FC330" s="372"/>
      <c r="FD330" s="372"/>
      <c r="FE330" s="372"/>
      <c r="FF330" s="372"/>
      <c r="FG330" s="372"/>
      <c r="FH330" s="372"/>
      <c r="FI330" s="372"/>
      <c r="FJ330" s="372"/>
      <c r="FK330" s="372"/>
      <c r="FL330" s="372"/>
      <c r="FM330" s="372"/>
      <c r="FN330" s="372"/>
      <c r="FO330" s="372"/>
      <c r="FP330" s="372"/>
      <c r="FQ330" s="372"/>
      <c r="FR330" s="372"/>
      <c r="FS330" s="372"/>
      <c r="FT330" s="372"/>
      <c r="FU330" s="372"/>
      <c r="FV330" s="372"/>
      <c r="FW330" s="372"/>
      <c r="FX330" s="372"/>
      <c r="FY330" s="372"/>
      <c r="FZ330" s="372"/>
      <c r="GA330" s="372"/>
      <c r="GB330" s="372"/>
      <c r="GC330" s="372"/>
      <c r="GD330" s="372"/>
      <c r="GE330" s="372"/>
      <c r="GF330" s="372"/>
      <c r="GG330" s="372"/>
      <c r="GH330" s="372"/>
      <c r="GI330" s="372"/>
      <c r="GJ330" s="372"/>
      <c r="GK330" s="372"/>
      <c r="GL330" s="372"/>
      <c r="GM330" s="372"/>
      <c r="GN330" s="372"/>
      <c r="GO330" s="372"/>
      <c r="GP330" s="372"/>
      <c r="GQ330" s="372"/>
      <c r="GR330" s="372"/>
    </row>
    <row r="331" spans="2:200" s="59" customFormat="1" ht="19.5" hidden="1" customHeight="1" x14ac:dyDescent="0.25">
      <c r="B331" s="24"/>
      <c r="C331" s="141"/>
      <c r="D331" s="24"/>
      <c r="E331" s="142"/>
      <c r="F331" s="24"/>
      <c r="G331" s="141"/>
      <c r="H331" s="24"/>
      <c r="I331" s="24"/>
      <c r="J331" s="24"/>
      <c r="K331" s="24"/>
      <c r="L331" s="24"/>
      <c r="M331" s="173"/>
      <c r="N331" s="174" t="s">
        <v>286</v>
      </c>
      <c r="O331" s="174"/>
      <c r="P331" s="174"/>
      <c r="Q331" s="174"/>
      <c r="R331" s="174"/>
      <c r="S331" s="174"/>
      <c r="T331" s="174"/>
      <c r="U331" s="174"/>
      <c r="V331" s="25">
        <f t="shared" ref="V331:Z331" si="794">V317</f>
        <v>49023.359999999993</v>
      </c>
      <c r="W331" s="21">
        <f t="shared" si="794"/>
        <v>49023.359999999993</v>
      </c>
      <c r="X331" s="21">
        <f t="shared" si="794"/>
        <v>0</v>
      </c>
      <c r="Y331" s="21">
        <f t="shared" si="794"/>
        <v>0</v>
      </c>
      <c r="Z331" s="21">
        <f t="shared" si="794"/>
        <v>0</v>
      </c>
      <c r="AA331" s="25">
        <f t="shared" ref="AA331:AE331" si="795">AA317</f>
        <v>33741.300000000003</v>
      </c>
      <c r="AB331" s="21">
        <f t="shared" si="795"/>
        <v>33741.300000000003</v>
      </c>
      <c r="AC331" s="21">
        <f t="shared" si="795"/>
        <v>0</v>
      </c>
      <c r="AD331" s="21">
        <f t="shared" si="795"/>
        <v>0</v>
      </c>
      <c r="AE331" s="21">
        <f t="shared" si="795"/>
        <v>0</v>
      </c>
      <c r="AF331" s="25">
        <f t="shared" ref="AF331:AJ331" si="796">AF317</f>
        <v>97565.494999999995</v>
      </c>
      <c r="AG331" s="21">
        <f t="shared" si="796"/>
        <v>97565.494999999995</v>
      </c>
      <c r="AH331" s="21">
        <f t="shared" si="796"/>
        <v>0</v>
      </c>
      <c r="AI331" s="21">
        <f t="shared" si="796"/>
        <v>0</v>
      </c>
      <c r="AJ331" s="21">
        <f t="shared" si="796"/>
        <v>0</v>
      </c>
      <c r="AK331" s="25">
        <f t="shared" ref="AK331:CJ331" si="797">AK317</f>
        <v>0</v>
      </c>
      <c r="AL331" s="21">
        <f t="shared" si="797"/>
        <v>0</v>
      </c>
      <c r="AM331" s="21">
        <f t="shared" si="797"/>
        <v>0</v>
      </c>
      <c r="AN331" s="21">
        <f t="shared" si="797"/>
        <v>0</v>
      </c>
      <c r="AO331" s="21">
        <f t="shared" si="797"/>
        <v>0</v>
      </c>
      <c r="AP331" s="22"/>
      <c r="AQ331" s="25">
        <f t="shared" si="797"/>
        <v>49023.359999999993</v>
      </c>
      <c r="AR331" s="21">
        <f t="shared" si="797"/>
        <v>49023.359999999993</v>
      </c>
      <c r="AS331" s="21">
        <f t="shared" si="797"/>
        <v>0</v>
      </c>
      <c r="AT331" s="21">
        <f t="shared" si="797"/>
        <v>0</v>
      </c>
      <c r="AU331" s="21">
        <f t="shared" si="797"/>
        <v>0</v>
      </c>
      <c r="AV331" s="21" t="e">
        <f t="shared" si="797"/>
        <v>#REF!</v>
      </c>
      <c r="AW331" s="21" t="e">
        <f t="shared" si="797"/>
        <v>#REF!</v>
      </c>
      <c r="AX331" s="21" t="e">
        <f t="shared" si="797"/>
        <v>#REF!</v>
      </c>
      <c r="AY331" s="21" t="e">
        <f t="shared" si="797"/>
        <v>#REF!</v>
      </c>
      <c r="AZ331" s="21" t="e">
        <f t="shared" si="797"/>
        <v>#REF!</v>
      </c>
      <c r="BA331" s="25">
        <f t="shared" si="797"/>
        <v>22388.043260000002</v>
      </c>
      <c r="BB331" s="21">
        <f t="shared" si="797"/>
        <v>22388.043260000002</v>
      </c>
      <c r="BC331" s="21">
        <f t="shared" si="797"/>
        <v>0</v>
      </c>
      <c r="BD331" s="21">
        <f t="shared" si="797"/>
        <v>0</v>
      </c>
      <c r="BE331" s="21">
        <f t="shared" si="797"/>
        <v>0</v>
      </c>
      <c r="BF331" s="21">
        <f t="shared" si="797"/>
        <v>0</v>
      </c>
      <c r="BG331" s="21">
        <f t="shared" si="797"/>
        <v>0</v>
      </c>
      <c r="BH331" s="21">
        <f t="shared" si="797"/>
        <v>0</v>
      </c>
      <c r="BI331" s="21">
        <f t="shared" si="797"/>
        <v>0</v>
      </c>
      <c r="BJ331" s="21">
        <f t="shared" si="797"/>
        <v>0</v>
      </c>
      <c r="BK331" s="25">
        <f t="shared" si="797"/>
        <v>22388.043260000002</v>
      </c>
      <c r="BL331" s="21">
        <f t="shared" si="797"/>
        <v>22388.043260000002</v>
      </c>
      <c r="BM331" s="21">
        <f t="shared" si="797"/>
        <v>0</v>
      </c>
      <c r="BN331" s="21">
        <f t="shared" si="797"/>
        <v>0</v>
      </c>
      <c r="BO331" s="21">
        <f t="shared" si="797"/>
        <v>0</v>
      </c>
      <c r="BP331" s="25">
        <f t="shared" si="797"/>
        <v>22388.043260000002</v>
      </c>
      <c r="BQ331" s="21">
        <f t="shared" si="797"/>
        <v>22388.043260000002</v>
      </c>
      <c r="BR331" s="21">
        <f t="shared" si="797"/>
        <v>0</v>
      </c>
      <c r="BS331" s="21">
        <f t="shared" si="797"/>
        <v>0</v>
      </c>
      <c r="BT331" s="21">
        <f t="shared" si="797"/>
        <v>0</v>
      </c>
      <c r="BU331" s="25">
        <f t="shared" si="797"/>
        <v>0</v>
      </c>
      <c r="BV331" s="21">
        <f t="shared" si="797"/>
        <v>0</v>
      </c>
      <c r="BW331" s="21">
        <f t="shared" si="797"/>
        <v>0</v>
      </c>
      <c r="BX331" s="21">
        <f t="shared" si="797"/>
        <v>0</v>
      </c>
      <c r="BY331" s="21">
        <f t="shared" si="797"/>
        <v>0</v>
      </c>
      <c r="BZ331" s="21">
        <f t="shared" si="797"/>
        <v>22388.043260000002</v>
      </c>
      <c r="CA331" s="25">
        <f t="shared" si="797"/>
        <v>22388.043260000002</v>
      </c>
      <c r="CB331" s="21">
        <f t="shared" si="797"/>
        <v>22388.043260000002</v>
      </c>
      <c r="CC331" s="21">
        <f t="shared" si="797"/>
        <v>0</v>
      </c>
      <c r="CD331" s="21">
        <f t="shared" si="797"/>
        <v>0</v>
      </c>
      <c r="CE331" s="21">
        <f t="shared" si="797"/>
        <v>0</v>
      </c>
      <c r="CF331" s="25">
        <f t="shared" si="777"/>
        <v>0</v>
      </c>
      <c r="CG331" s="21">
        <f t="shared" si="778"/>
        <v>0</v>
      </c>
      <c r="CH331" s="21">
        <f t="shared" si="779"/>
        <v>0</v>
      </c>
      <c r="CI331" s="21">
        <f t="shared" si="780"/>
        <v>0</v>
      </c>
      <c r="CJ331" s="21">
        <f t="shared" si="797"/>
        <v>0</v>
      </c>
      <c r="CK331" s="57"/>
      <c r="CN331" s="25">
        <f>CO331+CP331+CQ331+CR331</f>
        <v>0</v>
      </c>
      <c r="CO331" s="21">
        <f>CO318+CO322</f>
        <v>0</v>
      </c>
      <c r="CP331" s="21">
        <f>CP318+CP322</f>
        <v>0</v>
      </c>
      <c r="CQ331" s="21">
        <f>CQ318+CQ322</f>
        <v>0</v>
      </c>
      <c r="CR331" s="21">
        <f>CR318+CR322</f>
        <v>0</v>
      </c>
      <c r="CS331" s="25">
        <f>CT331+CU331+CV331+CW331</f>
        <v>0</v>
      </c>
      <c r="CT331" s="21">
        <f t="shared" ref="CT331:CW332" si="798">CT318+CT322</f>
        <v>0</v>
      </c>
      <c r="CU331" s="21">
        <f t="shared" si="798"/>
        <v>0</v>
      </c>
      <c r="CV331" s="21">
        <f t="shared" si="798"/>
        <v>0</v>
      </c>
      <c r="CW331" s="21">
        <f t="shared" si="798"/>
        <v>0</v>
      </c>
      <c r="CX331" s="25">
        <f>CY331+CZ331+DA331+DB331</f>
        <v>0</v>
      </c>
      <c r="CY331" s="21">
        <f>CY318+CY322</f>
        <v>0</v>
      </c>
      <c r="CZ331" s="21">
        <f>CZ318+CZ322</f>
        <v>0</v>
      </c>
      <c r="DA331" s="21">
        <f>DA318+DA322</f>
        <v>0</v>
      </c>
      <c r="DB331" s="21">
        <f>DB318+DB322</f>
        <v>0</v>
      </c>
      <c r="DK331" s="21">
        <f>DK318+DK322</f>
        <v>0</v>
      </c>
      <c r="DL331" s="21">
        <f>DL318+DL322</f>
        <v>0</v>
      </c>
      <c r="DN331" s="21">
        <f>DN318+DN322</f>
        <v>0</v>
      </c>
      <c r="DQ331" s="25">
        <f t="shared" ref="DQ331:DZ331" si="799">DQ317</f>
        <v>22388.043260000002</v>
      </c>
      <c r="DR331" s="25">
        <f t="shared" si="799"/>
        <v>22388.043260000002</v>
      </c>
      <c r="DS331" s="25">
        <f t="shared" si="799"/>
        <v>0</v>
      </c>
      <c r="DT331" s="25">
        <f t="shared" si="799"/>
        <v>0</v>
      </c>
      <c r="DU331" s="25">
        <f t="shared" si="799"/>
        <v>0</v>
      </c>
      <c r="DV331" s="25">
        <f t="shared" si="799"/>
        <v>142253.23300999997</v>
      </c>
      <c r="DW331" s="25">
        <f t="shared" si="799"/>
        <v>0</v>
      </c>
      <c r="DX331" s="25">
        <f t="shared" si="799"/>
        <v>72908.370759999976</v>
      </c>
      <c r="DY331" s="241">
        <f t="shared" si="799"/>
        <v>69344.862249999991</v>
      </c>
      <c r="DZ331" s="21">
        <f t="shared" si="799"/>
        <v>0</v>
      </c>
      <c r="EA331" s="372"/>
      <c r="EB331" s="372"/>
      <c r="EC331" s="372"/>
      <c r="ED331" s="372"/>
      <c r="EE331" s="372"/>
      <c r="EF331" s="372"/>
      <c r="EG331" s="372"/>
      <c r="EH331" s="372"/>
      <c r="EI331" s="372"/>
      <c r="EJ331" s="372"/>
      <c r="EK331" s="372"/>
      <c r="EL331" s="372"/>
      <c r="EM331" s="372"/>
      <c r="EN331" s="372"/>
      <c r="EO331" s="372"/>
      <c r="EP331" s="372"/>
      <c r="EQ331" s="372"/>
      <c r="ER331" s="372"/>
      <c r="ES331" s="372"/>
      <c r="ET331" s="372"/>
      <c r="EU331" s="372"/>
      <c r="EV331" s="372"/>
      <c r="EW331" s="372"/>
      <c r="EX331" s="372"/>
      <c r="EY331" s="372"/>
      <c r="EZ331" s="372"/>
      <c r="FA331" s="372"/>
      <c r="FB331" s="372"/>
      <c r="FC331" s="372"/>
      <c r="FD331" s="372"/>
      <c r="FE331" s="372"/>
      <c r="FF331" s="372"/>
      <c r="FG331" s="372"/>
      <c r="FH331" s="372"/>
      <c r="FI331" s="372"/>
      <c r="FJ331" s="372"/>
      <c r="FK331" s="372"/>
      <c r="FL331" s="372"/>
      <c r="FM331" s="372"/>
      <c r="FN331" s="372"/>
      <c r="FO331" s="372"/>
      <c r="FP331" s="372"/>
      <c r="FQ331" s="372"/>
      <c r="FR331" s="372"/>
      <c r="FS331" s="372"/>
      <c r="FT331" s="372"/>
      <c r="FU331" s="372"/>
      <c r="FV331" s="372"/>
      <c r="FW331" s="372"/>
      <c r="FX331" s="372"/>
      <c r="FY331" s="372"/>
      <c r="FZ331" s="372"/>
      <c r="GA331" s="372"/>
      <c r="GB331" s="372"/>
      <c r="GC331" s="372"/>
      <c r="GD331" s="372"/>
      <c r="GE331" s="372"/>
      <c r="GF331" s="372"/>
      <c r="GG331" s="372"/>
      <c r="GH331" s="372"/>
      <c r="GI331" s="372"/>
      <c r="GJ331" s="372"/>
      <c r="GK331" s="372"/>
      <c r="GL331" s="372"/>
      <c r="GM331" s="372"/>
      <c r="GN331" s="372"/>
      <c r="GO331" s="372"/>
      <c r="GP331" s="372"/>
      <c r="GQ331" s="372"/>
      <c r="GR331" s="372"/>
    </row>
    <row r="332" spans="2:200" s="59" customFormat="1" ht="19.5" hidden="1" customHeight="1" x14ac:dyDescent="0.25">
      <c r="B332" s="24"/>
      <c r="C332" s="141"/>
      <c r="D332" s="24"/>
      <c r="E332" s="142"/>
      <c r="F332" s="24"/>
      <c r="G332" s="141"/>
      <c r="H332" s="24"/>
      <c r="I332" s="24"/>
      <c r="J332" s="24"/>
      <c r="K332" s="24"/>
      <c r="L332" s="24"/>
      <c r="M332" s="173"/>
      <c r="N332" s="174" t="s">
        <v>287</v>
      </c>
      <c r="O332" s="174"/>
      <c r="P332" s="174"/>
      <c r="Q332" s="174"/>
      <c r="R332" s="174"/>
      <c r="S332" s="174"/>
      <c r="T332" s="174"/>
      <c r="U332" s="174"/>
      <c r="V332" s="25">
        <f t="shared" ref="V332:Z332" si="800">V318+V328</f>
        <v>1043032.8319999999</v>
      </c>
      <c r="W332" s="21">
        <f t="shared" si="800"/>
        <v>564384.20400000003</v>
      </c>
      <c r="X332" s="21">
        <f t="shared" si="800"/>
        <v>223922.57699999999</v>
      </c>
      <c r="Y332" s="21">
        <f t="shared" si="800"/>
        <v>254726.05100000004</v>
      </c>
      <c r="Z332" s="21">
        <f t="shared" si="800"/>
        <v>0</v>
      </c>
      <c r="AA332" s="25">
        <f t="shared" ref="AA332:AE332" si="801">AA318+AA328</f>
        <v>1030130.642</v>
      </c>
      <c r="AB332" s="21">
        <f t="shared" si="801"/>
        <v>545404.59100000001</v>
      </c>
      <c r="AC332" s="21">
        <f t="shared" si="801"/>
        <v>230000.00000000003</v>
      </c>
      <c r="AD332" s="21">
        <f t="shared" si="801"/>
        <v>254726.05099999998</v>
      </c>
      <c r="AE332" s="21">
        <f t="shared" si="801"/>
        <v>0</v>
      </c>
      <c r="AF332" s="25">
        <f t="shared" ref="AF332:AJ332" si="802">AF318+AF328</f>
        <v>974270.64899999998</v>
      </c>
      <c r="AG332" s="21">
        <f t="shared" si="802"/>
        <v>489544.598</v>
      </c>
      <c r="AH332" s="21">
        <f t="shared" si="802"/>
        <v>230000.00000000003</v>
      </c>
      <c r="AI332" s="21">
        <f t="shared" si="802"/>
        <v>254726.05100000001</v>
      </c>
      <c r="AJ332" s="21">
        <f t="shared" si="802"/>
        <v>0</v>
      </c>
      <c r="AK332" s="25">
        <f t="shared" ref="AK332:CJ332" si="803">AK318+AK328</f>
        <v>683000</v>
      </c>
      <c r="AL332" s="21">
        <f t="shared" si="803"/>
        <v>421431.3</v>
      </c>
      <c r="AM332" s="21">
        <f t="shared" si="803"/>
        <v>100000</v>
      </c>
      <c r="AN332" s="21">
        <f t="shared" si="803"/>
        <v>161568.70000000001</v>
      </c>
      <c r="AO332" s="21">
        <f t="shared" si="803"/>
        <v>0</v>
      </c>
      <c r="AP332" s="22"/>
      <c r="AQ332" s="25">
        <f t="shared" si="803"/>
        <v>1034279.2790000001</v>
      </c>
      <c r="AR332" s="21">
        <f t="shared" si="803"/>
        <v>555630.65100000007</v>
      </c>
      <c r="AS332" s="21">
        <f t="shared" si="803"/>
        <v>223922.57699999999</v>
      </c>
      <c r="AT332" s="21">
        <f t="shared" si="803"/>
        <v>254726.05100000004</v>
      </c>
      <c r="AU332" s="21">
        <f t="shared" si="803"/>
        <v>0</v>
      </c>
      <c r="AV332" s="21" t="e">
        <f t="shared" si="803"/>
        <v>#REF!</v>
      </c>
      <c r="AW332" s="21" t="e">
        <f t="shared" si="803"/>
        <v>#REF!</v>
      </c>
      <c r="AX332" s="21" t="e">
        <f t="shared" si="803"/>
        <v>#REF!</v>
      </c>
      <c r="AY332" s="21">
        <f t="shared" si="803"/>
        <v>0</v>
      </c>
      <c r="AZ332" s="21" t="e">
        <f t="shared" si="803"/>
        <v>#REF!</v>
      </c>
      <c r="BA332" s="25">
        <f t="shared" si="803"/>
        <v>781575.86852000002</v>
      </c>
      <c r="BB332" s="21">
        <f t="shared" si="803"/>
        <v>302927.24051999999</v>
      </c>
      <c r="BC332" s="21">
        <f t="shared" si="803"/>
        <v>223922.57699999999</v>
      </c>
      <c r="BD332" s="21">
        <f t="shared" si="803"/>
        <v>254726.05100000004</v>
      </c>
      <c r="BE332" s="21">
        <f t="shared" si="803"/>
        <v>0</v>
      </c>
      <c r="BF332" s="21">
        <f t="shared" si="803"/>
        <v>0</v>
      </c>
      <c r="BG332" s="21">
        <f t="shared" si="803"/>
        <v>0</v>
      </c>
      <c r="BH332" s="21">
        <f t="shared" si="803"/>
        <v>0</v>
      </c>
      <c r="BI332" s="21">
        <f t="shared" si="803"/>
        <v>0</v>
      </c>
      <c r="BJ332" s="21">
        <f t="shared" si="803"/>
        <v>0</v>
      </c>
      <c r="BK332" s="25">
        <f t="shared" si="803"/>
        <v>781575.86852000002</v>
      </c>
      <c r="BL332" s="21">
        <f t="shared" si="803"/>
        <v>302927.24051999999</v>
      </c>
      <c r="BM332" s="21">
        <f t="shared" si="803"/>
        <v>223922.57699999999</v>
      </c>
      <c r="BN332" s="21">
        <f t="shared" si="803"/>
        <v>254726.05100000004</v>
      </c>
      <c r="BO332" s="21">
        <f t="shared" si="803"/>
        <v>0</v>
      </c>
      <c r="BP332" s="25">
        <f t="shared" si="803"/>
        <v>753827.9497</v>
      </c>
      <c r="BQ332" s="21">
        <f t="shared" si="803"/>
        <v>302871.82637999998</v>
      </c>
      <c r="BR332" s="21">
        <f t="shared" si="803"/>
        <v>212572.74614999996</v>
      </c>
      <c r="BS332" s="21">
        <f t="shared" si="803"/>
        <v>238383.37716999999</v>
      </c>
      <c r="BT332" s="21">
        <f t="shared" si="803"/>
        <v>0</v>
      </c>
      <c r="BU332" s="25">
        <f t="shared" si="803"/>
        <v>268970.45321000001</v>
      </c>
      <c r="BV332" s="21">
        <f t="shared" si="803"/>
        <v>56690.228580000003</v>
      </c>
      <c r="BW332" s="21">
        <f t="shared" si="803"/>
        <v>128148.25510000001</v>
      </c>
      <c r="BX332" s="21">
        <f t="shared" si="803"/>
        <v>84131.969530000017</v>
      </c>
      <c r="BY332" s="21">
        <f t="shared" si="803"/>
        <v>0</v>
      </c>
      <c r="BZ332" s="21">
        <f t="shared" si="803"/>
        <v>1012627.2286499999</v>
      </c>
      <c r="CA332" s="25">
        <f t="shared" si="803"/>
        <v>1012627.2286499999</v>
      </c>
      <c r="CB332" s="21">
        <f t="shared" si="803"/>
        <v>349390.88069999998</v>
      </c>
      <c r="CC332" s="21">
        <f t="shared" si="803"/>
        <v>340721.00124999997</v>
      </c>
      <c r="CD332" s="21">
        <f t="shared" si="803"/>
        <v>322515.34669999999</v>
      </c>
      <c r="CE332" s="21">
        <f t="shared" si="803"/>
        <v>0</v>
      </c>
      <c r="CF332" s="25">
        <f t="shared" si="777"/>
        <v>27747.918820000079</v>
      </c>
      <c r="CG332" s="21">
        <f t="shared" si="778"/>
        <v>55.414140000008047</v>
      </c>
      <c r="CH332" s="21">
        <f t="shared" si="779"/>
        <v>11349.830850000028</v>
      </c>
      <c r="CI332" s="21">
        <f t="shared" si="780"/>
        <v>16342.673830000043</v>
      </c>
      <c r="CJ332" s="21">
        <f t="shared" si="803"/>
        <v>0</v>
      </c>
      <c r="CK332" s="57"/>
      <c r="CN332" s="25">
        <f>CO332+CP332+CQ332+CR332</f>
        <v>0</v>
      </c>
      <c r="CO332" s="21">
        <f>CO319+CO323</f>
        <v>0</v>
      </c>
      <c r="CP332" s="21">
        <f>CP319+CP323</f>
        <v>0</v>
      </c>
      <c r="CQ332" s="21"/>
      <c r="CR332" s="21"/>
      <c r="CS332" s="25">
        <f>CT332+CU332+CV332+CW332</f>
        <v>0</v>
      </c>
      <c r="CT332" s="21">
        <f t="shared" si="798"/>
        <v>0</v>
      </c>
      <c r="CU332" s="21">
        <f t="shared" si="798"/>
        <v>0</v>
      </c>
      <c r="CV332" s="21">
        <f t="shared" si="798"/>
        <v>0</v>
      </c>
      <c r="CW332" s="21">
        <f t="shared" si="798"/>
        <v>0</v>
      </c>
      <c r="CX332" s="25">
        <f>CY332+CZ332+DA332+DB332</f>
        <v>0</v>
      </c>
      <c r="CY332" s="21">
        <f>CY319+CY323</f>
        <v>0</v>
      </c>
      <c r="CZ332" s="21">
        <f>CZ319+CZ323</f>
        <v>0</v>
      </c>
      <c r="DA332" s="21"/>
      <c r="DB332" s="21"/>
      <c r="DK332" s="21">
        <f>DK319+DK323</f>
        <v>0</v>
      </c>
      <c r="DL332" s="21">
        <f>DL319+DL323</f>
        <v>0</v>
      </c>
      <c r="DN332" s="21">
        <f>DN319+DN323</f>
        <v>0</v>
      </c>
      <c r="DQ332" s="25">
        <f t="shared" ref="DQ332:DZ332" si="804">DQ318+DQ328</f>
        <v>693044.42335000006</v>
      </c>
      <c r="DR332" s="21">
        <f t="shared" si="804"/>
        <v>279726.75956000003</v>
      </c>
      <c r="DS332" s="21">
        <f t="shared" si="804"/>
        <v>212572.74614999996</v>
      </c>
      <c r="DT332" s="21">
        <f t="shared" si="804"/>
        <v>200744.91764</v>
      </c>
      <c r="DU332" s="21">
        <f t="shared" si="804"/>
        <v>0</v>
      </c>
      <c r="DV332" s="25">
        <f t="shared" si="804"/>
        <v>61090.626759999992</v>
      </c>
      <c r="DW332" s="21">
        <f t="shared" si="804"/>
        <v>61090.626759999992</v>
      </c>
      <c r="DX332" s="21">
        <f t="shared" si="804"/>
        <v>0</v>
      </c>
      <c r="DY332" s="21">
        <f t="shared" si="804"/>
        <v>0</v>
      </c>
      <c r="DZ332" s="21">
        <f t="shared" si="804"/>
        <v>0</v>
      </c>
      <c r="EA332" s="372"/>
      <c r="EB332" s="372"/>
      <c r="EC332" s="372"/>
      <c r="ED332" s="372"/>
      <c r="EE332" s="372"/>
      <c r="EF332" s="372"/>
      <c r="EG332" s="372"/>
      <c r="EH332" s="372"/>
      <c r="EI332" s="372"/>
      <c r="EJ332" s="372"/>
      <c r="EK332" s="372"/>
      <c r="EL332" s="372"/>
      <c r="EM332" s="372"/>
      <c r="EN332" s="372"/>
      <c r="EO332" s="372"/>
      <c r="EP332" s="372"/>
      <c r="EQ332" s="372"/>
      <c r="ER332" s="372"/>
      <c r="ES332" s="372"/>
      <c r="ET332" s="372"/>
      <c r="EU332" s="372"/>
      <c r="EV332" s="372"/>
      <c r="EW332" s="372"/>
      <c r="EX332" s="372"/>
      <c r="EY332" s="372"/>
      <c r="EZ332" s="372"/>
      <c r="FA332" s="372"/>
      <c r="FB332" s="372"/>
      <c r="FC332" s="372"/>
      <c r="FD332" s="372"/>
      <c r="FE332" s="372"/>
      <c r="FF332" s="372"/>
      <c r="FG332" s="372"/>
      <c r="FH332" s="372"/>
      <c r="FI332" s="372"/>
      <c r="FJ332" s="372"/>
      <c r="FK332" s="372"/>
      <c r="FL332" s="372"/>
      <c r="FM332" s="372"/>
      <c r="FN332" s="372"/>
      <c r="FO332" s="372"/>
      <c r="FP332" s="372"/>
      <c r="FQ332" s="372"/>
      <c r="FR332" s="372"/>
      <c r="FS332" s="372"/>
      <c r="FT332" s="372"/>
      <c r="FU332" s="372"/>
      <c r="FV332" s="372"/>
      <c r="FW332" s="372"/>
      <c r="FX332" s="372"/>
      <c r="FY332" s="372"/>
      <c r="FZ332" s="372"/>
      <c r="GA332" s="372"/>
      <c r="GB332" s="372"/>
      <c r="GC332" s="372"/>
      <c r="GD332" s="372"/>
      <c r="GE332" s="372"/>
      <c r="GF332" s="372"/>
      <c r="GG332" s="372"/>
      <c r="GH332" s="372"/>
      <c r="GI332" s="372"/>
      <c r="GJ332" s="372"/>
      <c r="GK332" s="372"/>
      <c r="GL332" s="372"/>
      <c r="GM332" s="372"/>
      <c r="GN332" s="372"/>
      <c r="GO332" s="372"/>
      <c r="GP332" s="372"/>
      <c r="GQ332" s="372"/>
      <c r="GR332" s="372"/>
    </row>
    <row r="333" spans="2:200" hidden="1" x14ac:dyDescent="0.3">
      <c r="BK333" s="59"/>
      <c r="BL333" s="59"/>
      <c r="BM333" s="59"/>
      <c r="BN333" s="59"/>
      <c r="BO333" s="59"/>
      <c r="CF333" s="8">
        <f t="shared" si="777"/>
        <v>0</v>
      </c>
      <c r="CG333" s="8">
        <f t="shared" si="778"/>
        <v>0</v>
      </c>
      <c r="CH333" s="8">
        <f t="shared" si="779"/>
        <v>0</v>
      </c>
      <c r="CI333" s="8">
        <f t="shared" si="780"/>
        <v>0</v>
      </c>
    </row>
    <row r="334" spans="2:200" hidden="1" x14ac:dyDescent="0.3">
      <c r="BK334" s="59"/>
      <c r="BL334" s="59"/>
      <c r="BM334" s="59"/>
      <c r="BN334" s="59"/>
      <c r="BO334" s="59"/>
      <c r="CF334" s="8">
        <f t="shared" si="777"/>
        <v>0</v>
      </c>
      <c r="CG334" s="8">
        <f t="shared" si="778"/>
        <v>0</v>
      </c>
      <c r="CH334" s="8">
        <f t="shared" si="779"/>
        <v>0</v>
      </c>
      <c r="CI334" s="8">
        <f t="shared" si="780"/>
        <v>0</v>
      </c>
    </row>
    <row r="335" spans="2:200" hidden="1" x14ac:dyDescent="0.3">
      <c r="BK335" s="59"/>
      <c r="BL335" s="59"/>
      <c r="BM335" s="59"/>
      <c r="BN335" s="59"/>
      <c r="BO335" s="59"/>
      <c r="CF335" s="8">
        <f t="shared" si="777"/>
        <v>0</v>
      </c>
      <c r="CG335" s="8">
        <f t="shared" si="778"/>
        <v>0</v>
      </c>
      <c r="CH335" s="8">
        <f t="shared" si="779"/>
        <v>0</v>
      </c>
      <c r="CI335" s="8">
        <f t="shared" si="780"/>
        <v>0</v>
      </c>
    </row>
    <row r="336" spans="2:200" hidden="1" x14ac:dyDescent="0.3">
      <c r="BK336" s="59"/>
      <c r="BL336" s="59"/>
      <c r="BM336" s="59"/>
      <c r="BN336" s="59"/>
      <c r="BO336" s="59"/>
      <c r="CF336" s="8">
        <f t="shared" si="777"/>
        <v>0</v>
      </c>
      <c r="CG336" s="8">
        <f t="shared" si="778"/>
        <v>0</v>
      </c>
      <c r="CH336" s="8">
        <f t="shared" si="779"/>
        <v>0</v>
      </c>
      <c r="CI336" s="8">
        <f t="shared" si="780"/>
        <v>0</v>
      </c>
    </row>
    <row r="337" spans="2:200" hidden="1" x14ac:dyDescent="0.3">
      <c r="BK337" s="59"/>
      <c r="BL337" s="59"/>
      <c r="BM337" s="59"/>
      <c r="BN337" s="59"/>
      <c r="BO337" s="59"/>
      <c r="CF337" s="8">
        <f t="shared" si="777"/>
        <v>0</v>
      </c>
      <c r="CG337" s="8">
        <f t="shared" si="778"/>
        <v>0</v>
      </c>
      <c r="CH337" s="8">
        <f t="shared" si="779"/>
        <v>0</v>
      </c>
      <c r="CI337" s="8">
        <f t="shared" si="780"/>
        <v>0</v>
      </c>
    </row>
    <row r="338" spans="2:200" hidden="1" x14ac:dyDescent="0.3">
      <c r="BK338" s="59"/>
      <c r="BL338" s="59"/>
      <c r="BM338" s="59"/>
      <c r="BN338" s="59"/>
      <c r="BO338" s="59"/>
      <c r="CF338" s="8">
        <f t="shared" si="777"/>
        <v>0</v>
      </c>
      <c r="CG338" s="8">
        <f t="shared" si="778"/>
        <v>0</v>
      </c>
      <c r="CH338" s="8">
        <f t="shared" si="779"/>
        <v>0</v>
      </c>
      <c r="CI338" s="8">
        <f t="shared" si="780"/>
        <v>0</v>
      </c>
    </row>
    <row r="339" spans="2:200" hidden="1" x14ac:dyDescent="0.3">
      <c r="BK339" s="59"/>
      <c r="BL339" s="59"/>
      <c r="BM339" s="59"/>
      <c r="BN339" s="59"/>
      <c r="BO339" s="59"/>
      <c r="CF339" s="8">
        <f t="shared" si="777"/>
        <v>0</v>
      </c>
      <c r="CG339" s="8">
        <f t="shared" si="778"/>
        <v>0</v>
      </c>
      <c r="CH339" s="8">
        <f t="shared" si="779"/>
        <v>0</v>
      </c>
      <c r="CI339" s="8">
        <f t="shared" si="780"/>
        <v>0</v>
      </c>
    </row>
    <row r="340" spans="2:200" hidden="1" x14ac:dyDescent="0.3">
      <c r="BK340" s="59"/>
      <c r="BL340" s="59"/>
      <c r="BM340" s="59"/>
      <c r="BN340" s="59"/>
      <c r="BO340" s="59"/>
      <c r="CF340" s="8">
        <f t="shared" si="777"/>
        <v>0</v>
      </c>
      <c r="CG340" s="8">
        <f t="shared" si="778"/>
        <v>0</v>
      </c>
      <c r="CH340" s="8">
        <f t="shared" si="779"/>
        <v>0</v>
      </c>
      <c r="CI340" s="8">
        <f t="shared" si="780"/>
        <v>0</v>
      </c>
    </row>
    <row r="341" spans="2:200" hidden="1" x14ac:dyDescent="0.3">
      <c r="BK341" s="59"/>
      <c r="BL341" s="59"/>
      <c r="BM341" s="59"/>
      <c r="BN341" s="59"/>
      <c r="BO341" s="59"/>
      <c r="CF341" s="8">
        <f t="shared" si="777"/>
        <v>0</v>
      </c>
      <c r="CG341" s="8">
        <f t="shared" si="778"/>
        <v>0</v>
      </c>
      <c r="CH341" s="8">
        <f t="shared" si="779"/>
        <v>0</v>
      </c>
      <c r="CI341" s="8">
        <f t="shared" si="780"/>
        <v>0</v>
      </c>
    </row>
    <row r="342" spans="2:200" hidden="1" x14ac:dyDescent="0.3">
      <c r="BK342" s="59"/>
      <c r="BL342" s="59"/>
      <c r="BM342" s="59"/>
      <c r="BN342" s="59"/>
      <c r="BO342" s="59"/>
      <c r="CF342" s="8">
        <f t="shared" si="777"/>
        <v>0</v>
      </c>
      <c r="CG342" s="8">
        <f t="shared" si="778"/>
        <v>0</v>
      </c>
      <c r="CH342" s="8">
        <f t="shared" si="779"/>
        <v>0</v>
      </c>
      <c r="CI342" s="8">
        <f t="shared" si="780"/>
        <v>0</v>
      </c>
    </row>
    <row r="343" spans="2:200" hidden="1" x14ac:dyDescent="0.3">
      <c r="BK343" s="59"/>
      <c r="BL343" s="59"/>
      <c r="BM343" s="59"/>
      <c r="BN343" s="59"/>
      <c r="BO343" s="59"/>
      <c r="CF343" s="8">
        <f t="shared" si="777"/>
        <v>0</v>
      </c>
      <c r="CG343" s="8">
        <f t="shared" si="778"/>
        <v>0</v>
      </c>
      <c r="CH343" s="8">
        <f t="shared" si="779"/>
        <v>0</v>
      </c>
      <c r="CI343" s="8">
        <f t="shared" si="780"/>
        <v>0</v>
      </c>
    </row>
    <row r="344" spans="2:200" hidden="1" x14ac:dyDescent="0.3">
      <c r="BK344" s="59"/>
      <c r="BL344" s="59"/>
      <c r="BM344" s="59"/>
      <c r="BN344" s="59"/>
      <c r="BO344" s="59"/>
      <c r="CF344" s="8">
        <f t="shared" si="777"/>
        <v>0</v>
      </c>
      <c r="CG344" s="8">
        <f t="shared" si="778"/>
        <v>0</v>
      </c>
      <c r="CH344" s="8">
        <f t="shared" si="779"/>
        <v>0</v>
      </c>
      <c r="CI344" s="8">
        <f t="shared" si="780"/>
        <v>0</v>
      </c>
    </row>
    <row r="345" spans="2:200" hidden="1" x14ac:dyDescent="0.3">
      <c r="BK345" s="59"/>
      <c r="BL345" s="59"/>
      <c r="BM345" s="59"/>
      <c r="BN345" s="59"/>
      <c r="BO345" s="59"/>
      <c r="CF345" s="8">
        <f t="shared" si="777"/>
        <v>0</v>
      </c>
      <c r="CG345" s="8">
        <f t="shared" si="778"/>
        <v>0</v>
      </c>
      <c r="CH345" s="8">
        <f t="shared" si="779"/>
        <v>0</v>
      </c>
      <c r="CI345" s="8">
        <f t="shared" si="780"/>
        <v>0</v>
      </c>
    </row>
    <row r="346" spans="2:200" s="59" customFormat="1" ht="44.25" hidden="1" customHeight="1" x14ac:dyDescent="0.3">
      <c r="B346" s="24"/>
      <c r="C346" s="141"/>
      <c r="D346" s="24"/>
      <c r="E346" s="142"/>
      <c r="F346" s="24"/>
      <c r="G346" s="141"/>
      <c r="H346" s="24"/>
      <c r="I346" s="24"/>
      <c r="J346" s="24"/>
      <c r="K346" s="24"/>
      <c r="L346" s="24"/>
      <c r="M346" s="177">
        <v>2</v>
      </c>
      <c r="N346" s="350" t="s">
        <v>312</v>
      </c>
      <c r="O346" s="260"/>
      <c r="P346" s="260"/>
      <c r="Q346" s="260"/>
      <c r="R346" s="260"/>
      <c r="S346" s="260"/>
      <c r="T346" s="21"/>
      <c r="U346" s="21"/>
      <c r="V346" s="22">
        <f t="shared" ref="V346:W346" si="805">V347+V348</f>
        <v>0</v>
      </c>
      <c r="W346" s="22">
        <f t="shared" si="805"/>
        <v>0</v>
      </c>
      <c r="X346" s="22"/>
      <c r="Y346" s="22"/>
      <c r="Z346" s="22"/>
      <c r="AA346" s="22">
        <f t="shared" ref="AA346:AB346" si="806">AA347+AA348</f>
        <v>0</v>
      </c>
      <c r="AB346" s="22">
        <f t="shared" si="806"/>
        <v>0</v>
      </c>
      <c r="AC346" s="22"/>
      <c r="AD346" s="22"/>
      <c r="AE346" s="22"/>
      <c r="AF346" s="22">
        <f t="shared" ref="AF346:AG346" si="807">AF347+AF348</f>
        <v>0</v>
      </c>
      <c r="AG346" s="22">
        <f t="shared" si="807"/>
        <v>0</v>
      </c>
      <c r="AH346" s="22"/>
      <c r="AI346" s="22"/>
      <c r="AJ346" s="22"/>
      <c r="AK346" s="22">
        <f t="shared" ref="AK346:AL346" si="808">AK347+AK348</f>
        <v>0</v>
      </c>
      <c r="AL346" s="22">
        <f t="shared" si="808"/>
        <v>0</v>
      </c>
      <c r="AM346" s="22"/>
      <c r="AN346" s="22"/>
      <c r="AO346" s="22"/>
      <c r="AP346" s="21"/>
      <c r="AQ346" s="22">
        <f t="shared" ref="AQ346:AR346" si="809">AQ347+AQ348</f>
        <v>0</v>
      </c>
      <c r="AR346" s="22">
        <f t="shared" si="809"/>
        <v>0</v>
      </c>
      <c r="AS346" s="155"/>
      <c r="AT346" s="155"/>
      <c r="AU346" s="155"/>
      <c r="AV346" s="22" t="e">
        <f t="shared" ref="AV346:AW346" si="810">AV347+AV348</f>
        <v>#REF!</v>
      </c>
      <c r="AW346" s="22" t="e">
        <f t="shared" si="810"/>
        <v>#REF!</v>
      </c>
      <c r="AX346" s="155"/>
      <c r="AY346" s="155"/>
      <c r="AZ346" s="155"/>
      <c r="BA346" s="22">
        <f t="shared" ref="BA346:BB346" si="811">BA347+BA348</f>
        <v>0</v>
      </c>
      <c r="BB346" s="22">
        <f t="shared" si="811"/>
        <v>0</v>
      </c>
      <c r="BC346" s="155"/>
      <c r="BD346" s="155"/>
      <c r="BE346" s="155"/>
      <c r="BF346" s="22">
        <f t="shared" ref="BF346:BG346" si="812">BF347+BF348</f>
        <v>0</v>
      </c>
      <c r="BG346" s="22">
        <f t="shared" si="812"/>
        <v>0</v>
      </c>
      <c r="BH346" s="155"/>
      <c r="BI346" s="155"/>
      <c r="BJ346" s="155"/>
      <c r="BK346" s="22">
        <f t="shared" ref="BK346:BL346" si="813">BK347+BK348</f>
        <v>0</v>
      </c>
      <c r="BL346" s="22">
        <f t="shared" si="813"/>
        <v>0</v>
      </c>
      <c r="BM346" s="155"/>
      <c r="BN346" s="155"/>
      <c r="BO346" s="155"/>
      <c r="BP346" s="22">
        <f t="shared" ref="BP346:BQ346" si="814">BP347+BP348</f>
        <v>0</v>
      </c>
      <c r="BQ346" s="22">
        <f t="shared" si="814"/>
        <v>0</v>
      </c>
      <c r="BR346" s="155"/>
      <c r="BS346" s="155"/>
      <c r="BT346" s="155"/>
      <c r="BU346" s="87">
        <f t="shared" ref="BU346:BV346" si="815">BU347+BU348</f>
        <v>0</v>
      </c>
      <c r="BV346" s="54">
        <f t="shared" si="815"/>
        <v>0</v>
      </c>
      <c r="BW346" s="155"/>
      <c r="BX346" s="155"/>
      <c r="BY346" s="155"/>
      <c r="BZ346" s="21">
        <f t="shared" ref="BZ346:BZ351" si="816">CA346</f>
        <v>0</v>
      </c>
      <c r="CA346" s="54">
        <f t="shared" ref="CA346" si="817">CA347+CA348</f>
        <v>0</v>
      </c>
      <c r="CB346" s="54">
        <f t="shared" ref="CB346:CB351" si="818">BQ346+BV346</f>
        <v>0</v>
      </c>
      <c r="CC346" s="155"/>
      <c r="CD346" s="155"/>
      <c r="CE346" s="155"/>
      <c r="CF346" s="25">
        <f t="shared" si="777"/>
        <v>0</v>
      </c>
      <c r="CG346" s="25">
        <f t="shared" si="778"/>
        <v>0</v>
      </c>
      <c r="CH346" s="25">
        <f t="shared" si="779"/>
        <v>0</v>
      </c>
      <c r="CI346" s="25">
        <f t="shared" si="780"/>
        <v>0</v>
      </c>
      <c r="CJ346" s="25"/>
      <c r="CK346" s="57"/>
      <c r="CN346" s="22">
        <f t="shared" ref="CN346:CO346" si="819">CN347+CN348</f>
        <v>0</v>
      </c>
      <c r="CO346" s="22">
        <f t="shared" si="819"/>
        <v>0</v>
      </c>
      <c r="CP346" s="155"/>
      <c r="CQ346" s="155"/>
      <c r="CR346" s="155"/>
      <c r="CS346" s="22">
        <f t="shared" ref="CS346:CT346" si="820">CS347+CS348</f>
        <v>0</v>
      </c>
      <c r="CT346" s="22">
        <f t="shared" si="820"/>
        <v>0</v>
      </c>
      <c r="CU346" s="155"/>
      <c r="CV346" s="155"/>
      <c r="CW346" s="155"/>
      <c r="DF346" s="169"/>
      <c r="DG346" s="57"/>
      <c r="DH346" s="57"/>
      <c r="DI346" s="170"/>
      <c r="DQ346" s="155">
        <f t="shared" ref="DQ346:DQ351" si="821">DR346</f>
        <v>0</v>
      </c>
      <c r="DR346" s="155">
        <f t="shared" ref="DR346" si="822">DR347+DR348</f>
        <v>0</v>
      </c>
      <c r="DS346" s="155"/>
      <c r="DT346" s="155"/>
      <c r="DU346" s="157"/>
      <c r="DV346" s="155">
        <f t="shared" ref="DV346:DV351" si="823">DW346</f>
        <v>0</v>
      </c>
      <c r="DW346" s="155">
        <f t="shared" ref="DW346" si="824">DW347+DW348</f>
        <v>0</v>
      </c>
      <c r="DX346" s="155"/>
      <c r="DY346" s="155"/>
      <c r="DZ346" s="157"/>
      <c r="EA346" s="372"/>
      <c r="EB346" s="372"/>
      <c r="EC346" s="372"/>
      <c r="ED346" s="372"/>
      <c r="EE346" s="372"/>
      <c r="EF346" s="372"/>
      <c r="EG346" s="372"/>
      <c r="EH346" s="372"/>
      <c r="EI346" s="372"/>
      <c r="EJ346" s="372"/>
      <c r="EK346" s="372"/>
      <c r="EL346" s="372"/>
      <c r="EM346" s="372"/>
      <c r="EN346" s="372"/>
      <c r="EO346" s="372"/>
      <c r="EP346" s="372"/>
      <c r="EQ346" s="372"/>
      <c r="ER346" s="372"/>
      <c r="ES346" s="372"/>
      <c r="ET346" s="372"/>
      <c r="EU346" s="372"/>
      <c r="EV346" s="372"/>
      <c r="EW346" s="372"/>
      <c r="EX346" s="372"/>
      <c r="EY346" s="372"/>
      <c r="EZ346" s="372"/>
      <c r="FA346" s="372"/>
      <c r="FB346" s="372"/>
      <c r="FC346" s="372"/>
      <c r="FD346" s="372"/>
      <c r="FE346" s="372"/>
      <c r="FF346" s="372"/>
      <c r="FG346" s="372"/>
      <c r="FH346" s="372"/>
      <c r="FI346" s="372"/>
      <c r="FJ346" s="372"/>
      <c r="FK346" s="372"/>
      <c r="FL346" s="372"/>
      <c r="FM346" s="372"/>
      <c r="FN346" s="372"/>
      <c r="FO346" s="372"/>
      <c r="FP346" s="372"/>
      <c r="FQ346" s="372"/>
      <c r="FR346" s="372"/>
      <c r="FS346" s="372"/>
      <c r="FT346" s="372"/>
      <c r="FU346" s="372"/>
      <c r="FV346" s="372"/>
      <c r="FW346" s="372"/>
      <c r="FX346" s="372"/>
      <c r="FY346" s="372"/>
      <c r="FZ346" s="372"/>
      <c r="GA346" s="372"/>
      <c r="GB346" s="372"/>
      <c r="GC346" s="372"/>
      <c r="GD346" s="372"/>
      <c r="GE346" s="372"/>
      <c r="GF346" s="372"/>
      <c r="GG346" s="372"/>
      <c r="GH346" s="372"/>
      <c r="GI346" s="372"/>
      <c r="GJ346" s="372"/>
      <c r="GK346" s="372"/>
      <c r="GL346" s="372"/>
      <c r="GM346" s="372"/>
      <c r="GN346" s="372"/>
      <c r="GO346" s="372"/>
      <c r="GP346" s="372"/>
      <c r="GQ346" s="372"/>
      <c r="GR346" s="372"/>
    </row>
    <row r="347" spans="2:200" s="59" customFormat="1" ht="19.5" hidden="1" customHeight="1" x14ac:dyDescent="0.3">
      <c r="B347" s="24"/>
      <c r="C347" s="141"/>
      <c r="D347" s="24"/>
      <c r="E347" s="142"/>
      <c r="F347" s="24"/>
      <c r="G347" s="141"/>
      <c r="H347" s="24"/>
      <c r="I347" s="24"/>
      <c r="J347" s="24"/>
      <c r="K347" s="24"/>
      <c r="L347" s="24"/>
      <c r="M347" s="179"/>
      <c r="N347" s="174" t="s">
        <v>287</v>
      </c>
      <c r="O347" s="174"/>
      <c r="P347" s="174"/>
      <c r="Q347" s="174"/>
      <c r="R347" s="174"/>
      <c r="S347" s="174"/>
      <c r="T347" s="175"/>
      <c r="U347" s="175"/>
      <c r="V347" s="25">
        <f t="shared" ref="V347:V348" si="825">W347+X347+Y347+Z347</f>
        <v>0</v>
      </c>
      <c r="W347" s="21"/>
      <c r="X347" s="21"/>
      <c r="Y347" s="22"/>
      <c r="Z347" s="22"/>
      <c r="AA347" s="25">
        <f t="shared" ref="AA347:AA348" si="826">AB347+AC347+AD347+AE347</f>
        <v>0</v>
      </c>
      <c r="AB347" s="21"/>
      <c r="AC347" s="21"/>
      <c r="AD347" s="22"/>
      <c r="AE347" s="22"/>
      <c r="AF347" s="25">
        <f t="shared" ref="AF347:AF348" si="827">AG347+AH347+AI347+AJ347</f>
        <v>0</v>
      </c>
      <c r="AG347" s="21"/>
      <c r="AH347" s="21"/>
      <c r="AI347" s="22"/>
      <c r="AJ347" s="22"/>
      <c r="AK347" s="25">
        <f t="shared" ref="AK347:AK348" si="828">AL347+AM347+AN347+AO347</f>
        <v>0</v>
      </c>
      <c r="AL347" s="21"/>
      <c r="AM347" s="21"/>
      <c r="AN347" s="22"/>
      <c r="AO347" s="22"/>
      <c r="AP347" s="22"/>
      <c r="AQ347" s="25">
        <f t="shared" ref="AQ347:AQ348" si="829">AR347+AS347+AT347+AU347</f>
        <v>0</v>
      </c>
      <c r="AR347" s="21"/>
      <c r="AS347" s="155"/>
      <c r="AT347" s="155"/>
      <c r="AU347" s="155"/>
      <c r="AV347" s="25" t="e">
        <f t="shared" ref="AV347:AV348" si="830">AW347+AX347+AY347+AZ347</f>
        <v>#REF!</v>
      </c>
      <c r="AW347" s="25" t="e">
        <f>#REF!-AR347</f>
        <v>#REF!</v>
      </c>
      <c r="AX347" s="155"/>
      <c r="AY347" s="155"/>
      <c r="AZ347" s="155"/>
      <c r="BA347" s="25">
        <f t="shared" ref="BA347:BA348" si="831">BB347+BC347+BD347+BE347</f>
        <v>0</v>
      </c>
      <c r="BB347" s="21">
        <v>0</v>
      </c>
      <c r="BC347" s="155"/>
      <c r="BD347" s="155"/>
      <c r="BE347" s="155"/>
      <c r="BF347" s="25">
        <f t="shared" ref="BF347:BF348" si="832">BG347+BH347+BI347+BJ347</f>
        <v>0</v>
      </c>
      <c r="BG347" s="21"/>
      <c r="BH347" s="155"/>
      <c r="BI347" s="155"/>
      <c r="BJ347" s="155"/>
      <c r="BK347" s="25">
        <f t="shared" ref="BK347:BK348" si="833">BL347+BM347+BN347+BO347</f>
        <v>0</v>
      </c>
      <c r="BL347" s="21">
        <v>0</v>
      </c>
      <c r="BM347" s="155"/>
      <c r="BN347" s="155"/>
      <c r="BO347" s="155"/>
      <c r="BP347" s="25">
        <f t="shared" ref="BP347:BP348" si="834">BQ347+BR347+BS347+BT347</f>
        <v>0</v>
      </c>
      <c r="BQ347" s="21"/>
      <c r="BR347" s="155"/>
      <c r="BS347" s="155"/>
      <c r="BT347" s="155"/>
      <c r="BU347" s="87">
        <f t="shared" ref="BU347:BU348" si="835">BV347+BW347+BX347+BY347</f>
        <v>0</v>
      </c>
      <c r="BV347" s="54">
        <v>0</v>
      </c>
      <c r="BW347" s="155"/>
      <c r="BX347" s="155"/>
      <c r="BY347" s="155"/>
      <c r="BZ347" s="21">
        <f t="shared" si="816"/>
        <v>0</v>
      </c>
      <c r="CA347" s="54">
        <f t="shared" ref="CA347:CA348" si="836">CB347+CC347+CD347+CE347</f>
        <v>0</v>
      </c>
      <c r="CB347" s="54">
        <f t="shared" si="818"/>
        <v>0</v>
      </c>
      <c r="CC347" s="155"/>
      <c r="CD347" s="155"/>
      <c r="CE347" s="155"/>
      <c r="CF347" s="25">
        <f t="shared" si="777"/>
        <v>0</v>
      </c>
      <c r="CG347" s="25">
        <f t="shared" si="778"/>
        <v>0</v>
      </c>
      <c r="CH347" s="25">
        <f t="shared" si="779"/>
        <v>0</v>
      </c>
      <c r="CI347" s="25">
        <f t="shared" si="780"/>
        <v>0</v>
      </c>
      <c r="CJ347" s="25"/>
      <c r="CK347" s="57"/>
      <c r="CN347" s="25">
        <f t="shared" ref="CN347:CN348" si="837">CO347+CP347+CQ347+CR347</f>
        <v>0</v>
      </c>
      <c r="CO347" s="21"/>
      <c r="CP347" s="155"/>
      <c r="CQ347" s="155"/>
      <c r="CR347" s="155"/>
      <c r="CS347" s="25">
        <f t="shared" ref="CS347:CS348" si="838">CT347+CU347+CV347+CW347</f>
        <v>0</v>
      </c>
      <c r="CT347" s="21"/>
      <c r="CU347" s="155"/>
      <c r="CV347" s="155"/>
      <c r="CW347" s="155"/>
      <c r="DF347" s="169"/>
      <c r="DG347" s="57"/>
      <c r="DH347" s="57"/>
      <c r="DI347" s="170"/>
      <c r="DQ347" s="155">
        <f t="shared" si="821"/>
        <v>0</v>
      </c>
      <c r="DR347" s="155"/>
      <c r="DS347" s="155"/>
      <c r="DT347" s="155"/>
      <c r="DU347" s="157"/>
      <c r="DV347" s="155">
        <f t="shared" si="823"/>
        <v>0</v>
      </c>
      <c r="DW347" s="155"/>
      <c r="DX347" s="155"/>
      <c r="DY347" s="155"/>
      <c r="DZ347" s="157"/>
      <c r="EA347" s="372"/>
      <c r="EB347" s="372"/>
      <c r="EC347" s="372"/>
      <c r="ED347" s="372"/>
      <c r="EE347" s="372"/>
      <c r="EF347" s="372"/>
      <c r="EG347" s="372"/>
      <c r="EH347" s="372"/>
      <c r="EI347" s="372"/>
      <c r="EJ347" s="372"/>
      <c r="EK347" s="372"/>
      <c r="EL347" s="372"/>
      <c r="EM347" s="372"/>
      <c r="EN347" s="372"/>
      <c r="EO347" s="372"/>
      <c r="EP347" s="372"/>
      <c r="EQ347" s="372"/>
      <c r="ER347" s="372"/>
      <c r="ES347" s="372"/>
      <c r="ET347" s="372"/>
      <c r="EU347" s="372"/>
      <c r="EV347" s="372"/>
      <c r="EW347" s="372"/>
      <c r="EX347" s="372"/>
      <c r="EY347" s="372"/>
      <c r="EZ347" s="372"/>
      <c r="FA347" s="372"/>
      <c r="FB347" s="372"/>
      <c r="FC347" s="372"/>
      <c r="FD347" s="372"/>
      <c r="FE347" s="372"/>
      <c r="FF347" s="372"/>
      <c r="FG347" s="372"/>
      <c r="FH347" s="372"/>
      <c r="FI347" s="372"/>
      <c r="FJ347" s="372"/>
      <c r="FK347" s="372"/>
      <c r="FL347" s="372"/>
      <c r="FM347" s="372"/>
      <c r="FN347" s="372"/>
      <c r="FO347" s="372"/>
      <c r="FP347" s="372"/>
      <c r="FQ347" s="372"/>
      <c r="FR347" s="372"/>
      <c r="FS347" s="372"/>
      <c r="FT347" s="372"/>
      <c r="FU347" s="372"/>
      <c r="FV347" s="372"/>
      <c r="FW347" s="372"/>
      <c r="FX347" s="372"/>
      <c r="FY347" s="372"/>
      <c r="FZ347" s="372"/>
      <c r="GA347" s="372"/>
      <c r="GB347" s="372"/>
      <c r="GC347" s="372"/>
      <c r="GD347" s="372"/>
      <c r="GE347" s="372"/>
      <c r="GF347" s="372"/>
      <c r="GG347" s="372"/>
      <c r="GH347" s="372"/>
      <c r="GI347" s="372"/>
      <c r="GJ347" s="372"/>
      <c r="GK347" s="372"/>
      <c r="GL347" s="372"/>
      <c r="GM347" s="372"/>
      <c r="GN347" s="372"/>
      <c r="GO347" s="372"/>
      <c r="GP347" s="372"/>
      <c r="GQ347" s="372"/>
      <c r="GR347" s="372"/>
    </row>
    <row r="348" spans="2:200" s="59" customFormat="1" ht="19.5" hidden="1" customHeight="1" x14ac:dyDescent="0.3">
      <c r="B348" s="24"/>
      <c r="C348" s="141"/>
      <c r="D348" s="24"/>
      <c r="E348" s="142"/>
      <c r="F348" s="24"/>
      <c r="G348" s="141"/>
      <c r="H348" s="24"/>
      <c r="I348" s="24"/>
      <c r="J348" s="24"/>
      <c r="K348" s="24"/>
      <c r="L348" s="24"/>
      <c r="M348" s="179"/>
      <c r="N348" s="174" t="s">
        <v>286</v>
      </c>
      <c r="O348" s="174"/>
      <c r="P348" s="174"/>
      <c r="Q348" s="174"/>
      <c r="R348" s="174"/>
      <c r="S348" s="174"/>
      <c r="T348" s="175"/>
      <c r="U348" s="175"/>
      <c r="V348" s="25">
        <f t="shared" si="825"/>
        <v>0</v>
      </c>
      <c r="W348" s="21"/>
      <c r="X348" s="21"/>
      <c r="Y348" s="22"/>
      <c r="Z348" s="22"/>
      <c r="AA348" s="25">
        <f t="shared" si="826"/>
        <v>0</v>
      </c>
      <c r="AB348" s="21"/>
      <c r="AC348" s="21"/>
      <c r="AD348" s="22"/>
      <c r="AE348" s="22"/>
      <c r="AF348" s="25">
        <f t="shared" si="827"/>
        <v>0</v>
      </c>
      <c r="AG348" s="21"/>
      <c r="AH348" s="21"/>
      <c r="AI348" s="22"/>
      <c r="AJ348" s="22"/>
      <c r="AK348" s="25">
        <f t="shared" si="828"/>
        <v>0</v>
      </c>
      <c r="AL348" s="21"/>
      <c r="AM348" s="21"/>
      <c r="AN348" s="22"/>
      <c r="AO348" s="22"/>
      <c r="AP348" s="22"/>
      <c r="AQ348" s="25">
        <f t="shared" si="829"/>
        <v>0</v>
      </c>
      <c r="AR348" s="21"/>
      <c r="AS348" s="155"/>
      <c r="AT348" s="155"/>
      <c r="AU348" s="155"/>
      <c r="AV348" s="25" t="e">
        <f t="shared" si="830"/>
        <v>#REF!</v>
      </c>
      <c r="AW348" s="25" t="e">
        <f>#REF!-AR348</f>
        <v>#REF!</v>
      </c>
      <c r="AX348" s="155"/>
      <c r="AY348" s="155"/>
      <c r="AZ348" s="155"/>
      <c r="BA348" s="25">
        <f t="shared" si="831"/>
        <v>0</v>
      </c>
      <c r="BB348" s="21">
        <v>0</v>
      </c>
      <c r="BC348" s="155"/>
      <c r="BD348" s="155"/>
      <c r="BE348" s="155"/>
      <c r="BF348" s="25">
        <f t="shared" si="832"/>
        <v>0</v>
      </c>
      <c r="BG348" s="21"/>
      <c r="BH348" s="155"/>
      <c r="BI348" s="155"/>
      <c r="BJ348" s="155"/>
      <c r="BK348" s="25">
        <f t="shared" si="833"/>
        <v>0</v>
      </c>
      <c r="BL348" s="21">
        <v>0</v>
      </c>
      <c r="BM348" s="155"/>
      <c r="BN348" s="155"/>
      <c r="BO348" s="155"/>
      <c r="BP348" s="25">
        <f t="shared" si="834"/>
        <v>0</v>
      </c>
      <c r="BQ348" s="21"/>
      <c r="BR348" s="155"/>
      <c r="BS348" s="155"/>
      <c r="BT348" s="155"/>
      <c r="BU348" s="87">
        <f t="shared" si="835"/>
        <v>0</v>
      </c>
      <c r="BV348" s="54"/>
      <c r="BW348" s="155"/>
      <c r="BX348" s="155"/>
      <c r="BY348" s="155"/>
      <c r="BZ348" s="21">
        <f t="shared" si="816"/>
        <v>0</v>
      </c>
      <c r="CA348" s="54">
        <f t="shared" si="836"/>
        <v>0</v>
      </c>
      <c r="CB348" s="54">
        <f t="shared" si="818"/>
        <v>0</v>
      </c>
      <c r="CC348" s="155"/>
      <c r="CD348" s="155"/>
      <c r="CE348" s="155"/>
      <c r="CF348" s="25">
        <f t="shared" si="777"/>
        <v>0</v>
      </c>
      <c r="CG348" s="25">
        <f t="shared" si="778"/>
        <v>0</v>
      </c>
      <c r="CH348" s="25">
        <f t="shared" si="779"/>
        <v>0</v>
      </c>
      <c r="CI348" s="25">
        <f t="shared" si="780"/>
        <v>0</v>
      </c>
      <c r="CJ348" s="25"/>
      <c r="CK348" s="57"/>
      <c r="CN348" s="25">
        <f t="shared" si="837"/>
        <v>0</v>
      </c>
      <c r="CO348" s="21"/>
      <c r="CP348" s="155"/>
      <c r="CQ348" s="155"/>
      <c r="CR348" s="155"/>
      <c r="CS348" s="25">
        <f t="shared" si="838"/>
        <v>0</v>
      </c>
      <c r="CT348" s="21"/>
      <c r="CU348" s="155"/>
      <c r="CV348" s="155"/>
      <c r="CW348" s="155"/>
      <c r="DF348" s="169"/>
      <c r="DG348" s="57"/>
      <c r="DH348" s="57"/>
      <c r="DI348" s="170"/>
      <c r="DQ348" s="155">
        <f t="shared" si="821"/>
        <v>0</v>
      </c>
      <c r="DR348" s="155"/>
      <c r="DS348" s="155"/>
      <c r="DT348" s="155"/>
      <c r="DU348" s="157"/>
      <c r="DV348" s="155">
        <f t="shared" si="823"/>
        <v>0</v>
      </c>
      <c r="DW348" s="155"/>
      <c r="DX348" s="155"/>
      <c r="DY348" s="155"/>
      <c r="DZ348" s="157"/>
      <c r="EA348" s="372"/>
      <c r="EB348" s="372"/>
      <c r="EC348" s="372"/>
      <c r="ED348" s="372"/>
      <c r="EE348" s="372"/>
      <c r="EF348" s="372"/>
      <c r="EG348" s="372"/>
      <c r="EH348" s="372"/>
      <c r="EI348" s="372"/>
      <c r="EJ348" s="372"/>
      <c r="EK348" s="372"/>
      <c r="EL348" s="372"/>
      <c r="EM348" s="372"/>
      <c r="EN348" s="372"/>
      <c r="EO348" s="372"/>
      <c r="EP348" s="372"/>
      <c r="EQ348" s="372"/>
      <c r="ER348" s="372"/>
      <c r="ES348" s="372"/>
      <c r="ET348" s="372"/>
      <c r="EU348" s="372"/>
      <c r="EV348" s="372"/>
      <c r="EW348" s="372"/>
      <c r="EX348" s="372"/>
      <c r="EY348" s="372"/>
      <c r="EZ348" s="372"/>
      <c r="FA348" s="372"/>
      <c r="FB348" s="372"/>
      <c r="FC348" s="372"/>
      <c r="FD348" s="372"/>
      <c r="FE348" s="372"/>
      <c r="FF348" s="372"/>
      <c r="FG348" s="372"/>
      <c r="FH348" s="372"/>
      <c r="FI348" s="372"/>
      <c r="FJ348" s="372"/>
      <c r="FK348" s="372"/>
      <c r="FL348" s="372"/>
      <c r="FM348" s="372"/>
      <c r="FN348" s="372"/>
      <c r="FO348" s="372"/>
      <c r="FP348" s="372"/>
      <c r="FQ348" s="372"/>
      <c r="FR348" s="372"/>
      <c r="FS348" s="372"/>
      <c r="FT348" s="372"/>
      <c r="FU348" s="372"/>
      <c r="FV348" s="372"/>
      <c r="FW348" s="372"/>
      <c r="FX348" s="372"/>
      <c r="FY348" s="372"/>
      <c r="FZ348" s="372"/>
      <c r="GA348" s="372"/>
      <c r="GB348" s="372"/>
      <c r="GC348" s="372"/>
      <c r="GD348" s="372"/>
      <c r="GE348" s="372"/>
      <c r="GF348" s="372"/>
      <c r="GG348" s="372"/>
      <c r="GH348" s="372"/>
      <c r="GI348" s="372"/>
      <c r="GJ348" s="372"/>
      <c r="GK348" s="372"/>
      <c r="GL348" s="372"/>
      <c r="GM348" s="372"/>
      <c r="GN348" s="372"/>
      <c r="GO348" s="372"/>
      <c r="GP348" s="372"/>
      <c r="GQ348" s="372"/>
      <c r="GR348" s="372"/>
    </row>
    <row r="349" spans="2:200" s="59" customFormat="1" ht="44.25" hidden="1" customHeight="1" x14ac:dyDescent="0.3">
      <c r="B349" s="24"/>
      <c r="C349" s="141"/>
      <c r="D349" s="24"/>
      <c r="E349" s="142"/>
      <c r="F349" s="24"/>
      <c r="G349" s="141"/>
      <c r="H349" s="24"/>
      <c r="I349" s="24"/>
      <c r="J349" s="24"/>
      <c r="K349" s="24"/>
      <c r="L349" s="24"/>
      <c r="M349" s="177">
        <v>2</v>
      </c>
      <c r="N349" s="350" t="s">
        <v>313</v>
      </c>
      <c r="O349" s="260"/>
      <c r="P349" s="260"/>
      <c r="Q349" s="260"/>
      <c r="R349" s="260"/>
      <c r="S349" s="260"/>
      <c r="T349" s="21"/>
      <c r="U349" s="21"/>
      <c r="V349" s="22">
        <f t="shared" ref="V349:W349" si="839">V350+V351</f>
        <v>0</v>
      </c>
      <c r="W349" s="22">
        <f t="shared" si="839"/>
        <v>0</v>
      </c>
      <c r="X349" s="22"/>
      <c r="Y349" s="22"/>
      <c r="Z349" s="22"/>
      <c r="AA349" s="22">
        <f t="shared" ref="AA349:AB349" si="840">AA350+AA351</f>
        <v>0</v>
      </c>
      <c r="AB349" s="22">
        <f t="shared" si="840"/>
        <v>0</v>
      </c>
      <c r="AC349" s="22"/>
      <c r="AD349" s="22"/>
      <c r="AE349" s="22"/>
      <c r="AF349" s="22">
        <f t="shared" ref="AF349:AG349" si="841">AF350+AF351</f>
        <v>0</v>
      </c>
      <c r="AG349" s="22">
        <f t="shared" si="841"/>
        <v>0</v>
      </c>
      <c r="AH349" s="22"/>
      <c r="AI349" s="22"/>
      <c r="AJ349" s="22"/>
      <c r="AK349" s="22">
        <f t="shared" ref="AK349:AL349" si="842">AK350+AK351</f>
        <v>0</v>
      </c>
      <c r="AL349" s="22">
        <f t="shared" si="842"/>
        <v>0</v>
      </c>
      <c r="AM349" s="22"/>
      <c r="AN349" s="22"/>
      <c r="AO349" s="22"/>
      <c r="AP349" s="21"/>
      <c r="AQ349" s="22">
        <f t="shared" ref="AQ349:AR349" si="843">AQ350+AQ351</f>
        <v>0</v>
      </c>
      <c r="AR349" s="22">
        <f t="shared" si="843"/>
        <v>0</v>
      </c>
      <c r="AS349" s="155"/>
      <c r="AT349" s="155"/>
      <c r="AU349" s="155"/>
      <c r="AV349" s="22" t="e">
        <f t="shared" ref="AV349:AW349" si="844">AV350+AV351</f>
        <v>#REF!</v>
      </c>
      <c r="AW349" s="22" t="e">
        <f t="shared" si="844"/>
        <v>#REF!</v>
      </c>
      <c r="AX349" s="155"/>
      <c r="AY349" s="155"/>
      <c r="AZ349" s="155"/>
      <c r="BA349" s="22">
        <f t="shared" ref="BA349:BB349" si="845">BA350+BA351</f>
        <v>0</v>
      </c>
      <c r="BB349" s="22">
        <f t="shared" si="845"/>
        <v>0</v>
      </c>
      <c r="BC349" s="155"/>
      <c r="BD349" s="155"/>
      <c r="BE349" s="155"/>
      <c r="BF349" s="22">
        <f t="shared" ref="BF349:BG349" si="846">BF350+BF351</f>
        <v>0</v>
      </c>
      <c r="BG349" s="22">
        <f t="shared" si="846"/>
        <v>0</v>
      </c>
      <c r="BH349" s="155"/>
      <c r="BI349" s="155"/>
      <c r="BJ349" s="155"/>
      <c r="BK349" s="22">
        <f t="shared" ref="BK349:BL349" si="847">BK350+BK351</f>
        <v>0</v>
      </c>
      <c r="BL349" s="22">
        <f t="shared" si="847"/>
        <v>0</v>
      </c>
      <c r="BM349" s="155"/>
      <c r="BN349" s="155"/>
      <c r="BO349" s="155"/>
      <c r="BP349" s="22">
        <f t="shared" ref="BP349:BQ349" si="848">BP350+BP351</f>
        <v>0</v>
      </c>
      <c r="BQ349" s="22">
        <f t="shared" si="848"/>
        <v>0</v>
      </c>
      <c r="BR349" s="155"/>
      <c r="BS349" s="155"/>
      <c r="BT349" s="155"/>
      <c r="BU349" s="87">
        <f t="shared" ref="BU349:BV349" si="849">BU350+BU351</f>
        <v>0</v>
      </c>
      <c r="BV349" s="54">
        <f t="shared" si="849"/>
        <v>0</v>
      </c>
      <c r="BW349" s="155"/>
      <c r="BX349" s="155"/>
      <c r="BY349" s="155"/>
      <c r="BZ349" s="21">
        <f t="shared" si="816"/>
        <v>0</v>
      </c>
      <c r="CA349" s="54">
        <f t="shared" ref="CA349" si="850">CA350+CA351</f>
        <v>0</v>
      </c>
      <c r="CB349" s="54">
        <f t="shared" si="818"/>
        <v>0</v>
      </c>
      <c r="CC349" s="155"/>
      <c r="CD349" s="155"/>
      <c r="CE349" s="155"/>
      <c r="CF349" s="25">
        <f t="shared" si="777"/>
        <v>0</v>
      </c>
      <c r="CG349" s="25">
        <f t="shared" si="778"/>
        <v>0</v>
      </c>
      <c r="CH349" s="25">
        <f t="shared" si="779"/>
        <v>0</v>
      </c>
      <c r="CI349" s="25">
        <f t="shared" si="780"/>
        <v>0</v>
      </c>
      <c r="CJ349" s="25"/>
      <c r="CK349" s="57"/>
      <c r="CN349" s="22">
        <f t="shared" ref="CN349:CO349" si="851">CN350+CN351</f>
        <v>0</v>
      </c>
      <c r="CO349" s="22">
        <f t="shared" si="851"/>
        <v>0</v>
      </c>
      <c r="CP349" s="155"/>
      <c r="CQ349" s="155"/>
      <c r="CR349" s="155"/>
      <c r="CS349" s="22">
        <f t="shared" ref="CS349:CT349" si="852">CS350+CS351</f>
        <v>0</v>
      </c>
      <c r="CT349" s="22">
        <f t="shared" si="852"/>
        <v>0</v>
      </c>
      <c r="CU349" s="155"/>
      <c r="CV349" s="155"/>
      <c r="CW349" s="155"/>
      <c r="DF349" s="169"/>
      <c r="DG349" s="57"/>
      <c r="DH349" s="57"/>
      <c r="DI349" s="170"/>
      <c r="DQ349" s="155">
        <f t="shared" si="821"/>
        <v>0</v>
      </c>
      <c r="DR349" s="155">
        <f t="shared" ref="DR349" si="853">DR350+DR351</f>
        <v>0</v>
      </c>
      <c r="DS349" s="155"/>
      <c r="DT349" s="155"/>
      <c r="DU349" s="157"/>
      <c r="DV349" s="155">
        <f t="shared" si="823"/>
        <v>0</v>
      </c>
      <c r="DW349" s="155">
        <f t="shared" ref="DW349" si="854">DW350+DW351</f>
        <v>0</v>
      </c>
      <c r="DX349" s="155"/>
      <c r="DY349" s="155"/>
      <c r="DZ349" s="157"/>
      <c r="EA349" s="372"/>
      <c r="EB349" s="372"/>
      <c r="EC349" s="372"/>
      <c r="ED349" s="372"/>
      <c r="EE349" s="372"/>
      <c r="EF349" s="372"/>
      <c r="EG349" s="372"/>
      <c r="EH349" s="372"/>
      <c r="EI349" s="372"/>
      <c r="EJ349" s="372"/>
      <c r="EK349" s="372"/>
      <c r="EL349" s="372"/>
      <c r="EM349" s="372"/>
      <c r="EN349" s="372"/>
      <c r="EO349" s="372"/>
      <c r="EP349" s="372"/>
      <c r="EQ349" s="372"/>
      <c r="ER349" s="372"/>
      <c r="ES349" s="372"/>
      <c r="ET349" s="372"/>
      <c r="EU349" s="372"/>
      <c r="EV349" s="372"/>
      <c r="EW349" s="372"/>
      <c r="EX349" s="372"/>
      <c r="EY349" s="372"/>
      <c r="EZ349" s="372"/>
      <c r="FA349" s="372"/>
      <c r="FB349" s="372"/>
      <c r="FC349" s="372"/>
      <c r="FD349" s="372"/>
      <c r="FE349" s="372"/>
      <c r="FF349" s="372"/>
      <c r="FG349" s="372"/>
      <c r="FH349" s="372"/>
      <c r="FI349" s="372"/>
      <c r="FJ349" s="372"/>
      <c r="FK349" s="372"/>
      <c r="FL349" s="372"/>
      <c r="FM349" s="372"/>
      <c r="FN349" s="372"/>
      <c r="FO349" s="372"/>
      <c r="FP349" s="372"/>
      <c r="FQ349" s="372"/>
      <c r="FR349" s="372"/>
      <c r="FS349" s="372"/>
      <c r="FT349" s="372"/>
      <c r="FU349" s="372"/>
      <c r="FV349" s="372"/>
      <c r="FW349" s="372"/>
      <c r="FX349" s="372"/>
      <c r="FY349" s="372"/>
      <c r="FZ349" s="372"/>
      <c r="GA349" s="372"/>
      <c r="GB349" s="372"/>
      <c r="GC349" s="372"/>
      <c r="GD349" s="372"/>
      <c r="GE349" s="372"/>
      <c r="GF349" s="372"/>
      <c r="GG349" s="372"/>
      <c r="GH349" s="372"/>
      <c r="GI349" s="372"/>
      <c r="GJ349" s="372"/>
      <c r="GK349" s="372"/>
      <c r="GL349" s="372"/>
      <c r="GM349" s="372"/>
      <c r="GN349" s="372"/>
      <c r="GO349" s="372"/>
      <c r="GP349" s="372"/>
      <c r="GQ349" s="372"/>
      <c r="GR349" s="372"/>
    </row>
    <row r="350" spans="2:200" s="59" customFormat="1" ht="19.5" hidden="1" customHeight="1" x14ac:dyDescent="0.3">
      <c r="B350" s="24"/>
      <c r="C350" s="141"/>
      <c r="D350" s="24"/>
      <c r="E350" s="142"/>
      <c r="F350" s="24"/>
      <c r="G350" s="141"/>
      <c r="H350" s="24"/>
      <c r="I350" s="24"/>
      <c r="J350" s="24"/>
      <c r="K350" s="24"/>
      <c r="L350" s="24"/>
      <c r="M350" s="179"/>
      <c r="N350" s="174" t="s">
        <v>287</v>
      </c>
      <c r="O350" s="174"/>
      <c r="P350" s="174"/>
      <c r="Q350" s="174"/>
      <c r="R350" s="174"/>
      <c r="S350" s="174"/>
      <c r="T350" s="175"/>
      <c r="U350" s="175"/>
      <c r="V350" s="25">
        <f t="shared" ref="V350:V351" si="855">W350+X350+Y350+Z350</f>
        <v>0</v>
      </c>
      <c r="W350" s="21"/>
      <c r="X350" s="21"/>
      <c r="Y350" s="22"/>
      <c r="Z350" s="22"/>
      <c r="AA350" s="25">
        <f t="shared" ref="AA350:AA351" si="856">AB350+AC350+AD350+AE350</f>
        <v>0</v>
      </c>
      <c r="AB350" s="21"/>
      <c r="AC350" s="21"/>
      <c r="AD350" s="22"/>
      <c r="AE350" s="22"/>
      <c r="AF350" s="25">
        <f t="shared" ref="AF350:AF351" si="857">AG350+AH350+AI350+AJ350</f>
        <v>0</v>
      </c>
      <c r="AG350" s="21"/>
      <c r="AH350" s="21"/>
      <c r="AI350" s="22"/>
      <c r="AJ350" s="22"/>
      <c r="AK350" s="25">
        <f t="shared" ref="AK350:AK351" si="858">AL350+AM350+AN350+AO350</f>
        <v>0</v>
      </c>
      <c r="AL350" s="21"/>
      <c r="AM350" s="21"/>
      <c r="AN350" s="22"/>
      <c r="AO350" s="22"/>
      <c r="AP350" s="22"/>
      <c r="AQ350" s="25">
        <f t="shared" ref="AQ350:AQ351" si="859">AR350+AS350+AT350+AU350</f>
        <v>0</v>
      </c>
      <c r="AR350" s="21"/>
      <c r="AS350" s="155"/>
      <c r="AT350" s="155"/>
      <c r="AU350" s="155"/>
      <c r="AV350" s="25" t="e">
        <f t="shared" ref="AV350:AV351" si="860">AW350+AX350+AY350+AZ350</f>
        <v>#REF!</v>
      </c>
      <c r="AW350" s="25" t="e">
        <f>#REF!-AR350</f>
        <v>#REF!</v>
      </c>
      <c r="AX350" s="155"/>
      <c r="AY350" s="155"/>
      <c r="AZ350" s="155"/>
      <c r="BA350" s="25">
        <f t="shared" ref="BA350:BA351" si="861">BB350+BC350+BD350+BE350</f>
        <v>0</v>
      </c>
      <c r="BB350" s="21">
        <f t="shared" ref="BB350:BB351" si="862">BC350+BD350+BE350+BF350</f>
        <v>0</v>
      </c>
      <c r="BC350" s="155"/>
      <c r="BD350" s="155"/>
      <c r="BE350" s="155"/>
      <c r="BF350" s="25">
        <f t="shared" ref="BF350:BF351" si="863">BG350+BH350+BI350+BJ350</f>
        <v>0</v>
      </c>
      <c r="BG350" s="21"/>
      <c r="BH350" s="155"/>
      <c r="BI350" s="155"/>
      <c r="BJ350" s="155"/>
      <c r="BK350" s="25">
        <f t="shared" ref="BK350:BL351" si="864">BL350+BM350+BN350+BO350</f>
        <v>0</v>
      </c>
      <c r="BL350" s="21">
        <f t="shared" si="864"/>
        <v>0</v>
      </c>
      <c r="BM350" s="155"/>
      <c r="BN350" s="155"/>
      <c r="BO350" s="155"/>
      <c r="BP350" s="25">
        <f t="shared" ref="BP350:BP351" si="865">BQ350+BR350+BS350+BT350</f>
        <v>0</v>
      </c>
      <c r="BQ350" s="21"/>
      <c r="BR350" s="155"/>
      <c r="BS350" s="155"/>
      <c r="BT350" s="155"/>
      <c r="BU350" s="87">
        <f t="shared" ref="BU350:BU351" si="866">BV350+BW350+BX350+BY350</f>
        <v>0</v>
      </c>
      <c r="BV350" s="54">
        <v>0</v>
      </c>
      <c r="BW350" s="155"/>
      <c r="BX350" s="155"/>
      <c r="BY350" s="155"/>
      <c r="BZ350" s="21">
        <f t="shared" si="816"/>
        <v>0</v>
      </c>
      <c r="CA350" s="54">
        <f t="shared" ref="CA350:CA351" si="867">CB350+CC350+CD350+CE350</f>
        <v>0</v>
      </c>
      <c r="CB350" s="54">
        <f t="shared" si="818"/>
        <v>0</v>
      </c>
      <c r="CC350" s="155"/>
      <c r="CD350" s="155"/>
      <c r="CE350" s="155"/>
      <c r="CF350" s="25">
        <f t="shared" si="777"/>
        <v>0</v>
      </c>
      <c r="CG350" s="25">
        <f t="shared" si="778"/>
        <v>0</v>
      </c>
      <c r="CH350" s="25">
        <f t="shared" si="779"/>
        <v>0</v>
      </c>
      <c r="CI350" s="25">
        <f t="shared" si="780"/>
        <v>0</v>
      </c>
      <c r="CJ350" s="25"/>
      <c r="CK350" s="57"/>
      <c r="CN350" s="25">
        <f t="shared" ref="CN350:CN351" si="868">CO350+CP350+CQ350+CR350</f>
        <v>0</v>
      </c>
      <c r="CO350" s="21"/>
      <c r="CP350" s="155"/>
      <c r="CQ350" s="155"/>
      <c r="CR350" s="155"/>
      <c r="CS350" s="25">
        <f t="shared" ref="CS350:CS351" si="869">CT350+CU350+CV350+CW350</f>
        <v>0</v>
      </c>
      <c r="CT350" s="21"/>
      <c r="CU350" s="155"/>
      <c r="CV350" s="155"/>
      <c r="CW350" s="155"/>
      <c r="DF350" s="169"/>
      <c r="DG350" s="57"/>
      <c r="DH350" s="57"/>
      <c r="DI350" s="170"/>
      <c r="DQ350" s="155">
        <f t="shared" si="821"/>
        <v>0</v>
      </c>
      <c r="DR350" s="155"/>
      <c r="DS350" s="155"/>
      <c r="DT350" s="155"/>
      <c r="DU350" s="157"/>
      <c r="DV350" s="155">
        <f t="shared" si="823"/>
        <v>0</v>
      </c>
      <c r="DW350" s="155"/>
      <c r="DX350" s="155"/>
      <c r="DY350" s="155"/>
      <c r="DZ350" s="157"/>
      <c r="EA350" s="372"/>
      <c r="EB350" s="372"/>
      <c r="EC350" s="372"/>
      <c r="ED350" s="372"/>
      <c r="EE350" s="372"/>
      <c r="EF350" s="372"/>
      <c r="EG350" s="372"/>
      <c r="EH350" s="372"/>
      <c r="EI350" s="372"/>
      <c r="EJ350" s="372"/>
      <c r="EK350" s="372"/>
      <c r="EL350" s="372"/>
      <c r="EM350" s="372"/>
      <c r="EN350" s="372"/>
      <c r="EO350" s="372"/>
      <c r="EP350" s="372"/>
      <c r="EQ350" s="372"/>
      <c r="ER350" s="372"/>
      <c r="ES350" s="372"/>
      <c r="ET350" s="372"/>
      <c r="EU350" s="372"/>
      <c r="EV350" s="372"/>
      <c r="EW350" s="372"/>
      <c r="EX350" s="372"/>
      <c r="EY350" s="372"/>
      <c r="EZ350" s="372"/>
      <c r="FA350" s="372"/>
      <c r="FB350" s="372"/>
      <c r="FC350" s="372"/>
      <c r="FD350" s="372"/>
      <c r="FE350" s="372"/>
      <c r="FF350" s="372"/>
      <c r="FG350" s="372"/>
      <c r="FH350" s="372"/>
      <c r="FI350" s="372"/>
      <c r="FJ350" s="372"/>
      <c r="FK350" s="372"/>
      <c r="FL350" s="372"/>
      <c r="FM350" s="372"/>
      <c r="FN350" s="372"/>
      <c r="FO350" s="372"/>
      <c r="FP350" s="372"/>
      <c r="FQ350" s="372"/>
      <c r="FR350" s="372"/>
      <c r="FS350" s="372"/>
      <c r="FT350" s="372"/>
      <c r="FU350" s="372"/>
      <c r="FV350" s="372"/>
      <c r="FW350" s="372"/>
      <c r="FX350" s="372"/>
      <c r="FY350" s="372"/>
      <c r="FZ350" s="372"/>
      <c r="GA350" s="372"/>
      <c r="GB350" s="372"/>
      <c r="GC350" s="372"/>
      <c r="GD350" s="372"/>
      <c r="GE350" s="372"/>
      <c r="GF350" s="372"/>
      <c r="GG350" s="372"/>
      <c r="GH350" s="372"/>
      <c r="GI350" s="372"/>
      <c r="GJ350" s="372"/>
      <c r="GK350" s="372"/>
      <c r="GL350" s="372"/>
      <c r="GM350" s="372"/>
      <c r="GN350" s="372"/>
      <c r="GO350" s="372"/>
      <c r="GP350" s="372"/>
      <c r="GQ350" s="372"/>
      <c r="GR350" s="372"/>
    </row>
    <row r="351" spans="2:200" s="59" customFormat="1" ht="19.5" hidden="1" customHeight="1" x14ac:dyDescent="0.3">
      <c r="B351" s="24"/>
      <c r="C351" s="141"/>
      <c r="D351" s="24"/>
      <c r="E351" s="142"/>
      <c r="F351" s="24"/>
      <c r="G351" s="141"/>
      <c r="H351" s="24"/>
      <c r="I351" s="24"/>
      <c r="J351" s="24"/>
      <c r="K351" s="24"/>
      <c r="L351" s="24"/>
      <c r="M351" s="179"/>
      <c r="N351" s="174" t="s">
        <v>286</v>
      </c>
      <c r="O351" s="174"/>
      <c r="P351" s="174"/>
      <c r="Q351" s="174"/>
      <c r="R351" s="174"/>
      <c r="S351" s="174"/>
      <c r="T351" s="175"/>
      <c r="U351" s="175"/>
      <c r="V351" s="25">
        <f t="shared" si="855"/>
        <v>0</v>
      </c>
      <c r="W351" s="21"/>
      <c r="X351" s="21"/>
      <c r="Y351" s="22"/>
      <c r="Z351" s="22"/>
      <c r="AA351" s="25">
        <f t="shared" si="856"/>
        <v>0</v>
      </c>
      <c r="AB351" s="21"/>
      <c r="AC351" s="21"/>
      <c r="AD351" s="22"/>
      <c r="AE351" s="22"/>
      <c r="AF351" s="25">
        <f t="shared" si="857"/>
        <v>0</v>
      </c>
      <c r="AG351" s="21"/>
      <c r="AH351" s="21"/>
      <c r="AI351" s="22"/>
      <c r="AJ351" s="22"/>
      <c r="AK351" s="25">
        <f t="shared" si="858"/>
        <v>0</v>
      </c>
      <c r="AL351" s="21"/>
      <c r="AM351" s="21"/>
      <c r="AN351" s="22"/>
      <c r="AO351" s="22"/>
      <c r="AP351" s="22"/>
      <c r="AQ351" s="25">
        <f t="shared" si="859"/>
        <v>0</v>
      </c>
      <c r="AR351" s="21"/>
      <c r="AS351" s="155"/>
      <c r="AT351" s="155"/>
      <c r="AU351" s="155"/>
      <c r="AV351" s="25" t="e">
        <f t="shared" si="860"/>
        <v>#REF!</v>
      </c>
      <c r="AW351" s="25" t="e">
        <f>#REF!-AR351</f>
        <v>#REF!</v>
      </c>
      <c r="AX351" s="155"/>
      <c r="AY351" s="155"/>
      <c r="AZ351" s="155"/>
      <c r="BA351" s="25">
        <f t="shared" si="861"/>
        <v>0</v>
      </c>
      <c r="BB351" s="21">
        <f t="shared" si="862"/>
        <v>0</v>
      </c>
      <c r="BC351" s="155"/>
      <c r="BD351" s="155"/>
      <c r="BE351" s="155"/>
      <c r="BF351" s="25">
        <f t="shared" si="863"/>
        <v>0</v>
      </c>
      <c r="BG351" s="21"/>
      <c r="BH351" s="155"/>
      <c r="BI351" s="155"/>
      <c r="BJ351" s="155"/>
      <c r="BK351" s="25">
        <f t="shared" si="864"/>
        <v>0</v>
      </c>
      <c r="BL351" s="21">
        <f t="shared" si="864"/>
        <v>0</v>
      </c>
      <c r="BM351" s="155"/>
      <c r="BN351" s="155"/>
      <c r="BO351" s="155"/>
      <c r="BP351" s="25">
        <f t="shared" si="865"/>
        <v>0</v>
      </c>
      <c r="BQ351" s="21"/>
      <c r="BR351" s="155"/>
      <c r="BS351" s="155"/>
      <c r="BT351" s="155"/>
      <c r="BU351" s="87">
        <f t="shared" si="866"/>
        <v>0</v>
      </c>
      <c r="BV351" s="54"/>
      <c r="BW351" s="155"/>
      <c r="BX351" s="155"/>
      <c r="BY351" s="155"/>
      <c r="BZ351" s="21">
        <f t="shared" si="816"/>
        <v>0</v>
      </c>
      <c r="CA351" s="54">
        <f t="shared" si="867"/>
        <v>0</v>
      </c>
      <c r="CB351" s="54">
        <f t="shared" si="818"/>
        <v>0</v>
      </c>
      <c r="CC351" s="155"/>
      <c r="CD351" s="155"/>
      <c r="CE351" s="155"/>
      <c r="CF351" s="25">
        <f t="shared" si="777"/>
        <v>0</v>
      </c>
      <c r="CG351" s="25">
        <f t="shared" si="778"/>
        <v>0</v>
      </c>
      <c r="CH351" s="25">
        <f t="shared" si="779"/>
        <v>0</v>
      </c>
      <c r="CI351" s="25">
        <f t="shared" si="780"/>
        <v>0</v>
      </c>
      <c r="CJ351" s="25"/>
      <c r="CK351" s="57"/>
      <c r="CN351" s="25">
        <f t="shared" si="868"/>
        <v>0</v>
      </c>
      <c r="CO351" s="21"/>
      <c r="CP351" s="155"/>
      <c r="CQ351" s="155"/>
      <c r="CR351" s="155"/>
      <c r="CS351" s="25">
        <f t="shared" si="869"/>
        <v>0</v>
      </c>
      <c r="CT351" s="21"/>
      <c r="CU351" s="155"/>
      <c r="CV351" s="155"/>
      <c r="CW351" s="155"/>
      <c r="DF351" s="169"/>
      <c r="DG351" s="57"/>
      <c r="DH351" s="57"/>
      <c r="DI351" s="170"/>
      <c r="DQ351" s="155">
        <f t="shared" si="821"/>
        <v>0</v>
      </c>
      <c r="DR351" s="155"/>
      <c r="DS351" s="155"/>
      <c r="DT351" s="155"/>
      <c r="DU351" s="157"/>
      <c r="DV351" s="155">
        <f t="shared" si="823"/>
        <v>0</v>
      </c>
      <c r="DW351" s="155"/>
      <c r="DX351" s="155"/>
      <c r="DY351" s="155"/>
      <c r="DZ351" s="157"/>
      <c r="EA351" s="372"/>
      <c r="EB351" s="372"/>
      <c r="EC351" s="372"/>
      <c r="ED351" s="372"/>
      <c r="EE351" s="372"/>
      <c r="EF351" s="372"/>
      <c r="EG351" s="372"/>
      <c r="EH351" s="372"/>
      <c r="EI351" s="372"/>
      <c r="EJ351" s="372"/>
      <c r="EK351" s="372"/>
      <c r="EL351" s="372"/>
      <c r="EM351" s="372"/>
      <c r="EN351" s="372"/>
      <c r="EO351" s="372"/>
      <c r="EP351" s="372"/>
      <c r="EQ351" s="372"/>
      <c r="ER351" s="372"/>
      <c r="ES351" s="372"/>
      <c r="ET351" s="372"/>
      <c r="EU351" s="372"/>
      <c r="EV351" s="372"/>
      <c r="EW351" s="372"/>
      <c r="EX351" s="372"/>
      <c r="EY351" s="372"/>
      <c r="EZ351" s="372"/>
      <c r="FA351" s="372"/>
      <c r="FB351" s="372"/>
      <c r="FC351" s="372"/>
      <c r="FD351" s="372"/>
      <c r="FE351" s="372"/>
      <c r="FF351" s="372"/>
      <c r="FG351" s="372"/>
      <c r="FH351" s="372"/>
      <c r="FI351" s="372"/>
      <c r="FJ351" s="372"/>
      <c r="FK351" s="372"/>
      <c r="FL351" s="372"/>
      <c r="FM351" s="372"/>
      <c r="FN351" s="372"/>
      <c r="FO351" s="372"/>
      <c r="FP351" s="372"/>
      <c r="FQ351" s="372"/>
      <c r="FR351" s="372"/>
      <c r="FS351" s="372"/>
      <c r="FT351" s="372"/>
      <c r="FU351" s="372"/>
      <c r="FV351" s="372"/>
      <c r="FW351" s="372"/>
      <c r="FX351" s="372"/>
      <c r="FY351" s="372"/>
      <c r="FZ351" s="372"/>
      <c r="GA351" s="372"/>
      <c r="GB351" s="372"/>
      <c r="GC351" s="372"/>
      <c r="GD351" s="372"/>
      <c r="GE351" s="372"/>
      <c r="GF351" s="372"/>
      <c r="GG351" s="372"/>
      <c r="GH351" s="372"/>
      <c r="GI351" s="372"/>
      <c r="GJ351" s="372"/>
      <c r="GK351" s="372"/>
      <c r="GL351" s="372"/>
      <c r="GM351" s="372"/>
      <c r="GN351" s="372"/>
      <c r="GO351" s="372"/>
      <c r="GP351" s="372"/>
      <c r="GQ351" s="372"/>
      <c r="GR351" s="372"/>
    </row>
    <row r="352" spans="2:200" s="59" customFormat="1" ht="19.5" hidden="1" customHeight="1" x14ac:dyDescent="0.3">
      <c r="B352" s="24"/>
      <c r="C352" s="141"/>
      <c r="D352" s="24"/>
      <c r="E352" s="142"/>
      <c r="F352" s="24"/>
      <c r="G352" s="141"/>
      <c r="H352" s="24"/>
      <c r="I352" s="24"/>
      <c r="J352" s="24"/>
      <c r="K352" s="24"/>
      <c r="L352" s="24"/>
      <c r="M352" s="422" t="s">
        <v>314</v>
      </c>
      <c r="N352" s="423"/>
      <c r="O352" s="261"/>
      <c r="P352" s="261"/>
      <c r="Q352" s="261"/>
      <c r="R352" s="261"/>
      <c r="S352" s="261"/>
      <c r="T352" s="175"/>
      <c r="U352" s="175"/>
      <c r="V352" s="25"/>
      <c r="W352" s="21"/>
      <c r="X352" s="21"/>
      <c r="Y352" s="22"/>
      <c r="Z352" s="22"/>
      <c r="AA352" s="25"/>
      <c r="AB352" s="21"/>
      <c r="AC352" s="21"/>
      <c r="AD352" s="22"/>
      <c r="AE352" s="22"/>
      <c r="AF352" s="25"/>
      <c r="AG352" s="21"/>
      <c r="AH352" s="21"/>
      <c r="AI352" s="22"/>
      <c r="AJ352" s="22"/>
      <c r="AK352" s="25"/>
      <c r="AL352" s="21"/>
      <c r="AM352" s="21"/>
      <c r="AN352" s="22"/>
      <c r="AO352" s="22"/>
      <c r="AP352" s="22"/>
      <c r="AQ352" s="25"/>
      <c r="AR352" s="21"/>
      <c r="AS352" s="155"/>
      <c r="AT352" s="155"/>
      <c r="AU352" s="155"/>
      <c r="AV352" s="25"/>
      <c r="AW352" s="25"/>
      <c r="AX352" s="155"/>
      <c r="AY352" s="155"/>
      <c r="AZ352" s="155"/>
      <c r="BA352" s="25"/>
      <c r="BB352" s="21"/>
      <c r="BC352" s="155"/>
      <c r="BD352" s="155"/>
      <c r="BE352" s="155"/>
      <c r="BF352" s="25"/>
      <c r="BG352" s="21"/>
      <c r="BH352" s="155"/>
      <c r="BI352" s="155"/>
      <c r="BJ352" s="155"/>
      <c r="BK352" s="25"/>
      <c r="BL352" s="21"/>
      <c r="BM352" s="155"/>
      <c r="BN352" s="155"/>
      <c r="BO352" s="155"/>
      <c r="BP352" s="25"/>
      <c r="BQ352" s="21"/>
      <c r="BR352" s="155"/>
      <c r="BS352" s="155"/>
      <c r="BT352" s="155"/>
      <c r="BU352" s="87"/>
      <c r="BV352" s="54"/>
      <c r="BW352" s="155"/>
      <c r="BX352" s="155"/>
      <c r="BY352" s="155"/>
      <c r="BZ352" s="21"/>
      <c r="CA352" s="54"/>
      <c r="CB352" s="54"/>
      <c r="CC352" s="155"/>
      <c r="CD352" s="155"/>
      <c r="CE352" s="155"/>
      <c r="CF352" s="25">
        <f t="shared" si="777"/>
        <v>0</v>
      </c>
      <c r="CG352" s="25">
        <f t="shared" si="778"/>
        <v>0</v>
      </c>
      <c r="CH352" s="25">
        <f t="shared" si="779"/>
        <v>0</v>
      </c>
      <c r="CI352" s="25">
        <f t="shared" si="780"/>
        <v>0</v>
      </c>
      <c r="CJ352" s="25"/>
      <c r="CK352" s="57"/>
      <c r="CN352" s="25"/>
      <c r="CO352" s="21"/>
      <c r="CP352" s="155"/>
      <c r="CQ352" s="155"/>
      <c r="CR352" s="155"/>
      <c r="CS352" s="25"/>
      <c r="CT352" s="21"/>
      <c r="CU352" s="155"/>
      <c r="CV352" s="155"/>
      <c r="CW352" s="155"/>
      <c r="DF352" s="169"/>
      <c r="DG352" s="57"/>
      <c r="DH352" s="57"/>
      <c r="DI352" s="170"/>
      <c r="DQ352" s="155"/>
      <c r="DR352" s="155"/>
      <c r="DS352" s="155"/>
      <c r="DT352" s="155"/>
      <c r="DU352" s="157"/>
      <c r="DV352" s="155"/>
      <c r="DW352" s="155"/>
      <c r="DX352" s="155"/>
      <c r="DY352" s="155"/>
      <c r="DZ352" s="157"/>
      <c r="EA352" s="372"/>
      <c r="EB352" s="372"/>
      <c r="EC352" s="372"/>
      <c r="ED352" s="372"/>
      <c r="EE352" s="372"/>
      <c r="EF352" s="372"/>
      <c r="EG352" s="372"/>
      <c r="EH352" s="372"/>
      <c r="EI352" s="372"/>
      <c r="EJ352" s="372"/>
      <c r="EK352" s="372"/>
      <c r="EL352" s="372"/>
      <c r="EM352" s="372"/>
      <c r="EN352" s="372"/>
      <c r="EO352" s="372"/>
      <c r="EP352" s="372"/>
      <c r="EQ352" s="372"/>
      <c r="ER352" s="372"/>
      <c r="ES352" s="372"/>
      <c r="ET352" s="372"/>
      <c r="EU352" s="372"/>
      <c r="EV352" s="372"/>
      <c r="EW352" s="372"/>
      <c r="EX352" s="372"/>
      <c r="EY352" s="372"/>
      <c r="EZ352" s="372"/>
      <c r="FA352" s="372"/>
      <c r="FB352" s="372"/>
      <c r="FC352" s="372"/>
      <c r="FD352" s="372"/>
      <c r="FE352" s="372"/>
      <c r="FF352" s="372"/>
      <c r="FG352" s="372"/>
      <c r="FH352" s="372"/>
      <c r="FI352" s="372"/>
      <c r="FJ352" s="372"/>
      <c r="FK352" s="372"/>
      <c r="FL352" s="372"/>
      <c r="FM352" s="372"/>
      <c r="FN352" s="372"/>
      <c r="FO352" s="372"/>
      <c r="FP352" s="372"/>
      <c r="FQ352" s="372"/>
      <c r="FR352" s="372"/>
      <c r="FS352" s="372"/>
      <c r="FT352" s="372"/>
      <c r="FU352" s="372"/>
      <c r="FV352" s="372"/>
      <c r="FW352" s="372"/>
      <c r="FX352" s="372"/>
      <c r="FY352" s="372"/>
      <c r="FZ352" s="372"/>
      <c r="GA352" s="372"/>
      <c r="GB352" s="372"/>
      <c r="GC352" s="372"/>
      <c r="GD352" s="372"/>
      <c r="GE352" s="372"/>
      <c r="GF352" s="372"/>
      <c r="GG352" s="372"/>
      <c r="GH352" s="372"/>
      <c r="GI352" s="372"/>
      <c r="GJ352" s="372"/>
      <c r="GK352" s="372"/>
      <c r="GL352" s="372"/>
      <c r="GM352" s="372"/>
      <c r="GN352" s="372"/>
      <c r="GO352" s="372"/>
      <c r="GP352" s="372"/>
      <c r="GQ352" s="372"/>
      <c r="GR352" s="372"/>
    </row>
    <row r="353" spans="2:200" s="48" customFormat="1" ht="19.5" hidden="1" customHeight="1" x14ac:dyDescent="0.3">
      <c r="B353" s="262"/>
      <c r="C353" s="263"/>
      <c r="D353" s="262"/>
      <c r="E353" s="118"/>
      <c r="F353" s="262"/>
      <c r="G353" s="263"/>
      <c r="H353" s="262"/>
      <c r="I353" s="262"/>
      <c r="J353" s="262"/>
      <c r="K353" s="262"/>
      <c r="L353" s="262"/>
      <c r="M353" s="264"/>
      <c r="N353" s="265" t="s">
        <v>287</v>
      </c>
      <c r="O353" s="265"/>
      <c r="P353" s="265"/>
      <c r="Q353" s="265"/>
      <c r="R353" s="265"/>
      <c r="S353" s="265"/>
      <c r="T353" s="266"/>
      <c r="U353" s="266"/>
      <c r="V353" s="97">
        <f t="shared" ref="V353:V354" si="870">W353+X353+Y353+Z353</f>
        <v>0</v>
      </c>
      <c r="W353" s="23"/>
      <c r="X353" s="23"/>
      <c r="Y353" s="43"/>
      <c r="Z353" s="43"/>
      <c r="AA353" s="97">
        <f t="shared" ref="AA353:AA354" si="871">AB353+AC353+AD353+AE353</f>
        <v>0</v>
      </c>
      <c r="AB353" s="23"/>
      <c r="AC353" s="23"/>
      <c r="AD353" s="43"/>
      <c r="AE353" s="43"/>
      <c r="AF353" s="97">
        <f t="shared" ref="AF353:AF354" si="872">AG353+AH353+AI353+AJ353</f>
        <v>0</v>
      </c>
      <c r="AG353" s="23"/>
      <c r="AH353" s="23"/>
      <c r="AI353" s="43"/>
      <c r="AJ353" s="43"/>
      <c r="AK353" s="97">
        <f t="shared" ref="AK353:AK354" si="873">AL353+AM353+AN353+AO353</f>
        <v>0</v>
      </c>
      <c r="AL353" s="23"/>
      <c r="AM353" s="23"/>
      <c r="AN353" s="43"/>
      <c r="AO353" s="43"/>
      <c r="AP353" s="43"/>
      <c r="AQ353" s="97">
        <f t="shared" ref="AQ353:AQ354" si="874">AR353+AS353+AT353+AU353</f>
        <v>0</v>
      </c>
      <c r="AR353" s="23">
        <f>AR347+AR350</f>
        <v>0</v>
      </c>
      <c r="AS353" s="267"/>
      <c r="AT353" s="267"/>
      <c r="AU353" s="267"/>
      <c r="AV353" s="97" t="e">
        <f t="shared" ref="AV353:AV354" si="875">AW353+AX353+AY353+AZ353</f>
        <v>#REF!</v>
      </c>
      <c r="AW353" s="97" t="e">
        <f>#REF!-AR353</f>
        <v>#REF!</v>
      </c>
      <c r="AX353" s="267"/>
      <c r="AY353" s="267"/>
      <c r="AZ353" s="267"/>
      <c r="BA353" s="97">
        <f t="shared" ref="BA353:BB353" si="876">BA347+BA350</f>
        <v>0</v>
      </c>
      <c r="BB353" s="23">
        <f t="shared" si="876"/>
        <v>0</v>
      </c>
      <c r="BC353" s="267"/>
      <c r="BD353" s="267"/>
      <c r="BE353" s="267"/>
      <c r="BF353" s="97">
        <f>BF347+BF350</f>
        <v>0</v>
      </c>
      <c r="BG353" s="23"/>
      <c r="BH353" s="267"/>
      <c r="BI353" s="267"/>
      <c r="BJ353" s="267"/>
      <c r="BK353" s="97">
        <f t="shared" ref="BK353:BL353" si="877">BK347+BK350</f>
        <v>0</v>
      </c>
      <c r="BL353" s="23">
        <f t="shared" si="877"/>
        <v>0</v>
      </c>
      <c r="BM353" s="267"/>
      <c r="BN353" s="267"/>
      <c r="BO353" s="267"/>
      <c r="BP353" s="97">
        <f>BP347+BP350</f>
        <v>0</v>
      </c>
      <c r="BQ353" s="23"/>
      <c r="BR353" s="267"/>
      <c r="BS353" s="267"/>
      <c r="BT353" s="267"/>
      <c r="BU353" s="268">
        <f t="shared" ref="BU353:BV354" si="878">BU347+BU350</f>
        <v>0</v>
      </c>
      <c r="BV353" s="269">
        <f t="shared" si="878"/>
        <v>0</v>
      </c>
      <c r="BW353" s="267"/>
      <c r="BX353" s="267"/>
      <c r="BY353" s="267"/>
      <c r="BZ353" s="23">
        <f t="shared" ref="BZ353:CB354" si="879">BZ347+BZ350</f>
        <v>0</v>
      </c>
      <c r="CA353" s="269">
        <f t="shared" si="879"/>
        <v>0</v>
      </c>
      <c r="CB353" s="269">
        <f t="shared" si="879"/>
        <v>0</v>
      </c>
      <c r="CC353" s="267"/>
      <c r="CD353" s="267"/>
      <c r="CE353" s="267"/>
      <c r="CF353" s="97">
        <f t="shared" si="777"/>
        <v>0</v>
      </c>
      <c r="CG353" s="97">
        <f t="shared" si="778"/>
        <v>0</v>
      </c>
      <c r="CH353" s="97">
        <f t="shared" si="779"/>
        <v>0</v>
      </c>
      <c r="CI353" s="97">
        <f t="shared" si="780"/>
        <v>0</v>
      </c>
      <c r="CJ353" s="97"/>
      <c r="CK353" s="46"/>
      <c r="CN353" s="97">
        <f t="shared" ref="CN353:CN354" si="880">CO353+CP353+CQ353+CR353</f>
        <v>0</v>
      </c>
      <c r="CO353" s="23"/>
      <c r="CP353" s="267"/>
      <c r="CQ353" s="267"/>
      <c r="CR353" s="267"/>
      <c r="CS353" s="97">
        <f t="shared" ref="CS353:CS354" si="881">CT353+CU353+CV353+CW353</f>
        <v>0</v>
      </c>
      <c r="CT353" s="23"/>
      <c r="CU353" s="267"/>
      <c r="CV353" s="267"/>
      <c r="CW353" s="267"/>
      <c r="DF353" s="234"/>
      <c r="DG353" s="46"/>
      <c r="DH353" s="46"/>
      <c r="DI353" s="235"/>
      <c r="DQ353" s="267">
        <f t="shared" ref="DQ353:DQ354" si="882">DR353</f>
        <v>0</v>
      </c>
      <c r="DR353" s="267"/>
      <c r="DS353" s="267"/>
      <c r="DT353" s="267"/>
      <c r="DU353" s="270"/>
      <c r="DV353" s="267">
        <f t="shared" ref="DV353:DV354" si="883">DW353</f>
        <v>0</v>
      </c>
      <c r="DW353" s="267"/>
      <c r="DX353" s="267"/>
      <c r="DY353" s="267"/>
      <c r="DZ353" s="270"/>
      <c r="EA353" s="372"/>
      <c r="EB353" s="372"/>
      <c r="EC353" s="372"/>
      <c r="ED353" s="372"/>
      <c r="EE353" s="372"/>
      <c r="EF353" s="372"/>
      <c r="EG353" s="372"/>
      <c r="EH353" s="372"/>
      <c r="EI353" s="372"/>
      <c r="EJ353" s="372"/>
      <c r="EK353" s="372"/>
      <c r="EL353" s="372"/>
      <c r="EM353" s="372"/>
      <c r="EN353" s="372"/>
      <c r="EO353" s="372"/>
      <c r="EP353" s="372"/>
      <c r="EQ353" s="372"/>
      <c r="ER353" s="372"/>
      <c r="ES353" s="372"/>
      <c r="ET353" s="372"/>
      <c r="EU353" s="372"/>
      <c r="EV353" s="372"/>
      <c r="EW353" s="372"/>
      <c r="EX353" s="372"/>
      <c r="EY353" s="372"/>
      <c r="EZ353" s="372"/>
      <c r="FA353" s="372"/>
      <c r="FB353" s="372"/>
      <c r="FC353" s="372"/>
      <c r="FD353" s="372"/>
      <c r="FE353" s="372"/>
      <c r="FF353" s="372"/>
      <c r="FG353" s="372"/>
      <c r="FH353" s="372"/>
      <c r="FI353" s="372"/>
      <c r="FJ353" s="372"/>
      <c r="FK353" s="372"/>
      <c r="FL353" s="372"/>
      <c r="FM353" s="372"/>
      <c r="FN353" s="372"/>
      <c r="FO353" s="372"/>
      <c r="FP353" s="372"/>
      <c r="FQ353" s="372"/>
      <c r="FR353" s="372"/>
      <c r="FS353" s="372"/>
      <c r="FT353" s="372"/>
      <c r="FU353" s="372"/>
      <c r="FV353" s="372"/>
      <c r="FW353" s="372"/>
      <c r="FX353" s="372"/>
      <c r="FY353" s="372"/>
      <c r="FZ353" s="372"/>
      <c r="GA353" s="372"/>
      <c r="GB353" s="372"/>
      <c r="GC353" s="372"/>
      <c r="GD353" s="372"/>
      <c r="GE353" s="372"/>
      <c r="GF353" s="372"/>
      <c r="GG353" s="372"/>
      <c r="GH353" s="372"/>
      <c r="GI353" s="372"/>
      <c r="GJ353" s="372"/>
      <c r="GK353" s="372"/>
      <c r="GL353" s="372"/>
      <c r="GM353" s="372"/>
      <c r="GN353" s="372"/>
      <c r="GO353" s="372"/>
      <c r="GP353" s="372"/>
      <c r="GQ353" s="372"/>
      <c r="GR353" s="372"/>
    </row>
    <row r="354" spans="2:200" s="48" customFormat="1" ht="19.5" hidden="1" customHeight="1" x14ac:dyDescent="0.3">
      <c r="B354" s="262"/>
      <c r="C354" s="263"/>
      <c r="D354" s="262"/>
      <c r="E354" s="118"/>
      <c r="F354" s="262"/>
      <c r="G354" s="263"/>
      <c r="H354" s="262"/>
      <c r="I354" s="262"/>
      <c r="J354" s="262"/>
      <c r="K354" s="262"/>
      <c r="L354" s="262"/>
      <c r="M354" s="264"/>
      <c r="N354" s="265" t="s">
        <v>286</v>
      </c>
      <c r="O354" s="265"/>
      <c r="P354" s="265"/>
      <c r="Q354" s="265"/>
      <c r="R354" s="265"/>
      <c r="S354" s="265"/>
      <c r="T354" s="266"/>
      <c r="U354" s="266"/>
      <c r="V354" s="97">
        <f t="shared" si="870"/>
        <v>0</v>
      </c>
      <c r="W354" s="23"/>
      <c r="X354" s="23"/>
      <c r="Y354" s="43"/>
      <c r="Z354" s="43"/>
      <c r="AA354" s="97">
        <f t="shared" si="871"/>
        <v>0</v>
      </c>
      <c r="AB354" s="23"/>
      <c r="AC354" s="23"/>
      <c r="AD354" s="43"/>
      <c r="AE354" s="43"/>
      <c r="AF354" s="97">
        <f t="shared" si="872"/>
        <v>0</v>
      </c>
      <c r="AG354" s="23"/>
      <c r="AH354" s="23"/>
      <c r="AI354" s="43"/>
      <c r="AJ354" s="43"/>
      <c r="AK354" s="97">
        <f t="shared" si="873"/>
        <v>0</v>
      </c>
      <c r="AL354" s="23"/>
      <c r="AM354" s="23"/>
      <c r="AN354" s="43"/>
      <c r="AO354" s="43"/>
      <c r="AP354" s="43"/>
      <c r="AQ354" s="97">
        <f t="shared" si="874"/>
        <v>0</v>
      </c>
      <c r="AR354" s="23">
        <f>AR348+AR351</f>
        <v>0</v>
      </c>
      <c r="AS354" s="267"/>
      <c r="AT354" s="267"/>
      <c r="AU354" s="267"/>
      <c r="AV354" s="97" t="e">
        <f t="shared" si="875"/>
        <v>#REF!</v>
      </c>
      <c r="AW354" s="97" t="e">
        <f>#REF!-AR354</f>
        <v>#REF!</v>
      </c>
      <c r="AX354" s="267"/>
      <c r="AY354" s="267"/>
      <c r="AZ354" s="267"/>
      <c r="BA354" s="97">
        <f t="shared" ref="BA354:BB354" si="884">BA348+BA351</f>
        <v>0</v>
      </c>
      <c r="BB354" s="23">
        <f t="shared" si="884"/>
        <v>0</v>
      </c>
      <c r="BC354" s="267"/>
      <c r="BD354" s="267"/>
      <c r="BE354" s="267"/>
      <c r="BF354" s="97">
        <f>BF348+BF351</f>
        <v>0</v>
      </c>
      <c r="BG354" s="23"/>
      <c r="BH354" s="267"/>
      <c r="BI354" s="267"/>
      <c r="BJ354" s="267"/>
      <c r="BK354" s="97">
        <f t="shared" ref="BK354:BL354" si="885">BK348+BK351</f>
        <v>0</v>
      </c>
      <c r="BL354" s="23">
        <f t="shared" si="885"/>
        <v>0</v>
      </c>
      <c r="BM354" s="267"/>
      <c r="BN354" s="267"/>
      <c r="BO354" s="267"/>
      <c r="BP354" s="97">
        <f>BP348+BP351</f>
        <v>0</v>
      </c>
      <c r="BQ354" s="23"/>
      <c r="BR354" s="267"/>
      <c r="BS354" s="267"/>
      <c r="BT354" s="267"/>
      <c r="BU354" s="268">
        <f t="shared" si="878"/>
        <v>0</v>
      </c>
      <c r="BV354" s="269">
        <f t="shared" si="878"/>
        <v>0</v>
      </c>
      <c r="BW354" s="267"/>
      <c r="BX354" s="267"/>
      <c r="BY354" s="267"/>
      <c r="BZ354" s="23">
        <f t="shared" si="879"/>
        <v>0</v>
      </c>
      <c r="CA354" s="269">
        <f t="shared" si="879"/>
        <v>0</v>
      </c>
      <c r="CB354" s="269">
        <f t="shared" si="879"/>
        <v>0</v>
      </c>
      <c r="CC354" s="267"/>
      <c r="CD354" s="267"/>
      <c r="CE354" s="267"/>
      <c r="CF354" s="97">
        <f t="shared" si="777"/>
        <v>0</v>
      </c>
      <c r="CG354" s="97">
        <f t="shared" si="778"/>
        <v>0</v>
      </c>
      <c r="CH354" s="97">
        <f t="shared" si="779"/>
        <v>0</v>
      </c>
      <c r="CI354" s="97">
        <f t="shared" si="780"/>
        <v>0</v>
      </c>
      <c r="CJ354" s="97"/>
      <c r="CK354" s="46"/>
      <c r="CN354" s="97">
        <f t="shared" si="880"/>
        <v>0</v>
      </c>
      <c r="CO354" s="23"/>
      <c r="CP354" s="267"/>
      <c r="CQ354" s="267"/>
      <c r="CR354" s="267"/>
      <c r="CS354" s="97">
        <f t="shared" si="881"/>
        <v>0</v>
      </c>
      <c r="CT354" s="23"/>
      <c r="CU354" s="267"/>
      <c r="CV354" s="267"/>
      <c r="CW354" s="267"/>
      <c r="DF354" s="234"/>
      <c r="DG354" s="46"/>
      <c r="DH354" s="46"/>
      <c r="DI354" s="235"/>
      <c r="DQ354" s="267">
        <f t="shared" si="882"/>
        <v>0</v>
      </c>
      <c r="DR354" s="267"/>
      <c r="DS354" s="267"/>
      <c r="DT354" s="267"/>
      <c r="DU354" s="270"/>
      <c r="DV354" s="267">
        <f t="shared" si="883"/>
        <v>0</v>
      </c>
      <c r="DW354" s="267"/>
      <c r="DX354" s="267"/>
      <c r="DY354" s="267"/>
      <c r="DZ354" s="270"/>
      <c r="EA354" s="372"/>
      <c r="EB354" s="372"/>
      <c r="EC354" s="372"/>
      <c r="ED354" s="372"/>
      <c r="EE354" s="372"/>
      <c r="EF354" s="372"/>
      <c r="EG354" s="372"/>
      <c r="EH354" s="372"/>
      <c r="EI354" s="372"/>
      <c r="EJ354" s="372"/>
      <c r="EK354" s="372"/>
      <c r="EL354" s="372"/>
      <c r="EM354" s="372"/>
      <c r="EN354" s="372"/>
      <c r="EO354" s="372"/>
      <c r="EP354" s="372"/>
      <c r="EQ354" s="372"/>
      <c r="ER354" s="372"/>
      <c r="ES354" s="372"/>
      <c r="ET354" s="372"/>
      <c r="EU354" s="372"/>
      <c r="EV354" s="372"/>
      <c r="EW354" s="372"/>
      <c r="EX354" s="372"/>
      <c r="EY354" s="372"/>
      <c r="EZ354" s="372"/>
      <c r="FA354" s="372"/>
      <c r="FB354" s="372"/>
      <c r="FC354" s="372"/>
      <c r="FD354" s="372"/>
      <c r="FE354" s="372"/>
      <c r="FF354" s="372"/>
      <c r="FG354" s="372"/>
      <c r="FH354" s="372"/>
      <c r="FI354" s="372"/>
      <c r="FJ354" s="372"/>
      <c r="FK354" s="372"/>
      <c r="FL354" s="372"/>
      <c r="FM354" s="372"/>
      <c r="FN354" s="372"/>
      <c r="FO354" s="372"/>
      <c r="FP354" s="372"/>
      <c r="FQ354" s="372"/>
      <c r="FR354" s="372"/>
      <c r="FS354" s="372"/>
      <c r="FT354" s="372"/>
      <c r="FU354" s="372"/>
      <c r="FV354" s="372"/>
      <c r="FW354" s="372"/>
      <c r="FX354" s="372"/>
      <c r="FY354" s="372"/>
      <c r="FZ354" s="372"/>
      <c r="GA354" s="372"/>
      <c r="GB354" s="372"/>
      <c r="GC354" s="372"/>
      <c r="GD354" s="372"/>
      <c r="GE354" s="372"/>
      <c r="GF354" s="372"/>
      <c r="GG354" s="372"/>
      <c r="GH354" s="372"/>
      <c r="GI354" s="372"/>
      <c r="GJ354" s="372"/>
      <c r="GK354" s="372"/>
      <c r="GL354" s="372"/>
      <c r="GM354" s="372"/>
      <c r="GN354" s="372"/>
      <c r="GO354" s="372"/>
      <c r="GP354" s="372"/>
      <c r="GQ354" s="372"/>
      <c r="GR354" s="372"/>
    </row>
    <row r="355" spans="2:200" hidden="1" x14ac:dyDescent="0.3">
      <c r="BK355" s="59"/>
      <c r="BL355" s="59"/>
      <c r="BM355" s="59"/>
      <c r="BN355" s="59"/>
      <c r="BO355" s="59"/>
    </row>
    <row r="356" spans="2:200" hidden="1" x14ac:dyDescent="0.3">
      <c r="BK356" s="59"/>
      <c r="BL356" s="59"/>
      <c r="BM356" s="59"/>
      <c r="BN356" s="59"/>
      <c r="BO356" s="59"/>
    </row>
    <row r="357" spans="2:200" hidden="1" x14ac:dyDescent="0.3">
      <c r="BK357" s="59"/>
      <c r="BL357" s="59"/>
      <c r="BM357" s="59"/>
      <c r="BN357" s="59"/>
      <c r="BO357" s="59"/>
    </row>
    <row r="358" spans="2:200" hidden="1" x14ac:dyDescent="0.3">
      <c r="BK358" s="59"/>
      <c r="BL358" s="59"/>
      <c r="BM358" s="59"/>
      <c r="BN358" s="59"/>
      <c r="BO358" s="59"/>
    </row>
    <row r="359" spans="2:200" hidden="1" x14ac:dyDescent="0.3">
      <c r="BK359" s="59"/>
      <c r="BL359" s="59"/>
      <c r="BM359" s="59"/>
      <c r="BN359" s="59"/>
      <c r="BO359" s="59"/>
    </row>
    <row r="360" spans="2:200" hidden="1" x14ac:dyDescent="0.3">
      <c r="BK360" s="59" t="s">
        <v>332</v>
      </c>
      <c r="BL360" s="59" t="s">
        <v>336</v>
      </c>
      <c r="BM360" s="59">
        <v>211</v>
      </c>
      <c r="BN360" s="59" t="s">
        <v>337</v>
      </c>
      <c r="BO360" s="59">
        <v>176</v>
      </c>
    </row>
    <row r="361" spans="2:200" hidden="1" x14ac:dyDescent="0.3">
      <c r="BK361" s="59"/>
      <c r="BL361" s="59"/>
      <c r="BM361" s="59"/>
      <c r="BN361" s="59"/>
      <c r="BO361" s="59"/>
    </row>
    <row r="362" spans="2:200" hidden="1" x14ac:dyDescent="0.3">
      <c r="BK362" s="59" t="s">
        <v>333</v>
      </c>
      <c r="BL362" s="59" t="s">
        <v>335</v>
      </c>
      <c r="BM362" s="59">
        <v>38</v>
      </c>
      <c r="BN362" s="59" t="s">
        <v>337</v>
      </c>
      <c r="BO362" s="59">
        <v>2</v>
      </c>
    </row>
    <row r="363" spans="2:200" hidden="1" x14ac:dyDescent="0.3">
      <c r="BK363" s="59"/>
      <c r="BL363" s="59"/>
      <c r="BM363" s="59"/>
      <c r="BN363" s="59"/>
      <c r="BO363" s="59"/>
    </row>
    <row r="364" spans="2:200" hidden="1" x14ac:dyDescent="0.3">
      <c r="BK364" s="59" t="s">
        <v>334</v>
      </c>
      <c r="BL364" s="59" t="s">
        <v>336</v>
      </c>
      <c r="BM364" s="59">
        <v>7</v>
      </c>
      <c r="BN364" s="59" t="s">
        <v>337</v>
      </c>
      <c r="BO364" s="59">
        <v>3</v>
      </c>
    </row>
    <row r="365" spans="2:200" hidden="1" x14ac:dyDescent="0.3">
      <c r="BK365" s="59"/>
      <c r="BL365" s="59"/>
      <c r="BM365" s="59"/>
      <c r="BN365" s="59"/>
      <c r="BO365" s="59"/>
    </row>
    <row r="366" spans="2:200" hidden="1" x14ac:dyDescent="0.3">
      <c r="BK366" s="59" t="s">
        <v>427</v>
      </c>
      <c r="BL366" s="59" t="s">
        <v>336</v>
      </c>
      <c r="BM366" s="59">
        <v>9</v>
      </c>
      <c r="BN366" s="59" t="s">
        <v>337</v>
      </c>
      <c r="BO366" s="59">
        <v>2</v>
      </c>
    </row>
    <row r="367" spans="2:200" hidden="1" x14ac:dyDescent="0.3">
      <c r="BK367" s="59"/>
      <c r="BL367" s="59"/>
      <c r="BM367" s="59"/>
      <c r="BN367" s="59"/>
      <c r="BO367" s="59"/>
    </row>
    <row r="368" spans="2:200" hidden="1" x14ac:dyDescent="0.3">
      <c r="BK368" s="59" t="s">
        <v>461</v>
      </c>
      <c r="BL368" s="59"/>
      <c r="BM368" s="59"/>
      <c r="BN368" s="59" t="s">
        <v>337</v>
      </c>
      <c r="BO368" s="59">
        <v>2</v>
      </c>
    </row>
    <row r="369" spans="2:89" hidden="1" x14ac:dyDescent="0.3">
      <c r="BK369" s="59"/>
      <c r="BL369" s="59"/>
      <c r="BM369" s="59"/>
      <c r="BN369" s="59"/>
      <c r="BO369" s="59"/>
    </row>
    <row r="370" spans="2:89" hidden="1" x14ac:dyDescent="0.3">
      <c r="BK370" s="59"/>
      <c r="BL370" s="59"/>
      <c r="BM370" s="59"/>
      <c r="BN370" s="59"/>
      <c r="BO370" s="59"/>
    </row>
    <row r="371" spans="2:89" hidden="1" x14ac:dyDescent="0.3">
      <c r="BK371" s="59"/>
      <c r="BL371" s="59"/>
      <c r="BM371" s="59">
        <f>BM360+BM362+BM364+BM368</f>
        <v>256</v>
      </c>
      <c r="BN371" s="59"/>
      <c r="BO371" s="59">
        <f>BO360+BO362+BO364+BO366+BO368</f>
        <v>185</v>
      </c>
    </row>
    <row r="372" spans="2:89" hidden="1" x14ac:dyDescent="0.3">
      <c r="BK372" s="59"/>
      <c r="BL372" s="59"/>
      <c r="BM372" s="59"/>
      <c r="BN372" s="59"/>
      <c r="BO372" s="59"/>
    </row>
    <row r="373" spans="2:89" hidden="1" x14ac:dyDescent="0.3">
      <c r="BK373" s="59"/>
      <c r="BL373" s="59"/>
      <c r="BM373" s="59"/>
      <c r="BN373" s="59"/>
      <c r="BO373" s="59"/>
    </row>
    <row r="374" spans="2:89" hidden="1" x14ac:dyDescent="0.3">
      <c r="BK374" s="59"/>
      <c r="BL374" s="59"/>
      <c r="BM374" s="59"/>
      <c r="BN374" s="59"/>
      <c r="BO374" s="59"/>
    </row>
    <row r="375" spans="2:89" hidden="1" x14ac:dyDescent="0.3">
      <c r="BK375" s="59"/>
      <c r="BL375" s="59"/>
      <c r="BM375" s="59"/>
      <c r="BN375" s="59"/>
      <c r="BO375" s="59"/>
    </row>
    <row r="376" spans="2:89" s="372" customFormat="1" x14ac:dyDescent="0.3">
      <c r="B376" s="382"/>
      <c r="C376" s="383"/>
      <c r="D376" s="383"/>
      <c r="N376" s="384"/>
      <c r="O376" s="384"/>
      <c r="P376" s="384"/>
      <c r="Q376" s="384"/>
      <c r="R376" s="384"/>
      <c r="S376" s="384"/>
      <c r="T376" s="384"/>
      <c r="U376" s="384"/>
      <c r="X376" s="385"/>
      <c r="Y376" s="385"/>
      <c r="Z376" s="385"/>
      <c r="AC376" s="385"/>
      <c r="AD376" s="385"/>
      <c r="AE376" s="385"/>
      <c r="AH376" s="385"/>
      <c r="AI376" s="385"/>
      <c r="AJ376" s="385"/>
      <c r="AM376" s="385"/>
      <c r="AN376" s="385"/>
      <c r="AO376" s="385"/>
      <c r="AP376" s="385"/>
      <c r="CK376" s="381"/>
    </row>
    <row r="377" spans="2:89" s="372" customFormat="1" x14ac:dyDescent="0.3">
      <c r="B377" s="382"/>
      <c r="C377" s="383"/>
      <c r="D377" s="383"/>
      <c r="N377" s="384"/>
      <c r="O377" s="384"/>
      <c r="P377" s="384"/>
      <c r="Q377" s="384"/>
      <c r="R377" s="384"/>
      <c r="S377" s="384"/>
      <c r="T377" s="384"/>
      <c r="U377" s="384"/>
      <c r="X377" s="385"/>
      <c r="Y377" s="385"/>
      <c r="Z377" s="385"/>
      <c r="AC377" s="385"/>
      <c r="AD377" s="385"/>
      <c r="AE377" s="385"/>
      <c r="AH377" s="385"/>
      <c r="AI377" s="385"/>
      <c r="AJ377" s="385"/>
      <c r="AM377" s="385"/>
      <c r="AN377" s="385"/>
      <c r="AO377" s="385"/>
      <c r="AP377" s="385"/>
      <c r="CK377" s="381"/>
    </row>
    <row r="378" spans="2:89" s="372" customFormat="1" x14ac:dyDescent="0.3">
      <c r="B378" s="382"/>
      <c r="C378" s="383"/>
      <c r="D378" s="383"/>
      <c r="N378" s="384"/>
      <c r="O378" s="384"/>
      <c r="P378" s="384"/>
      <c r="Q378" s="384"/>
      <c r="R378" s="384"/>
      <c r="S378" s="384"/>
      <c r="T378" s="384"/>
      <c r="U378" s="384"/>
      <c r="X378" s="385"/>
      <c r="Y378" s="385"/>
      <c r="Z378" s="385"/>
      <c r="AC378" s="385"/>
      <c r="AD378" s="385"/>
      <c r="AE378" s="385"/>
      <c r="AH378" s="385"/>
      <c r="AI378" s="385"/>
      <c r="AJ378" s="385"/>
      <c r="AM378" s="385"/>
      <c r="AN378" s="385"/>
      <c r="AO378" s="385"/>
      <c r="AP378" s="385"/>
      <c r="CK378" s="381"/>
    </row>
    <row r="379" spans="2:89" s="372" customFormat="1" x14ac:dyDescent="0.3">
      <c r="B379" s="382"/>
      <c r="C379" s="383"/>
      <c r="D379" s="383"/>
      <c r="N379" s="384"/>
      <c r="O379" s="384"/>
      <c r="P379" s="384"/>
      <c r="Q379" s="384"/>
      <c r="R379" s="384"/>
      <c r="S379" s="384"/>
      <c r="T379" s="384"/>
      <c r="U379" s="384"/>
      <c r="X379" s="385"/>
      <c r="Y379" s="385"/>
      <c r="Z379" s="385"/>
      <c r="AC379" s="385"/>
      <c r="AD379" s="385"/>
      <c r="AE379" s="385"/>
      <c r="AH379" s="385"/>
      <c r="AI379" s="385"/>
      <c r="AJ379" s="385"/>
      <c r="AM379" s="385"/>
      <c r="AN379" s="385"/>
      <c r="AO379" s="385"/>
      <c r="AP379" s="385"/>
      <c r="CK379" s="381"/>
    </row>
    <row r="380" spans="2:89" s="372" customFormat="1" x14ac:dyDescent="0.3">
      <c r="B380" s="382"/>
      <c r="C380" s="383"/>
      <c r="D380" s="383"/>
      <c r="N380" s="384"/>
      <c r="O380" s="384"/>
      <c r="P380" s="384"/>
      <c r="Q380" s="384"/>
      <c r="R380" s="384"/>
      <c r="S380" s="384"/>
      <c r="T380" s="384"/>
      <c r="U380" s="384"/>
      <c r="X380" s="385"/>
      <c r="Y380" s="385"/>
      <c r="Z380" s="385"/>
      <c r="AC380" s="385"/>
      <c r="AD380" s="385"/>
      <c r="AE380" s="385"/>
      <c r="AH380" s="385"/>
      <c r="AI380" s="385"/>
      <c r="AJ380" s="385"/>
      <c r="AM380" s="385"/>
      <c r="AN380" s="385"/>
      <c r="AO380" s="385"/>
      <c r="AP380" s="385"/>
      <c r="CK380" s="381"/>
    </row>
    <row r="381" spans="2:89" s="372" customFormat="1" x14ac:dyDescent="0.3">
      <c r="B381" s="382"/>
      <c r="C381" s="383"/>
      <c r="D381" s="383"/>
      <c r="N381" s="384"/>
      <c r="O381" s="384"/>
      <c r="P381" s="384"/>
      <c r="Q381" s="384"/>
      <c r="R381" s="384"/>
      <c r="S381" s="384"/>
      <c r="T381" s="384"/>
      <c r="U381" s="384"/>
      <c r="X381" s="385"/>
      <c r="Y381" s="385"/>
      <c r="Z381" s="385"/>
      <c r="AC381" s="385"/>
      <c r="AD381" s="385"/>
      <c r="AE381" s="385"/>
      <c r="AH381" s="385"/>
      <c r="AI381" s="385"/>
      <c r="AJ381" s="385"/>
      <c r="AM381" s="385"/>
      <c r="AN381" s="385"/>
      <c r="AO381" s="385"/>
      <c r="AP381" s="385"/>
      <c r="CK381" s="381"/>
    </row>
    <row r="382" spans="2:89" s="372" customFormat="1" x14ac:dyDescent="0.3">
      <c r="B382" s="382"/>
      <c r="C382" s="383"/>
      <c r="D382" s="383"/>
      <c r="N382" s="384"/>
      <c r="O382" s="384"/>
      <c r="P382" s="384"/>
      <c r="Q382" s="384"/>
      <c r="R382" s="384"/>
      <c r="S382" s="384"/>
      <c r="T382" s="384"/>
      <c r="U382" s="384"/>
      <c r="X382" s="385"/>
      <c r="Y382" s="385"/>
      <c r="Z382" s="385"/>
      <c r="AC382" s="385"/>
      <c r="AD382" s="385"/>
      <c r="AE382" s="385"/>
      <c r="AH382" s="385"/>
      <c r="AI382" s="385"/>
      <c r="AJ382" s="385"/>
      <c r="AM382" s="385"/>
      <c r="AN382" s="385"/>
      <c r="AO382" s="385"/>
      <c r="AP382" s="385"/>
      <c r="CK382" s="381"/>
    </row>
    <row r="383" spans="2:89" s="372" customFormat="1" x14ac:dyDescent="0.3">
      <c r="B383" s="382"/>
      <c r="C383" s="383"/>
      <c r="D383" s="383"/>
      <c r="N383" s="384"/>
      <c r="O383" s="384"/>
      <c r="P383" s="384"/>
      <c r="Q383" s="384"/>
      <c r="R383" s="384"/>
      <c r="S383" s="384"/>
      <c r="T383" s="384"/>
      <c r="U383" s="384"/>
      <c r="X383" s="385"/>
      <c r="Y383" s="385"/>
      <c r="Z383" s="385"/>
      <c r="AC383" s="385"/>
      <c r="AD383" s="385"/>
      <c r="AE383" s="385"/>
      <c r="AH383" s="385"/>
      <c r="AI383" s="385"/>
      <c r="AJ383" s="385"/>
      <c r="AM383" s="385"/>
      <c r="AN383" s="385"/>
      <c r="AO383" s="385"/>
      <c r="AP383" s="385"/>
      <c r="CK383" s="381"/>
    </row>
    <row r="384" spans="2:89" s="372" customFormat="1" x14ac:dyDescent="0.3">
      <c r="B384" s="382"/>
      <c r="C384" s="383"/>
      <c r="D384" s="383"/>
      <c r="N384" s="384"/>
      <c r="O384" s="384"/>
      <c r="P384" s="384"/>
      <c r="Q384" s="384"/>
      <c r="R384" s="384"/>
      <c r="S384" s="384"/>
      <c r="T384" s="384"/>
      <c r="U384" s="384"/>
      <c r="X384" s="385"/>
      <c r="Y384" s="385"/>
      <c r="Z384" s="385"/>
      <c r="AC384" s="385"/>
      <c r="AD384" s="385"/>
      <c r="AE384" s="385"/>
      <c r="AH384" s="385"/>
      <c r="AI384" s="385"/>
      <c r="AJ384" s="385"/>
      <c r="AM384" s="385"/>
      <c r="AN384" s="385"/>
      <c r="AO384" s="385"/>
      <c r="AP384" s="385"/>
      <c r="CK384" s="381"/>
    </row>
    <row r="385" spans="2:89" s="372" customFormat="1" x14ac:dyDescent="0.3">
      <c r="B385" s="382"/>
      <c r="C385" s="383"/>
      <c r="D385" s="383"/>
      <c r="N385" s="384"/>
      <c r="O385" s="384"/>
      <c r="P385" s="384"/>
      <c r="Q385" s="384"/>
      <c r="R385" s="384"/>
      <c r="S385" s="384"/>
      <c r="T385" s="384"/>
      <c r="U385" s="384"/>
      <c r="X385" s="385"/>
      <c r="Y385" s="385"/>
      <c r="Z385" s="385"/>
      <c r="AC385" s="385"/>
      <c r="AD385" s="385"/>
      <c r="AE385" s="385"/>
      <c r="AH385" s="385"/>
      <c r="AI385" s="385"/>
      <c r="AJ385" s="385"/>
      <c r="AM385" s="385"/>
      <c r="AN385" s="385"/>
      <c r="AO385" s="385"/>
      <c r="AP385" s="385"/>
      <c r="CK385" s="381"/>
    </row>
    <row r="386" spans="2:89" s="372" customFormat="1" x14ac:dyDescent="0.3">
      <c r="B386" s="382"/>
      <c r="C386" s="383"/>
      <c r="D386" s="383"/>
      <c r="N386" s="384"/>
      <c r="O386" s="384"/>
      <c r="P386" s="384"/>
      <c r="Q386" s="384"/>
      <c r="R386" s="384"/>
      <c r="S386" s="384"/>
      <c r="T386" s="384"/>
      <c r="U386" s="384"/>
      <c r="X386" s="385"/>
      <c r="Y386" s="385"/>
      <c r="Z386" s="385"/>
      <c r="AC386" s="385"/>
      <c r="AD386" s="385"/>
      <c r="AE386" s="385"/>
      <c r="AH386" s="385"/>
      <c r="AI386" s="385"/>
      <c r="AJ386" s="385"/>
      <c r="AM386" s="385"/>
      <c r="AN386" s="385"/>
      <c r="AO386" s="385"/>
      <c r="AP386" s="385"/>
      <c r="CK386" s="381"/>
    </row>
    <row r="387" spans="2:89" s="372" customFormat="1" x14ac:dyDescent="0.3">
      <c r="B387" s="382"/>
      <c r="C387" s="383"/>
      <c r="D387" s="383"/>
      <c r="N387" s="384"/>
      <c r="O387" s="384"/>
      <c r="P387" s="384"/>
      <c r="Q387" s="384"/>
      <c r="R387" s="384"/>
      <c r="S387" s="384"/>
      <c r="T387" s="384"/>
      <c r="U387" s="384"/>
      <c r="X387" s="385"/>
      <c r="Y387" s="385"/>
      <c r="Z387" s="385"/>
      <c r="AC387" s="385"/>
      <c r="AD387" s="385"/>
      <c r="AE387" s="385"/>
      <c r="AH387" s="385"/>
      <c r="AI387" s="385"/>
      <c r="AJ387" s="385"/>
      <c r="AM387" s="385"/>
      <c r="AN387" s="385"/>
      <c r="AO387" s="385"/>
      <c r="AP387" s="385"/>
      <c r="CK387" s="381"/>
    </row>
    <row r="388" spans="2:89" s="372" customFormat="1" x14ac:dyDescent="0.3">
      <c r="B388" s="382"/>
      <c r="C388" s="383"/>
      <c r="D388" s="383"/>
      <c r="N388" s="384"/>
      <c r="O388" s="384"/>
      <c r="P388" s="384"/>
      <c r="Q388" s="384"/>
      <c r="R388" s="384"/>
      <c r="S388" s="384"/>
      <c r="T388" s="384"/>
      <c r="U388" s="384"/>
      <c r="X388" s="385"/>
      <c r="Y388" s="385"/>
      <c r="Z388" s="385"/>
      <c r="AC388" s="385"/>
      <c r="AD388" s="385"/>
      <c r="AE388" s="385"/>
      <c r="AH388" s="385"/>
      <c r="AI388" s="385"/>
      <c r="AJ388" s="385"/>
      <c r="AM388" s="385"/>
      <c r="AN388" s="385"/>
      <c r="AO388" s="385"/>
      <c r="AP388" s="385"/>
      <c r="CK388" s="381"/>
    </row>
    <row r="389" spans="2:89" s="372" customFormat="1" x14ac:dyDescent="0.3">
      <c r="B389" s="382"/>
      <c r="C389" s="383"/>
      <c r="D389" s="383"/>
      <c r="N389" s="384"/>
      <c r="O389" s="384"/>
      <c r="P389" s="384"/>
      <c r="Q389" s="384"/>
      <c r="R389" s="384"/>
      <c r="S389" s="384"/>
      <c r="T389" s="384"/>
      <c r="U389" s="384"/>
      <c r="X389" s="385"/>
      <c r="Y389" s="385"/>
      <c r="Z389" s="385"/>
      <c r="AC389" s="385"/>
      <c r="AD389" s="385"/>
      <c r="AE389" s="385"/>
      <c r="AH389" s="385"/>
      <c r="AI389" s="385"/>
      <c r="AJ389" s="385"/>
      <c r="AM389" s="385"/>
      <c r="AN389" s="385"/>
      <c r="AO389" s="385"/>
      <c r="AP389" s="385"/>
      <c r="CK389" s="381"/>
    </row>
    <row r="390" spans="2:89" s="372" customFormat="1" x14ac:dyDescent="0.3">
      <c r="B390" s="382"/>
      <c r="C390" s="383"/>
      <c r="D390" s="383"/>
      <c r="N390" s="384"/>
      <c r="O390" s="384"/>
      <c r="P390" s="384"/>
      <c r="Q390" s="384"/>
      <c r="R390" s="384"/>
      <c r="S390" s="384"/>
      <c r="T390" s="384"/>
      <c r="U390" s="384"/>
      <c r="X390" s="385"/>
      <c r="Y390" s="385"/>
      <c r="Z390" s="385"/>
      <c r="AC390" s="385"/>
      <c r="AD390" s="385"/>
      <c r="AE390" s="385"/>
      <c r="AH390" s="385"/>
      <c r="AI390" s="385"/>
      <c r="AJ390" s="385"/>
      <c r="AM390" s="385"/>
      <c r="AN390" s="385"/>
      <c r="AO390" s="385"/>
      <c r="AP390" s="385"/>
      <c r="CK390" s="381"/>
    </row>
    <row r="391" spans="2:89" s="372" customFormat="1" x14ac:dyDescent="0.3">
      <c r="B391" s="382"/>
      <c r="C391" s="383"/>
      <c r="D391" s="383"/>
      <c r="N391" s="384"/>
      <c r="O391" s="384"/>
      <c r="P391" s="384"/>
      <c r="Q391" s="384"/>
      <c r="R391" s="384"/>
      <c r="S391" s="384"/>
      <c r="T391" s="384"/>
      <c r="U391" s="384"/>
      <c r="X391" s="385"/>
      <c r="Y391" s="385"/>
      <c r="Z391" s="385"/>
      <c r="AC391" s="385"/>
      <c r="AD391" s="385"/>
      <c r="AE391" s="385"/>
      <c r="AH391" s="385"/>
      <c r="AI391" s="385"/>
      <c r="AJ391" s="385"/>
      <c r="AM391" s="385"/>
      <c r="AN391" s="385"/>
      <c r="AO391" s="385"/>
      <c r="AP391" s="385"/>
      <c r="CK391" s="381"/>
    </row>
    <row r="392" spans="2:89" s="372" customFormat="1" x14ac:dyDescent="0.3">
      <c r="B392" s="382"/>
      <c r="C392" s="383"/>
      <c r="D392" s="383"/>
      <c r="N392" s="384"/>
      <c r="O392" s="384"/>
      <c r="P392" s="384"/>
      <c r="Q392" s="384"/>
      <c r="R392" s="384"/>
      <c r="S392" s="384"/>
      <c r="T392" s="384"/>
      <c r="U392" s="384"/>
      <c r="X392" s="385"/>
      <c r="Y392" s="385"/>
      <c r="Z392" s="385"/>
      <c r="AC392" s="385"/>
      <c r="AD392" s="385"/>
      <c r="AE392" s="385"/>
      <c r="AH392" s="385"/>
      <c r="AI392" s="385"/>
      <c r="AJ392" s="385"/>
      <c r="AM392" s="385"/>
      <c r="AN392" s="385"/>
      <c r="AO392" s="385"/>
      <c r="AP392" s="385"/>
      <c r="CK392" s="381"/>
    </row>
    <row r="393" spans="2:89" s="372" customFormat="1" x14ac:dyDescent="0.3">
      <c r="B393" s="382"/>
      <c r="C393" s="383"/>
      <c r="D393" s="383"/>
      <c r="N393" s="384"/>
      <c r="O393" s="384"/>
      <c r="P393" s="384"/>
      <c r="Q393" s="384"/>
      <c r="R393" s="384"/>
      <c r="S393" s="384"/>
      <c r="T393" s="384"/>
      <c r="U393" s="384"/>
      <c r="X393" s="385"/>
      <c r="Y393" s="385"/>
      <c r="Z393" s="385"/>
      <c r="AC393" s="385"/>
      <c r="AD393" s="385"/>
      <c r="AE393" s="385"/>
      <c r="AH393" s="385"/>
      <c r="AI393" s="385"/>
      <c r="AJ393" s="385"/>
      <c r="AM393" s="385"/>
      <c r="AN393" s="385"/>
      <c r="AO393" s="385"/>
      <c r="AP393" s="385"/>
      <c r="CK393" s="381"/>
    </row>
    <row r="394" spans="2:89" s="372" customFormat="1" x14ac:dyDescent="0.3">
      <c r="B394" s="382"/>
      <c r="C394" s="383"/>
      <c r="D394" s="383"/>
      <c r="N394" s="384"/>
      <c r="O394" s="384"/>
      <c r="P394" s="384"/>
      <c r="Q394" s="384"/>
      <c r="R394" s="384"/>
      <c r="S394" s="384"/>
      <c r="T394" s="384"/>
      <c r="U394" s="384"/>
      <c r="X394" s="385"/>
      <c r="Y394" s="385"/>
      <c r="Z394" s="385"/>
      <c r="AC394" s="385"/>
      <c r="AD394" s="385"/>
      <c r="AE394" s="385"/>
      <c r="AH394" s="385"/>
      <c r="AI394" s="385"/>
      <c r="AJ394" s="385"/>
      <c r="AM394" s="385"/>
      <c r="AN394" s="385"/>
      <c r="AO394" s="385"/>
      <c r="AP394" s="385"/>
      <c r="CK394" s="381"/>
    </row>
    <row r="395" spans="2:89" s="372" customFormat="1" x14ac:dyDescent="0.3">
      <c r="B395" s="382"/>
      <c r="C395" s="383"/>
      <c r="D395" s="383"/>
      <c r="N395" s="384"/>
      <c r="O395" s="384"/>
      <c r="P395" s="384"/>
      <c r="Q395" s="384"/>
      <c r="R395" s="384"/>
      <c r="S395" s="384"/>
      <c r="T395" s="384"/>
      <c r="U395" s="384"/>
      <c r="X395" s="385"/>
      <c r="Y395" s="385"/>
      <c r="Z395" s="385"/>
      <c r="AC395" s="385"/>
      <c r="AD395" s="385"/>
      <c r="AE395" s="385"/>
      <c r="AH395" s="385"/>
      <c r="AI395" s="385"/>
      <c r="AJ395" s="385"/>
      <c r="AM395" s="385"/>
      <c r="AN395" s="385"/>
      <c r="AO395" s="385"/>
      <c r="AP395" s="385"/>
      <c r="CK395" s="381"/>
    </row>
    <row r="396" spans="2:89" s="372" customFormat="1" x14ac:dyDescent="0.3">
      <c r="B396" s="382"/>
      <c r="C396" s="383"/>
      <c r="D396" s="383"/>
      <c r="N396" s="384"/>
      <c r="O396" s="384"/>
      <c r="P396" s="384"/>
      <c r="Q396" s="384"/>
      <c r="R396" s="384"/>
      <c r="S396" s="384"/>
      <c r="T396" s="384"/>
      <c r="U396" s="384"/>
      <c r="X396" s="385"/>
      <c r="Y396" s="385"/>
      <c r="Z396" s="385"/>
      <c r="AC396" s="385"/>
      <c r="AD396" s="385"/>
      <c r="AE396" s="385"/>
      <c r="AH396" s="385"/>
      <c r="AI396" s="385"/>
      <c r="AJ396" s="385"/>
      <c r="AM396" s="385"/>
      <c r="AN396" s="385"/>
      <c r="AO396" s="385"/>
      <c r="AP396" s="385"/>
      <c r="CK396" s="381"/>
    </row>
    <row r="397" spans="2:89" s="372" customFormat="1" x14ac:dyDescent="0.3">
      <c r="B397" s="382"/>
      <c r="C397" s="383"/>
      <c r="D397" s="383"/>
      <c r="N397" s="384"/>
      <c r="O397" s="384"/>
      <c r="P397" s="384"/>
      <c r="Q397" s="384"/>
      <c r="R397" s="384"/>
      <c r="S397" s="384"/>
      <c r="T397" s="384"/>
      <c r="U397" s="384"/>
      <c r="X397" s="385"/>
      <c r="Y397" s="385"/>
      <c r="Z397" s="385"/>
      <c r="AC397" s="385"/>
      <c r="AD397" s="385"/>
      <c r="AE397" s="385"/>
      <c r="AH397" s="385"/>
      <c r="AI397" s="385"/>
      <c r="AJ397" s="385"/>
      <c r="AM397" s="385"/>
      <c r="AN397" s="385"/>
      <c r="AO397" s="385"/>
      <c r="AP397" s="385"/>
      <c r="CK397" s="381"/>
    </row>
    <row r="398" spans="2:89" s="372" customFormat="1" x14ac:dyDescent="0.3">
      <c r="B398" s="382"/>
      <c r="C398" s="383"/>
      <c r="D398" s="383"/>
      <c r="N398" s="384"/>
      <c r="O398" s="384"/>
      <c r="P398" s="384"/>
      <c r="Q398" s="384"/>
      <c r="R398" s="384"/>
      <c r="S398" s="384"/>
      <c r="T398" s="384"/>
      <c r="U398" s="384"/>
      <c r="X398" s="385"/>
      <c r="Y398" s="385"/>
      <c r="Z398" s="385"/>
      <c r="AC398" s="385"/>
      <c r="AD398" s="385"/>
      <c r="AE398" s="385"/>
      <c r="AH398" s="385"/>
      <c r="AI398" s="385"/>
      <c r="AJ398" s="385"/>
      <c r="AM398" s="385"/>
      <c r="AN398" s="385"/>
      <c r="AO398" s="385"/>
      <c r="AP398" s="385"/>
      <c r="CK398" s="381"/>
    </row>
    <row r="399" spans="2:89" s="372" customFormat="1" x14ac:dyDescent="0.3">
      <c r="B399" s="382"/>
      <c r="C399" s="383"/>
      <c r="D399" s="383"/>
      <c r="N399" s="384"/>
      <c r="O399" s="384"/>
      <c r="P399" s="384"/>
      <c r="Q399" s="384"/>
      <c r="R399" s="384"/>
      <c r="S399" s="384"/>
      <c r="T399" s="384"/>
      <c r="U399" s="384"/>
      <c r="X399" s="385"/>
      <c r="Y399" s="385"/>
      <c r="Z399" s="385"/>
      <c r="AC399" s="385"/>
      <c r="AD399" s="385"/>
      <c r="AE399" s="385"/>
      <c r="AH399" s="385"/>
      <c r="AI399" s="385"/>
      <c r="AJ399" s="385"/>
      <c r="AM399" s="385"/>
      <c r="AN399" s="385"/>
      <c r="AO399" s="385"/>
      <c r="AP399" s="385"/>
      <c r="CK399" s="381"/>
    </row>
    <row r="400" spans="2:89" s="372" customFormat="1" x14ac:dyDescent="0.3">
      <c r="B400" s="382"/>
      <c r="C400" s="383"/>
      <c r="D400" s="383"/>
      <c r="N400" s="384"/>
      <c r="O400" s="384"/>
      <c r="P400" s="384"/>
      <c r="Q400" s="384"/>
      <c r="R400" s="384"/>
      <c r="S400" s="384"/>
      <c r="T400" s="384"/>
      <c r="U400" s="384"/>
      <c r="X400" s="385"/>
      <c r="Y400" s="385"/>
      <c r="Z400" s="385"/>
      <c r="AC400" s="385"/>
      <c r="AD400" s="385"/>
      <c r="AE400" s="385"/>
      <c r="AH400" s="385"/>
      <c r="AI400" s="385"/>
      <c r="AJ400" s="385"/>
      <c r="AM400" s="385"/>
      <c r="AN400" s="385"/>
      <c r="AO400" s="385"/>
      <c r="AP400" s="385"/>
      <c r="CK400" s="381"/>
    </row>
    <row r="401" spans="2:89" s="372" customFormat="1" x14ac:dyDescent="0.3">
      <c r="B401" s="382"/>
      <c r="C401" s="383"/>
      <c r="D401" s="383"/>
      <c r="N401" s="384"/>
      <c r="O401" s="384"/>
      <c r="P401" s="384"/>
      <c r="Q401" s="384"/>
      <c r="R401" s="384"/>
      <c r="S401" s="384"/>
      <c r="T401" s="384"/>
      <c r="U401" s="384"/>
      <c r="X401" s="385"/>
      <c r="Y401" s="385"/>
      <c r="Z401" s="385"/>
      <c r="AC401" s="385"/>
      <c r="AD401" s="385"/>
      <c r="AE401" s="385"/>
      <c r="AH401" s="385"/>
      <c r="AI401" s="385"/>
      <c r="AJ401" s="385"/>
      <c r="AM401" s="385"/>
      <c r="AN401" s="385"/>
      <c r="AO401" s="385"/>
      <c r="AP401" s="385"/>
      <c r="CK401" s="381"/>
    </row>
    <row r="402" spans="2:89" s="372" customFormat="1" x14ac:dyDescent="0.3">
      <c r="B402" s="382"/>
      <c r="C402" s="383"/>
      <c r="D402" s="383"/>
      <c r="N402" s="384"/>
      <c r="O402" s="384"/>
      <c r="P402" s="384"/>
      <c r="Q402" s="384"/>
      <c r="R402" s="384"/>
      <c r="S402" s="384"/>
      <c r="T402" s="384"/>
      <c r="U402" s="384"/>
      <c r="X402" s="385"/>
      <c r="Y402" s="385"/>
      <c r="Z402" s="385"/>
      <c r="AC402" s="385"/>
      <c r="AD402" s="385"/>
      <c r="AE402" s="385"/>
      <c r="AH402" s="385"/>
      <c r="AI402" s="385"/>
      <c r="AJ402" s="385"/>
      <c r="AM402" s="385"/>
      <c r="AN402" s="385"/>
      <c r="AO402" s="385"/>
      <c r="AP402" s="385"/>
      <c r="CK402" s="381"/>
    </row>
    <row r="403" spans="2:89" s="372" customFormat="1" x14ac:dyDescent="0.3">
      <c r="B403" s="382"/>
      <c r="C403" s="383"/>
      <c r="D403" s="383"/>
      <c r="N403" s="384"/>
      <c r="O403" s="384"/>
      <c r="P403" s="384"/>
      <c r="Q403" s="384"/>
      <c r="R403" s="384"/>
      <c r="S403" s="384"/>
      <c r="T403" s="384"/>
      <c r="U403" s="384"/>
      <c r="X403" s="385"/>
      <c r="Y403" s="385"/>
      <c r="Z403" s="385"/>
      <c r="AC403" s="385"/>
      <c r="AD403" s="385"/>
      <c r="AE403" s="385"/>
      <c r="AH403" s="385"/>
      <c r="AI403" s="385"/>
      <c r="AJ403" s="385"/>
      <c r="AM403" s="385"/>
      <c r="AN403" s="385"/>
      <c r="AO403" s="385"/>
      <c r="AP403" s="385"/>
      <c r="CK403" s="381"/>
    </row>
    <row r="404" spans="2:89" s="372" customFormat="1" x14ac:dyDescent="0.3">
      <c r="B404" s="382"/>
      <c r="C404" s="383"/>
      <c r="D404" s="383"/>
      <c r="N404" s="384"/>
      <c r="O404" s="384"/>
      <c r="P404" s="384"/>
      <c r="Q404" s="384"/>
      <c r="R404" s="384"/>
      <c r="S404" s="384"/>
      <c r="T404" s="384"/>
      <c r="U404" s="384"/>
      <c r="X404" s="385"/>
      <c r="Y404" s="385"/>
      <c r="Z404" s="385"/>
      <c r="AC404" s="385"/>
      <c r="AD404" s="385"/>
      <c r="AE404" s="385"/>
      <c r="AH404" s="385"/>
      <c r="AI404" s="385"/>
      <c r="AJ404" s="385"/>
      <c r="AM404" s="385"/>
      <c r="AN404" s="385"/>
      <c r="AO404" s="385"/>
      <c r="AP404" s="385"/>
      <c r="CK404" s="381"/>
    </row>
    <row r="405" spans="2:89" s="372" customFormat="1" x14ac:dyDescent="0.3">
      <c r="B405" s="382"/>
      <c r="C405" s="383"/>
      <c r="D405" s="383"/>
      <c r="N405" s="384"/>
      <c r="O405" s="384"/>
      <c r="P405" s="384"/>
      <c r="Q405" s="384"/>
      <c r="R405" s="384"/>
      <c r="S405" s="384"/>
      <c r="T405" s="384"/>
      <c r="U405" s="384"/>
      <c r="X405" s="385"/>
      <c r="Y405" s="385"/>
      <c r="Z405" s="385"/>
      <c r="AC405" s="385"/>
      <c r="AD405" s="385"/>
      <c r="AE405" s="385"/>
      <c r="AH405" s="385"/>
      <c r="AI405" s="385"/>
      <c r="AJ405" s="385"/>
      <c r="AM405" s="385"/>
      <c r="AN405" s="385"/>
      <c r="AO405" s="385"/>
      <c r="AP405" s="385"/>
      <c r="CK405" s="381"/>
    </row>
    <row r="406" spans="2:89" s="372" customFormat="1" x14ac:dyDescent="0.3">
      <c r="B406" s="382"/>
      <c r="C406" s="383"/>
      <c r="D406" s="383"/>
      <c r="N406" s="384"/>
      <c r="O406" s="384"/>
      <c r="P406" s="384"/>
      <c r="Q406" s="384"/>
      <c r="R406" s="384"/>
      <c r="S406" s="384"/>
      <c r="T406" s="384"/>
      <c r="U406" s="384"/>
      <c r="X406" s="385"/>
      <c r="Y406" s="385"/>
      <c r="Z406" s="385"/>
      <c r="AC406" s="385"/>
      <c r="AD406" s="385"/>
      <c r="AE406" s="385"/>
      <c r="AH406" s="385"/>
      <c r="AI406" s="385"/>
      <c r="AJ406" s="385"/>
      <c r="AM406" s="385"/>
      <c r="AN406" s="385"/>
      <c r="AO406" s="385"/>
      <c r="AP406" s="385"/>
      <c r="CK406" s="381"/>
    </row>
    <row r="407" spans="2:89" s="372" customFormat="1" x14ac:dyDescent="0.3">
      <c r="B407" s="382"/>
      <c r="C407" s="383"/>
      <c r="D407" s="383"/>
      <c r="N407" s="384"/>
      <c r="O407" s="384"/>
      <c r="P407" s="384"/>
      <c r="Q407" s="384"/>
      <c r="R407" s="384"/>
      <c r="S407" s="384"/>
      <c r="T407" s="384"/>
      <c r="U407" s="384"/>
      <c r="X407" s="385"/>
      <c r="Y407" s="385"/>
      <c r="Z407" s="385"/>
      <c r="AC407" s="385"/>
      <c r="AD407" s="385"/>
      <c r="AE407" s="385"/>
      <c r="AH407" s="385"/>
      <c r="AI407" s="385"/>
      <c r="AJ407" s="385"/>
      <c r="AM407" s="385"/>
      <c r="AN407" s="385"/>
      <c r="AO407" s="385"/>
      <c r="AP407" s="385"/>
      <c r="CK407" s="381"/>
    </row>
    <row r="408" spans="2:89" s="372" customFormat="1" x14ac:dyDescent="0.3">
      <c r="B408" s="382"/>
      <c r="C408" s="383"/>
      <c r="D408" s="383"/>
      <c r="N408" s="384"/>
      <c r="O408" s="384"/>
      <c r="P408" s="384"/>
      <c r="Q408" s="384"/>
      <c r="R408" s="384"/>
      <c r="S408" s="384"/>
      <c r="T408" s="384"/>
      <c r="U408" s="384"/>
      <c r="X408" s="385"/>
      <c r="Y408" s="385"/>
      <c r="Z408" s="385"/>
      <c r="AC408" s="385"/>
      <c r="AD408" s="385"/>
      <c r="AE408" s="385"/>
      <c r="AH408" s="385"/>
      <c r="AI408" s="385"/>
      <c r="AJ408" s="385"/>
      <c r="AM408" s="385"/>
      <c r="AN408" s="385"/>
      <c r="AO408" s="385"/>
      <c r="AP408" s="385"/>
      <c r="CK408" s="381"/>
    </row>
    <row r="409" spans="2:89" s="372" customFormat="1" x14ac:dyDescent="0.3">
      <c r="B409" s="382"/>
      <c r="C409" s="383"/>
      <c r="D409" s="383"/>
      <c r="N409" s="384"/>
      <c r="O409" s="384"/>
      <c r="P409" s="384"/>
      <c r="Q409" s="384"/>
      <c r="R409" s="384"/>
      <c r="S409" s="384"/>
      <c r="T409" s="384"/>
      <c r="U409" s="384"/>
      <c r="X409" s="385"/>
      <c r="Y409" s="385"/>
      <c r="Z409" s="385"/>
      <c r="AC409" s="385"/>
      <c r="AD409" s="385"/>
      <c r="AE409" s="385"/>
      <c r="AH409" s="385"/>
      <c r="AI409" s="385"/>
      <c r="AJ409" s="385"/>
      <c r="AM409" s="385"/>
      <c r="AN409" s="385"/>
      <c r="AO409" s="385"/>
      <c r="AP409" s="385"/>
      <c r="CK409" s="381"/>
    </row>
    <row r="410" spans="2:89" s="372" customFormat="1" x14ac:dyDescent="0.3">
      <c r="B410" s="382"/>
      <c r="C410" s="383"/>
      <c r="D410" s="383"/>
      <c r="N410" s="384"/>
      <c r="O410" s="384"/>
      <c r="P410" s="384"/>
      <c r="Q410" s="384"/>
      <c r="R410" s="384"/>
      <c r="S410" s="384"/>
      <c r="T410" s="384"/>
      <c r="U410" s="384"/>
      <c r="X410" s="385"/>
      <c r="Y410" s="385"/>
      <c r="Z410" s="385"/>
      <c r="AC410" s="385"/>
      <c r="AD410" s="385"/>
      <c r="AE410" s="385"/>
      <c r="AH410" s="385"/>
      <c r="AI410" s="385"/>
      <c r="AJ410" s="385"/>
      <c r="AM410" s="385"/>
      <c r="AN410" s="385"/>
      <c r="AO410" s="385"/>
      <c r="AP410" s="385"/>
      <c r="CK410" s="381"/>
    </row>
    <row r="411" spans="2:89" s="372" customFormat="1" x14ac:dyDescent="0.3">
      <c r="B411" s="382"/>
      <c r="C411" s="383"/>
      <c r="D411" s="383"/>
      <c r="N411" s="384"/>
      <c r="O411" s="384"/>
      <c r="P411" s="384"/>
      <c r="Q411" s="384"/>
      <c r="R411" s="384"/>
      <c r="S411" s="384"/>
      <c r="T411" s="384"/>
      <c r="U411" s="384"/>
      <c r="X411" s="385"/>
      <c r="Y411" s="385"/>
      <c r="Z411" s="385"/>
      <c r="AC411" s="385"/>
      <c r="AD411" s="385"/>
      <c r="AE411" s="385"/>
      <c r="AH411" s="385"/>
      <c r="AI411" s="385"/>
      <c r="AJ411" s="385"/>
      <c r="AM411" s="385"/>
      <c r="AN411" s="385"/>
      <c r="AO411" s="385"/>
      <c r="AP411" s="385"/>
      <c r="CK411" s="381"/>
    </row>
    <row r="412" spans="2:89" s="372" customFormat="1" x14ac:dyDescent="0.3">
      <c r="B412" s="382"/>
      <c r="C412" s="383"/>
      <c r="D412" s="383"/>
      <c r="N412" s="384"/>
      <c r="O412" s="384"/>
      <c r="P412" s="384"/>
      <c r="Q412" s="384"/>
      <c r="R412" s="384"/>
      <c r="S412" s="384"/>
      <c r="T412" s="384"/>
      <c r="U412" s="384"/>
      <c r="X412" s="385"/>
      <c r="Y412" s="385"/>
      <c r="Z412" s="385"/>
      <c r="AC412" s="385"/>
      <c r="AD412" s="385"/>
      <c r="AE412" s="385"/>
      <c r="AH412" s="385"/>
      <c r="AI412" s="385"/>
      <c r="AJ412" s="385"/>
      <c r="AM412" s="385"/>
      <c r="AN412" s="385"/>
      <c r="AO412" s="385"/>
      <c r="AP412" s="385"/>
      <c r="CK412" s="381"/>
    </row>
    <row r="413" spans="2:89" s="372" customFormat="1" x14ac:dyDescent="0.3">
      <c r="B413" s="382"/>
      <c r="C413" s="383"/>
      <c r="D413" s="383"/>
      <c r="N413" s="384"/>
      <c r="O413" s="384"/>
      <c r="P413" s="384"/>
      <c r="Q413" s="384"/>
      <c r="R413" s="384"/>
      <c r="S413" s="384"/>
      <c r="T413" s="384"/>
      <c r="U413" s="384"/>
      <c r="X413" s="385"/>
      <c r="Y413" s="385"/>
      <c r="Z413" s="385"/>
      <c r="AC413" s="385"/>
      <c r="AD413" s="385"/>
      <c r="AE413" s="385"/>
      <c r="AH413" s="385"/>
      <c r="AI413" s="385"/>
      <c r="AJ413" s="385"/>
      <c r="AM413" s="385"/>
      <c r="AN413" s="385"/>
      <c r="AO413" s="385"/>
      <c r="AP413" s="385"/>
      <c r="CK413" s="381"/>
    </row>
    <row r="414" spans="2:89" s="372" customFormat="1" x14ac:dyDescent="0.3">
      <c r="B414" s="382"/>
      <c r="C414" s="383"/>
      <c r="D414" s="383"/>
      <c r="N414" s="384"/>
      <c r="O414" s="384"/>
      <c r="P414" s="384"/>
      <c r="Q414" s="384"/>
      <c r="R414" s="384"/>
      <c r="S414" s="384"/>
      <c r="T414" s="384"/>
      <c r="U414" s="384"/>
      <c r="X414" s="385"/>
      <c r="Y414" s="385"/>
      <c r="Z414" s="385"/>
      <c r="AC414" s="385"/>
      <c r="AD414" s="385"/>
      <c r="AE414" s="385"/>
      <c r="AH414" s="385"/>
      <c r="AI414" s="385"/>
      <c r="AJ414" s="385"/>
      <c r="AM414" s="385"/>
      <c r="AN414" s="385"/>
      <c r="AO414" s="385"/>
      <c r="AP414" s="385"/>
      <c r="CK414" s="381"/>
    </row>
    <row r="415" spans="2:89" s="372" customFormat="1" x14ac:dyDescent="0.3">
      <c r="B415" s="382"/>
      <c r="C415" s="383"/>
      <c r="D415" s="383"/>
      <c r="N415" s="384"/>
      <c r="O415" s="384"/>
      <c r="P415" s="384"/>
      <c r="Q415" s="384"/>
      <c r="R415" s="384"/>
      <c r="S415" s="384"/>
      <c r="T415" s="384"/>
      <c r="U415" s="384"/>
      <c r="X415" s="385"/>
      <c r="Y415" s="385"/>
      <c r="Z415" s="385"/>
      <c r="AC415" s="385"/>
      <c r="AD415" s="385"/>
      <c r="AE415" s="385"/>
      <c r="AH415" s="385"/>
      <c r="AI415" s="385"/>
      <c r="AJ415" s="385"/>
      <c r="AM415" s="385"/>
      <c r="AN415" s="385"/>
      <c r="AO415" s="385"/>
      <c r="AP415" s="385"/>
      <c r="CK415" s="381"/>
    </row>
    <row r="416" spans="2:89" s="372" customFormat="1" x14ac:dyDescent="0.3">
      <c r="B416" s="382"/>
      <c r="C416" s="383"/>
      <c r="D416" s="383"/>
      <c r="N416" s="384"/>
      <c r="O416" s="384"/>
      <c r="P416" s="384"/>
      <c r="Q416" s="384"/>
      <c r="R416" s="384"/>
      <c r="S416" s="384"/>
      <c r="T416" s="384"/>
      <c r="U416" s="384"/>
      <c r="X416" s="385"/>
      <c r="Y416" s="385"/>
      <c r="Z416" s="385"/>
      <c r="AC416" s="385"/>
      <c r="AD416" s="385"/>
      <c r="AE416" s="385"/>
      <c r="AH416" s="385"/>
      <c r="AI416" s="385"/>
      <c r="AJ416" s="385"/>
      <c r="AM416" s="385"/>
      <c r="AN416" s="385"/>
      <c r="AO416" s="385"/>
      <c r="AP416" s="385"/>
      <c r="CK416" s="381"/>
    </row>
    <row r="417" spans="2:89" s="372" customFormat="1" x14ac:dyDescent="0.3">
      <c r="B417" s="382"/>
      <c r="C417" s="383"/>
      <c r="D417" s="383"/>
      <c r="N417" s="384"/>
      <c r="O417" s="384"/>
      <c r="P417" s="384"/>
      <c r="Q417" s="384"/>
      <c r="R417" s="384"/>
      <c r="S417" s="384"/>
      <c r="T417" s="384"/>
      <c r="U417" s="384"/>
      <c r="X417" s="385"/>
      <c r="Y417" s="385"/>
      <c r="Z417" s="385"/>
      <c r="AC417" s="385"/>
      <c r="AD417" s="385"/>
      <c r="AE417" s="385"/>
      <c r="AH417" s="385"/>
      <c r="AI417" s="385"/>
      <c r="AJ417" s="385"/>
      <c r="AM417" s="385"/>
      <c r="AN417" s="385"/>
      <c r="AO417" s="385"/>
      <c r="AP417" s="385"/>
      <c r="CK417" s="381"/>
    </row>
    <row r="418" spans="2:89" s="372" customFormat="1" x14ac:dyDescent="0.3">
      <c r="B418" s="382"/>
      <c r="C418" s="383"/>
      <c r="D418" s="383"/>
      <c r="N418" s="384"/>
      <c r="O418" s="384"/>
      <c r="P418" s="384"/>
      <c r="Q418" s="384"/>
      <c r="R418" s="384"/>
      <c r="S418" s="384"/>
      <c r="T418" s="384"/>
      <c r="U418" s="384"/>
      <c r="X418" s="385"/>
      <c r="Y418" s="385"/>
      <c r="Z418" s="385"/>
      <c r="AC418" s="385"/>
      <c r="AD418" s="385"/>
      <c r="AE418" s="385"/>
      <c r="AH418" s="385"/>
      <c r="AI418" s="385"/>
      <c r="AJ418" s="385"/>
      <c r="AM418" s="385"/>
      <c r="AN418" s="385"/>
      <c r="AO418" s="385"/>
      <c r="AP418" s="385"/>
      <c r="CK418" s="381"/>
    </row>
    <row r="419" spans="2:89" s="372" customFormat="1" x14ac:dyDescent="0.3">
      <c r="B419" s="382"/>
      <c r="C419" s="383"/>
      <c r="D419" s="383"/>
      <c r="N419" s="384"/>
      <c r="O419" s="384"/>
      <c r="P419" s="384"/>
      <c r="Q419" s="384"/>
      <c r="R419" s="384"/>
      <c r="S419" s="384"/>
      <c r="T419" s="384"/>
      <c r="U419" s="384"/>
      <c r="X419" s="385"/>
      <c r="Y419" s="385"/>
      <c r="Z419" s="385"/>
      <c r="AC419" s="385"/>
      <c r="AD419" s="385"/>
      <c r="AE419" s="385"/>
      <c r="AH419" s="385"/>
      <c r="AI419" s="385"/>
      <c r="AJ419" s="385"/>
      <c r="AM419" s="385"/>
      <c r="AN419" s="385"/>
      <c r="AO419" s="385"/>
      <c r="AP419" s="385"/>
      <c r="CK419" s="381"/>
    </row>
    <row r="420" spans="2:89" s="372" customFormat="1" x14ac:dyDescent="0.3">
      <c r="B420" s="382"/>
      <c r="C420" s="383"/>
      <c r="D420" s="383"/>
      <c r="N420" s="384"/>
      <c r="O420" s="384"/>
      <c r="P420" s="384"/>
      <c r="Q420" s="384"/>
      <c r="R420" s="384"/>
      <c r="S420" s="384"/>
      <c r="T420" s="384"/>
      <c r="U420" s="384"/>
      <c r="X420" s="385"/>
      <c r="Y420" s="385"/>
      <c r="Z420" s="385"/>
      <c r="AC420" s="385"/>
      <c r="AD420" s="385"/>
      <c r="AE420" s="385"/>
      <c r="AH420" s="385"/>
      <c r="AI420" s="385"/>
      <c r="AJ420" s="385"/>
      <c r="AM420" s="385"/>
      <c r="AN420" s="385"/>
      <c r="AO420" s="385"/>
      <c r="AP420" s="385"/>
      <c r="CK420" s="381"/>
    </row>
    <row r="421" spans="2:89" s="372" customFormat="1" x14ac:dyDescent="0.3">
      <c r="B421" s="382"/>
      <c r="C421" s="383"/>
      <c r="D421" s="383"/>
      <c r="N421" s="384"/>
      <c r="O421" s="384"/>
      <c r="P421" s="384"/>
      <c r="Q421" s="384"/>
      <c r="R421" s="384"/>
      <c r="S421" s="384"/>
      <c r="T421" s="384"/>
      <c r="U421" s="384"/>
      <c r="X421" s="385"/>
      <c r="Y421" s="385"/>
      <c r="Z421" s="385"/>
      <c r="AC421" s="385"/>
      <c r="AD421" s="385"/>
      <c r="AE421" s="385"/>
      <c r="AH421" s="385"/>
      <c r="AI421" s="385"/>
      <c r="AJ421" s="385"/>
      <c r="AM421" s="385"/>
      <c r="AN421" s="385"/>
      <c r="AO421" s="385"/>
      <c r="AP421" s="385"/>
      <c r="CK421" s="381"/>
    </row>
    <row r="422" spans="2:89" s="372" customFormat="1" x14ac:dyDescent="0.3">
      <c r="B422" s="382"/>
      <c r="C422" s="383"/>
      <c r="D422" s="383"/>
      <c r="N422" s="384"/>
      <c r="O422" s="384"/>
      <c r="P422" s="384"/>
      <c r="Q422" s="384"/>
      <c r="R422" s="384"/>
      <c r="S422" s="384"/>
      <c r="T422" s="384"/>
      <c r="U422" s="384"/>
      <c r="X422" s="385"/>
      <c r="Y422" s="385"/>
      <c r="Z422" s="385"/>
      <c r="AC422" s="385"/>
      <c r="AD422" s="385"/>
      <c r="AE422" s="385"/>
      <c r="AH422" s="385"/>
      <c r="AI422" s="385"/>
      <c r="AJ422" s="385"/>
      <c r="AM422" s="385"/>
      <c r="AN422" s="385"/>
      <c r="AO422" s="385"/>
      <c r="AP422" s="385"/>
      <c r="CK422" s="381"/>
    </row>
    <row r="423" spans="2:89" s="372" customFormat="1" x14ac:dyDescent="0.3">
      <c r="B423" s="382"/>
      <c r="C423" s="383"/>
      <c r="D423" s="383"/>
      <c r="N423" s="384"/>
      <c r="O423" s="384"/>
      <c r="P423" s="384"/>
      <c r="Q423" s="384"/>
      <c r="R423" s="384"/>
      <c r="S423" s="384"/>
      <c r="T423" s="384"/>
      <c r="U423" s="384"/>
      <c r="X423" s="385"/>
      <c r="Y423" s="385"/>
      <c r="Z423" s="385"/>
      <c r="AC423" s="385"/>
      <c r="AD423" s="385"/>
      <c r="AE423" s="385"/>
      <c r="AH423" s="385"/>
      <c r="AI423" s="385"/>
      <c r="AJ423" s="385"/>
      <c r="AM423" s="385"/>
      <c r="AN423" s="385"/>
      <c r="AO423" s="385"/>
      <c r="AP423" s="385"/>
      <c r="CK423" s="381"/>
    </row>
    <row r="424" spans="2:89" s="372" customFormat="1" x14ac:dyDescent="0.3">
      <c r="B424" s="382"/>
      <c r="C424" s="383"/>
      <c r="D424" s="383"/>
      <c r="N424" s="384"/>
      <c r="O424" s="384"/>
      <c r="P424" s="384"/>
      <c r="Q424" s="384"/>
      <c r="R424" s="384"/>
      <c r="S424" s="384"/>
      <c r="T424" s="384"/>
      <c r="U424" s="384"/>
      <c r="X424" s="385"/>
      <c r="Y424" s="385"/>
      <c r="Z424" s="385"/>
      <c r="AC424" s="385"/>
      <c r="AD424" s="385"/>
      <c r="AE424" s="385"/>
      <c r="AH424" s="385"/>
      <c r="AI424" s="385"/>
      <c r="AJ424" s="385"/>
      <c r="AM424" s="385"/>
      <c r="AN424" s="385"/>
      <c r="AO424" s="385"/>
      <c r="AP424" s="385"/>
      <c r="CK424" s="381"/>
    </row>
    <row r="425" spans="2:89" s="372" customFormat="1" x14ac:dyDescent="0.3">
      <c r="B425" s="382"/>
      <c r="C425" s="383"/>
      <c r="D425" s="383"/>
      <c r="N425" s="384"/>
      <c r="O425" s="384"/>
      <c r="P425" s="384"/>
      <c r="Q425" s="384"/>
      <c r="R425" s="384"/>
      <c r="S425" s="384"/>
      <c r="T425" s="384"/>
      <c r="U425" s="384"/>
      <c r="X425" s="385"/>
      <c r="Y425" s="385"/>
      <c r="Z425" s="385"/>
      <c r="AC425" s="385"/>
      <c r="AD425" s="385"/>
      <c r="AE425" s="385"/>
      <c r="AH425" s="385"/>
      <c r="AI425" s="385"/>
      <c r="AJ425" s="385"/>
      <c r="AM425" s="385"/>
      <c r="AN425" s="385"/>
      <c r="AO425" s="385"/>
      <c r="AP425" s="385"/>
      <c r="CK425" s="381"/>
    </row>
    <row r="426" spans="2:89" s="372" customFormat="1" x14ac:dyDescent="0.3">
      <c r="B426" s="382"/>
      <c r="C426" s="383"/>
      <c r="D426" s="383"/>
      <c r="N426" s="384"/>
      <c r="O426" s="384"/>
      <c r="P426" s="384"/>
      <c r="Q426" s="384"/>
      <c r="R426" s="384"/>
      <c r="S426" s="384"/>
      <c r="T426" s="384"/>
      <c r="U426" s="384"/>
      <c r="X426" s="385"/>
      <c r="Y426" s="385"/>
      <c r="Z426" s="385"/>
      <c r="AC426" s="385"/>
      <c r="AD426" s="385"/>
      <c r="AE426" s="385"/>
      <c r="AH426" s="385"/>
      <c r="AI426" s="385"/>
      <c r="AJ426" s="385"/>
      <c r="AM426" s="385"/>
      <c r="AN426" s="385"/>
      <c r="AO426" s="385"/>
      <c r="AP426" s="385"/>
      <c r="CK426" s="381"/>
    </row>
    <row r="427" spans="2:89" s="372" customFormat="1" x14ac:dyDescent="0.3">
      <c r="B427" s="382"/>
      <c r="C427" s="383"/>
      <c r="D427" s="383"/>
      <c r="N427" s="384"/>
      <c r="O427" s="384"/>
      <c r="P427" s="384"/>
      <c r="Q427" s="384"/>
      <c r="R427" s="384"/>
      <c r="S427" s="384"/>
      <c r="T427" s="384"/>
      <c r="U427" s="384"/>
      <c r="X427" s="385"/>
      <c r="Y427" s="385"/>
      <c r="Z427" s="385"/>
      <c r="AC427" s="385"/>
      <c r="AD427" s="385"/>
      <c r="AE427" s="385"/>
      <c r="AH427" s="385"/>
      <c r="AI427" s="385"/>
      <c r="AJ427" s="385"/>
      <c r="AM427" s="385"/>
      <c r="AN427" s="385"/>
      <c r="AO427" s="385"/>
      <c r="AP427" s="385"/>
      <c r="CK427" s="381"/>
    </row>
    <row r="428" spans="2:89" s="372" customFormat="1" x14ac:dyDescent="0.3">
      <c r="B428" s="382"/>
      <c r="C428" s="383"/>
      <c r="D428" s="383"/>
      <c r="N428" s="384"/>
      <c r="O428" s="384"/>
      <c r="P428" s="384"/>
      <c r="Q428" s="384"/>
      <c r="R428" s="384"/>
      <c r="S428" s="384"/>
      <c r="T428" s="384"/>
      <c r="U428" s="384"/>
      <c r="X428" s="385"/>
      <c r="Y428" s="385"/>
      <c r="Z428" s="385"/>
      <c r="AC428" s="385"/>
      <c r="AD428" s="385"/>
      <c r="AE428" s="385"/>
      <c r="AH428" s="385"/>
      <c r="AI428" s="385"/>
      <c r="AJ428" s="385"/>
      <c r="AM428" s="385"/>
      <c r="AN428" s="385"/>
      <c r="AO428" s="385"/>
      <c r="AP428" s="385"/>
      <c r="CK428" s="381"/>
    </row>
    <row r="429" spans="2:89" s="372" customFormat="1" x14ac:dyDescent="0.3">
      <c r="B429" s="382"/>
      <c r="C429" s="383"/>
      <c r="D429" s="383"/>
      <c r="N429" s="384"/>
      <c r="O429" s="384"/>
      <c r="P429" s="384"/>
      <c r="Q429" s="384"/>
      <c r="R429" s="384"/>
      <c r="S429" s="384"/>
      <c r="T429" s="384"/>
      <c r="U429" s="384"/>
      <c r="X429" s="385"/>
      <c r="Y429" s="385"/>
      <c r="Z429" s="385"/>
      <c r="AC429" s="385"/>
      <c r="AD429" s="385"/>
      <c r="AE429" s="385"/>
      <c r="AH429" s="385"/>
      <c r="AI429" s="385"/>
      <c r="AJ429" s="385"/>
      <c r="AM429" s="385"/>
      <c r="AN429" s="385"/>
      <c r="AO429" s="385"/>
      <c r="AP429" s="385"/>
      <c r="CK429" s="381"/>
    </row>
    <row r="430" spans="2:89" s="372" customFormat="1" x14ac:dyDescent="0.3">
      <c r="B430" s="382"/>
      <c r="C430" s="383"/>
      <c r="D430" s="383"/>
      <c r="N430" s="384"/>
      <c r="O430" s="384"/>
      <c r="P430" s="384"/>
      <c r="Q430" s="384"/>
      <c r="R430" s="384"/>
      <c r="S430" s="384"/>
      <c r="T430" s="384"/>
      <c r="U430" s="384"/>
      <c r="X430" s="385"/>
      <c r="Y430" s="385"/>
      <c r="Z430" s="385"/>
      <c r="AC430" s="385"/>
      <c r="AD430" s="385"/>
      <c r="AE430" s="385"/>
      <c r="AH430" s="385"/>
      <c r="AI430" s="385"/>
      <c r="AJ430" s="385"/>
      <c r="AM430" s="385"/>
      <c r="AN430" s="385"/>
      <c r="AO430" s="385"/>
      <c r="AP430" s="385"/>
      <c r="CK430" s="381"/>
    </row>
    <row r="431" spans="2:89" s="372" customFormat="1" x14ac:dyDescent="0.3">
      <c r="B431" s="382"/>
      <c r="C431" s="383"/>
      <c r="D431" s="383"/>
      <c r="N431" s="384"/>
      <c r="O431" s="384"/>
      <c r="P431" s="384"/>
      <c r="Q431" s="384"/>
      <c r="R431" s="384"/>
      <c r="S431" s="384"/>
      <c r="T431" s="384"/>
      <c r="U431" s="384"/>
      <c r="X431" s="385"/>
      <c r="Y431" s="385"/>
      <c r="Z431" s="385"/>
      <c r="AC431" s="385"/>
      <c r="AD431" s="385"/>
      <c r="AE431" s="385"/>
      <c r="AH431" s="385"/>
      <c r="AI431" s="385"/>
      <c r="AJ431" s="385"/>
      <c r="AM431" s="385"/>
      <c r="AN431" s="385"/>
      <c r="AO431" s="385"/>
      <c r="AP431" s="385"/>
      <c r="CK431" s="381"/>
    </row>
    <row r="432" spans="2:89" s="372" customFormat="1" x14ac:dyDescent="0.3">
      <c r="B432" s="382"/>
      <c r="C432" s="383"/>
      <c r="D432" s="383"/>
      <c r="N432" s="384"/>
      <c r="O432" s="384"/>
      <c r="P432" s="384"/>
      <c r="Q432" s="384"/>
      <c r="R432" s="384"/>
      <c r="S432" s="384"/>
      <c r="T432" s="384"/>
      <c r="U432" s="384"/>
      <c r="X432" s="385"/>
      <c r="Y432" s="385"/>
      <c r="Z432" s="385"/>
      <c r="AC432" s="385"/>
      <c r="AD432" s="385"/>
      <c r="AE432" s="385"/>
      <c r="AH432" s="385"/>
      <c r="AI432" s="385"/>
      <c r="AJ432" s="385"/>
      <c r="AM432" s="385"/>
      <c r="AN432" s="385"/>
      <c r="AO432" s="385"/>
      <c r="AP432" s="385"/>
      <c r="CK432" s="381"/>
    </row>
    <row r="433" spans="2:89" s="372" customFormat="1" x14ac:dyDescent="0.3">
      <c r="B433" s="382"/>
      <c r="C433" s="383"/>
      <c r="D433" s="383"/>
      <c r="N433" s="384"/>
      <c r="O433" s="384"/>
      <c r="P433" s="384"/>
      <c r="Q433" s="384"/>
      <c r="R433" s="384"/>
      <c r="S433" s="384"/>
      <c r="T433" s="384"/>
      <c r="U433" s="384"/>
      <c r="X433" s="385"/>
      <c r="Y433" s="385"/>
      <c r="Z433" s="385"/>
      <c r="AC433" s="385"/>
      <c r="AD433" s="385"/>
      <c r="AE433" s="385"/>
      <c r="AH433" s="385"/>
      <c r="AI433" s="385"/>
      <c r="AJ433" s="385"/>
      <c r="AM433" s="385"/>
      <c r="AN433" s="385"/>
      <c r="AO433" s="385"/>
      <c r="AP433" s="385"/>
      <c r="CK433" s="381"/>
    </row>
    <row r="434" spans="2:89" s="372" customFormat="1" x14ac:dyDescent="0.3">
      <c r="B434" s="382"/>
      <c r="C434" s="383"/>
      <c r="D434" s="383"/>
      <c r="N434" s="384"/>
      <c r="O434" s="384"/>
      <c r="P434" s="384"/>
      <c r="Q434" s="384"/>
      <c r="R434" s="384"/>
      <c r="S434" s="384"/>
      <c r="T434" s="384"/>
      <c r="U434" s="384"/>
      <c r="X434" s="385"/>
      <c r="Y434" s="385"/>
      <c r="Z434" s="385"/>
      <c r="AC434" s="385"/>
      <c r="AD434" s="385"/>
      <c r="AE434" s="385"/>
      <c r="AH434" s="385"/>
      <c r="AI434" s="385"/>
      <c r="AJ434" s="385"/>
      <c r="AM434" s="385"/>
      <c r="AN434" s="385"/>
      <c r="AO434" s="385"/>
      <c r="AP434" s="385"/>
      <c r="CK434" s="381"/>
    </row>
    <row r="435" spans="2:89" s="372" customFormat="1" x14ac:dyDescent="0.3">
      <c r="B435" s="382"/>
      <c r="C435" s="383"/>
      <c r="D435" s="383"/>
      <c r="N435" s="384"/>
      <c r="O435" s="384"/>
      <c r="P435" s="384"/>
      <c r="Q435" s="384"/>
      <c r="R435" s="384"/>
      <c r="S435" s="384"/>
      <c r="T435" s="384"/>
      <c r="U435" s="384"/>
      <c r="X435" s="385"/>
      <c r="Y435" s="385"/>
      <c r="Z435" s="385"/>
      <c r="AC435" s="385"/>
      <c r="AD435" s="385"/>
      <c r="AE435" s="385"/>
      <c r="AH435" s="385"/>
      <c r="AI435" s="385"/>
      <c r="AJ435" s="385"/>
      <c r="AM435" s="385"/>
      <c r="AN435" s="385"/>
      <c r="AO435" s="385"/>
      <c r="AP435" s="385"/>
      <c r="CK435" s="381"/>
    </row>
    <row r="436" spans="2:89" s="372" customFormat="1" x14ac:dyDescent="0.3">
      <c r="B436" s="382"/>
      <c r="C436" s="383"/>
      <c r="D436" s="383"/>
      <c r="N436" s="384"/>
      <c r="O436" s="384"/>
      <c r="P436" s="384"/>
      <c r="Q436" s="384"/>
      <c r="R436" s="384"/>
      <c r="S436" s="384"/>
      <c r="T436" s="384"/>
      <c r="U436" s="384"/>
      <c r="X436" s="385"/>
      <c r="Y436" s="385"/>
      <c r="Z436" s="385"/>
      <c r="AC436" s="385"/>
      <c r="AD436" s="385"/>
      <c r="AE436" s="385"/>
      <c r="AH436" s="385"/>
      <c r="AI436" s="385"/>
      <c r="AJ436" s="385"/>
      <c r="AM436" s="385"/>
      <c r="AN436" s="385"/>
      <c r="AO436" s="385"/>
      <c r="AP436" s="385"/>
      <c r="CK436" s="381"/>
    </row>
    <row r="437" spans="2:89" s="372" customFormat="1" x14ac:dyDescent="0.3">
      <c r="B437" s="382"/>
      <c r="C437" s="383"/>
      <c r="D437" s="383"/>
      <c r="N437" s="384"/>
      <c r="O437" s="384"/>
      <c r="P437" s="384"/>
      <c r="Q437" s="384"/>
      <c r="R437" s="384"/>
      <c r="S437" s="384"/>
      <c r="T437" s="384"/>
      <c r="U437" s="384"/>
      <c r="X437" s="385"/>
      <c r="Y437" s="385"/>
      <c r="Z437" s="385"/>
      <c r="AC437" s="385"/>
      <c r="AD437" s="385"/>
      <c r="AE437" s="385"/>
      <c r="AH437" s="385"/>
      <c r="AI437" s="385"/>
      <c r="AJ437" s="385"/>
      <c r="AM437" s="385"/>
      <c r="AN437" s="385"/>
      <c r="AO437" s="385"/>
      <c r="AP437" s="385"/>
      <c r="CK437" s="381"/>
    </row>
    <row r="438" spans="2:89" s="372" customFormat="1" x14ac:dyDescent="0.3">
      <c r="B438" s="382"/>
      <c r="C438" s="383"/>
      <c r="D438" s="383"/>
      <c r="N438" s="384"/>
      <c r="O438" s="384"/>
      <c r="P438" s="384"/>
      <c r="Q438" s="384"/>
      <c r="R438" s="384"/>
      <c r="S438" s="384"/>
      <c r="T438" s="384"/>
      <c r="U438" s="384"/>
      <c r="X438" s="385"/>
      <c r="Y438" s="385"/>
      <c r="Z438" s="385"/>
      <c r="AC438" s="385"/>
      <c r="AD438" s="385"/>
      <c r="AE438" s="385"/>
      <c r="AH438" s="385"/>
      <c r="AI438" s="385"/>
      <c r="AJ438" s="385"/>
      <c r="AM438" s="385"/>
      <c r="AN438" s="385"/>
      <c r="AO438" s="385"/>
      <c r="AP438" s="385"/>
      <c r="CK438" s="381"/>
    </row>
    <row r="439" spans="2:89" s="372" customFormat="1" x14ac:dyDescent="0.3">
      <c r="B439" s="382"/>
      <c r="C439" s="383"/>
      <c r="D439" s="383"/>
      <c r="N439" s="384"/>
      <c r="O439" s="384"/>
      <c r="P439" s="384"/>
      <c r="Q439" s="384"/>
      <c r="R439" s="384"/>
      <c r="S439" s="384"/>
      <c r="T439" s="384"/>
      <c r="U439" s="384"/>
      <c r="X439" s="385"/>
      <c r="Y439" s="385"/>
      <c r="Z439" s="385"/>
      <c r="AC439" s="385"/>
      <c r="AD439" s="385"/>
      <c r="AE439" s="385"/>
      <c r="AH439" s="385"/>
      <c r="AI439" s="385"/>
      <c r="AJ439" s="385"/>
      <c r="AM439" s="385"/>
      <c r="AN439" s="385"/>
      <c r="AO439" s="385"/>
      <c r="AP439" s="385"/>
      <c r="CK439" s="381"/>
    </row>
    <row r="440" spans="2:89" s="372" customFormat="1" x14ac:dyDescent="0.3">
      <c r="B440" s="382"/>
      <c r="C440" s="383"/>
      <c r="D440" s="383"/>
      <c r="N440" s="384"/>
      <c r="O440" s="384"/>
      <c r="P440" s="384"/>
      <c r="Q440" s="384"/>
      <c r="R440" s="384"/>
      <c r="S440" s="384"/>
      <c r="T440" s="384"/>
      <c r="U440" s="384"/>
      <c r="X440" s="385"/>
      <c r="Y440" s="385"/>
      <c r="Z440" s="385"/>
      <c r="AC440" s="385"/>
      <c r="AD440" s="385"/>
      <c r="AE440" s="385"/>
      <c r="AH440" s="385"/>
      <c r="AI440" s="385"/>
      <c r="AJ440" s="385"/>
      <c r="AM440" s="385"/>
      <c r="AN440" s="385"/>
      <c r="AO440" s="385"/>
      <c r="AP440" s="385"/>
      <c r="CK440" s="381"/>
    </row>
    <row r="441" spans="2:89" s="372" customFormat="1" x14ac:dyDescent="0.3">
      <c r="B441" s="382"/>
      <c r="C441" s="383"/>
      <c r="D441" s="383"/>
      <c r="N441" s="384"/>
      <c r="O441" s="384"/>
      <c r="P441" s="384"/>
      <c r="Q441" s="384"/>
      <c r="R441" s="384"/>
      <c r="S441" s="384"/>
      <c r="T441" s="384"/>
      <c r="U441" s="384"/>
      <c r="X441" s="385"/>
      <c r="Y441" s="385"/>
      <c r="Z441" s="385"/>
      <c r="AC441" s="385"/>
      <c r="AD441" s="385"/>
      <c r="AE441" s="385"/>
      <c r="AH441" s="385"/>
      <c r="AI441" s="385"/>
      <c r="AJ441" s="385"/>
      <c r="AM441" s="385"/>
      <c r="AN441" s="385"/>
      <c r="AO441" s="385"/>
      <c r="AP441" s="385"/>
      <c r="CK441" s="381"/>
    </row>
    <row r="442" spans="2:89" s="372" customFormat="1" x14ac:dyDescent="0.3">
      <c r="B442" s="382"/>
      <c r="C442" s="383"/>
      <c r="D442" s="383"/>
      <c r="N442" s="384"/>
      <c r="O442" s="384"/>
      <c r="P442" s="384"/>
      <c r="Q442" s="384"/>
      <c r="R442" s="384"/>
      <c r="S442" s="384"/>
      <c r="T442" s="384"/>
      <c r="U442" s="384"/>
      <c r="X442" s="385"/>
      <c r="Y442" s="385"/>
      <c r="Z442" s="385"/>
      <c r="AC442" s="385"/>
      <c r="AD442" s="385"/>
      <c r="AE442" s="385"/>
      <c r="AH442" s="385"/>
      <c r="AI442" s="385"/>
      <c r="AJ442" s="385"/>
      <c r="AM442" s="385"/>
      <c r="AN442" s="385"/>
      <c r="AO442" s="385"/>
      <c r="AP442" s="385"/>
      <c r="CK442" s="381"/>
    </row>
    <row r="443" spans="2:89" s="372" customFormat="1" x14ac:dyDescent="0.3">
      <c r="B443" s="382"/>
      <c r="C443" s="383"/>
      <c r="D443" s="383"/>
      <c r="N443" s="384"/>
      <c r="O443" s="384"/>
      <c r="P443" s="384"/>
      <c r="Q443" s="384"/>
      <c r="R443" s="384"/>
      <c r="S443" s="384"/>
      <c r="T443" s="384"/>
      <c r="U443" s="384"/>
      <c r="X443" s="385"/>
      <c r="Y443" s="385"/>
      <c r="Z443" s="385"/>
      <c r="AC443" s="385"/>
      <c r="AD443" s="385"/>
      <c r="AE443" s="385"/>
      <c r="AH443" s="385"/>
      <c r="AI443" s="385"/>
      <c r="AJ443" s="385"/>
      <c r="AM443" s="385"/>
      <c r="AN443" s="385"/>
      <c r="AO443" s="385"/>
      <c r="AP443" s="385"/>
      <c r="CK443" s="381"/>
    </row>
    <row r="444" spans="2:89" s="372" customFormat="1" x14ac:dyDescent="0.3">
      <c r="B444" s="382"/>
      <c r="C444" s="383"/>
      <c r="D444" s="383"/>
      <c r="N444" s="384"/>
      <c r="O444" s="384"/>
      <c r="P444" s="384"/>
      <c r="Q444" s="384"/>
      <c r="R444" s="384"/>
      <c r="S444" s="384"/>
      <c r="T444" s="384"/>
      <c r="U444" s="384"/>
      <c r="X444" s="385"/>
      <c r="Y444" s="385"/>
      <c r="Z444" s="385"/>
      <c r="AC444" s="385"/>
      <c r="AD444" s="385"/>
      <c r="AE444" s="385"/>
      <c r="AH444" s="385"/>
      <c r="AI444" s="385"/>
      <c r="AJ444" s="385"/>
      <c r="AM444" s="385"/>
      <c r="AN444" s="385"/>
      <c r="AO444" s="385"/>
      <c r="AP444" s="385"/>
      <c r="CK444" s="381"/>
    </row>
    <row r="445" spans="2:89" s="372" customFormat="1" x14ac:dyDescent="0.3">
      <c r="B445" s="382"/>
      <c r="C445" s="383"/>
      <c r="D445" s="383"/>
      <c r="N445" s="384"/>
      <c r="O445" s="384"/>
      <c r="P445" s="384"/>
      <c r="Q445" s="384"/>
      <c r="R445" s="384"/>
      <c r="S445" s="384"/>
      <c r="T445" s="384"/>
      <c r="U445" s="384"/>
      <c r="X445" s="385"/>
      <c r="Y445" s="385"/>
      <c r="Z445" s="385"/>
      <c r="AC445" s="385"/>
      <c r="AD445" s="385"/>
      <c r="AE445" s="385"/>
      <c r="AH445" s="385"/>
      <c r="AI445" s="385"/>
      <c r="AJ445" s="385"/>
      <c r="AM445" s="385"/>
      <c r="AN445" s="385"/>
      <c r="AO445" s="385"/>
      <c r="AP445" s="385"/>
      <c r="CK445" s="381"/>
    </row>
    <row r="446" spans="2:89" s="372" customFormat="1" x14ac:dyDescent="0.3">
      <c r="B446" s="382"/>
      <c r="C446" s="383"/>
      <c r="D446" s="383"/>
      <c r="N446" s="384"/>
      <c r="O446" s="384"/>
      <c r="P446" s="384"/>
      <c r="Q446" s="384"/>
      <c r="R446" s="384"/>
      <c r="S446" s="384"/>
      <c r="T446" s="384"/>
      <c r="U446" s="384"/>
      <c r="X446" s="385"/>
      <c r="Y446" s="385"/>
      <c r="Z446" s="385"/>
      <c r="AC446" s="385"/>
      <c r="AD446" s="385"/>
      <c r="AE446" s="385"/>
      <c r="AH446" s="385"/>
      <c r="AI446" s="385"/>
      <c r="AJ446" s="385"/>
      <c r="AM446" s="385"/>
      <c r="AN446" s="385"/>
      <c r="AO446" s="385"/>
      <c r="AP446" s="385"/>
      <c r="CK446" s="381"/>
    </row>
    <row r="447" spans="2:89" s="372" customFormat="1" x14ac:dyDescent="0.3">
      <c r="B447" s="382"/>
      <c r="C447" s="383"/>
      <c r="D447" s="383"/>
      <c r="N447" s="384"/>
      <c r="O447" s="384"/>
      <c r="P447" s="384"/>
      <c r="Q447" s="384"/>
      <c r="R447" s="384"/>
      <c r="S447" s="384"/>
      <c r="T447" s="384"/>
      <c r="U447" s="384"/>
      <c r="X447" s="385"/>
      <c r="Y447" s="385"/>
      <c r="Z447" s="385"/>
      <c r="AC447" s="385"/>
      <c r="AD447" s="385"/>
      <c r="AE447" s="385"/>
      <c r="AH447" s="385"/>
      <c r="AI447" s="385"/>
      <c r="AJ447" s="385"/>
      <c r="AM447" s="385"/>
      <c r="AN447" s="385"/>
      <c r="AO447" s="385"/>
      <c r="AP447" s="385"/>
      <c r="CK447" s="381"/>
    </row>
    <row r="448" spans="2:89" s="372" customFormat="1" x14ac:dyDescent="0.3">
      <c r="B448" s="382"/>
      <c r="C448" s="383"/>
      <c r="D448" s="383"/>
      <c r="N448" s="384"/>
      <c r="O448" s="384"/>
      <c r="P448" s="384"/>
      <c r="Q448" s="384"/>
      <c r="R448" s="384"/>
      <c r="S448" s="384"/>
      <c r="T448" s="384"/>
      <c r="U448" s="384"/>
      <c r="X448" s="385"/>
      <c r="Y448" s="385"/>
      <c r="Z448" s="385"/>
      <c r="AC448" s="385"/>
      <c r="AD448" s="385"/>
      <c r="AE448" s="385"/>
      <c r="AH448" s="385"/>
      <c r="AI448" s="385"/>
      <c r="AJ448" s="385"/>
      <c r="AM448" s="385"/>
      <c r="AN448" s="385"/>
      <c r="AO448" s="385"/>
      <c r="AP448" s="385"/>
      <c r="CK448" s="381"/>
    </row>
    <row r="449" spans="2:89" s="372" customFormat="1" x14ac:dyDescent="0.3">
      <c r="B449" s="382"/>
      <c r="C449" s="383"/>
      <c r="D449" s="383"/>
      <c r="N449" s="384"/>
      <c r="O449" s="384"/>
      <c r="P449" s="384"/>
      <c r="Q449" s="384"/>
      <c r="R449" s="384"/>
      <c r="S449" s="384"/>
      <c r="T449" s="384"/>
      <c r="U449" s="384"/>
      <c r="X449" s="385"/>
      <c r="Y449" s="385"/>
      <c r="Z449" s="385"/>
      <c r="AC449" s="385"/>
      <c r="AD449" s="385"/>
      <c r="AE449" s="385"/>
      <c r="AH449" s="385"/>
      <c r="AI449" s="385"/>
      <c r="AJ449" s="385"/>
      <c r="AM449" s="385"/>
      <c r="AN449" s="385"/>
      <c r="AO449" s="385"/>
      <c r="AP449" s="385"/>
      <c r="CK449" s="381"/>
    </row>
    <row r="450" spans="2:89" s="372" customFormat="1" x14ac:dyDescent="0.3">
      <c r="B450" s="382"/>
      <c r="C450" s="383"/>
      <c r="D450" s="383"/>
      <c r="N450" s="384"/>
      <c r="O450" s="384"/>
      <c r="P450" s="384"/>
      <c r="Q450" s="384"/>
      <c r="R450" s="384"/>
      <c r="S450" s="384"/>
      <c r="T450" s="384"/>
      <c r="U450" s="384"/>
      <c r="X450" s="385"/>
      <c r="Y450" s="385"/>
      <c r="Z450" s="385"/>
      <c r="AC450" s="385"/>
      <c r="AD450" s="385"/>
      <c r="AE450" s="385"/>
      <c r="AH450" s="385"/>
      <c r="AI450" s="385"/>
      <c r="AJ450" s="385"/>
      <c r="AM450" s="385"/>
      <c r="AN450" s="385"/>
      <c r="AO450" s="385"/>
      <c r="AP450" s="385"/>
      <c r="CK450" s="381"/>
    </row>
    <row r="451" spans="2:89" s="372" customFormat="1" x14ac:dyDescent="0.3">
      <c r="B451" s="382"/>
      <c r="C451" s="383"/>
      <c r="D451" s="383"/>
      <c r="N451" s="384"/>
      <c r="O451" s="384"/>
      <c r="P451" s="384"/>
      <c r="Q451" s="384"/>
      <c r="R451" s="384"/>
      <c r="S451" s="384"/>
      <c r="T451" s="384"/>
      <c r="U451" s="384"/>
      <c r="X451" s="385"/>
      <c r="Y451" s="385"/>
      <c r="Z451" s="385"/>
      <c r="AC451" s="385"/>
      <c r="AD451" s="385"/>
      <c r="AE451" s="385"/>
      <c r="AH451" s="385"/>
      <c r="AI451" s="385"/>
      <c r="AJ451" s="385"/>
      <c r="AM451" s="385"/>
      <c r="AN451" s="385"/>
      <c r="AO451" s="385"/>
      <c r="AP451" s="385"/>
      <c r="CK451" s="381"/>
    </row>
    <row r="452" spans="2:89" s="372" customFormat="1" x14ac:dyDescent="0.3">
      <c r="B452" s="382"/>
      <c r="C452" s="383"/>
      <c r="D452" s="383"/>
      <c r="N452" s="384"/>
      <c r="O452" s="384"/>
      <c r="P452" s="384"/>
      <c r="Q452" s="384"/>
      <c r="R452" s="384"/>
      <c r="S452" s="384"/>
      <c r="T452" s="384"/>
      <c r="U452" s="384"/>
      <c r="X452" s="385"/>
      <c r="Y452" s="385"/>
      <c r="Z452" s="385"/>
      <c r="AC452" s="385"/>
      <c r="AD452" s="385"/>
      <c r="AE452" s="385"/>
      <c r="AH452" s="385"/>
      <c r="AI452" s="385"/>
      <c r="AJ452" s="385"/>
      <c r="AM452" s="385"/>
      <c r="AN452" s="385"/>
      <c r="AO452" s="385"/>
      <c r="AP452" s="385"/>
      <c r="CK452" s="381"/>
    </row>
    <row r="453" spans="2:89" s="372" customFormat="1" x14ac:dyDescent="0.3">
      <c r="B453" s="382"/>
      <c r="C453" s="383"/>
      <c r="D453" s="383"/>
      <c r="N453" s="384"/>
      <c r="O453" s="384"/>
      <c r="P453" s="384"/>
      <c r="Q453" s="384"/>
      <c r="R453" s="384"/>
      <c r="S453" s="384"/>
      <c r="T453" s="384"/>
      <c r="U453" s="384"/>
      <c r="X453" s="385"/>
      <c r="Y453" s="385"/>
      <c r="Z453" s="385"/>
      <c r="AC453" s="385"/>
      <c r="AD453" s="385"/>
      <c r="AE453" s="385"/>
      <c r="AH453" s="385"/>
      <c r="AI453" s="385"/>
      <c r="AJ453" s="385"/>
      <c r="AM453" s="385"/>
      <c r="AN453" s="385"/>
      <c r="AO453" s="385"/>
      <c r="AP453" s="385"/>
      <c r="CK453" s="381"/>
    </row>
    <row r="454" spans="2:89" s="372" customFormat="1" x14ac:dyDescent="0.3">
      <c r="B454" s="382"/>
      <c r="C454" s="383"/>
      <c r="D454" s="383"/>
      <c r="N454" s="384"/>
      <c r="O454" s="384"/>
      <c r="P454" s="384"/>
      <c r="Q454" s="384"/>
      <c r="R454" s="384"/>
      <c r="S454" s="384"/>
      <c r="T454" s="384"/>
      <c r="U454" s="384"/>
      <c r="X454" s="385"/>
      <c r="Y454" s="385"/>
      <c r="Z454" s="385"/>
      <c r="AC454" s="385"/>
      <c r="AD454" s="385"/>
      <c r="AE454" s="385"/>
      <c r="AH454" s="385"/>
      <c r="AI454" s="385"/>
      <c r="AJ454" s="385"/>
      <c r="AM454" s="385"/>
      <c r="AN454" s="385"/>
      <c r="AO454" s="385"/>
      <c r="AP454" s="385"/>
      <c r="CK454" s="381"/>
    </row>
    <row r="455" spans="2:89" s="372" customFormat="1" x14ac:dyDescent="0.3">
      <c r="B455" s="382"/>
      <c r="C455" s="383"/>
      <c r="D455" s="383"/>
      <c r="N455" s="384"/>
      <c r="O455" s="384"/>
      <c r="P455" s="384"/>
      <c r="Q455" s="384"/>
      <c r="R455" s="384"/>
      <c r="S455" s="384"/>
      <c r="T455" s="384"/>
      <c r="U455" s="384"/>
      <c r="X455" s="385"/>
      <c r="Y455" s="385"/>
      <c r="Z455" s="385"/>
      <c r="AC455" s="385"/>
      <c r="AD455" s="385"/>
      <c r="AE455" s="385"/>
      <c r="AH455" s="385"/>
      <c r="AI455" s="385"/>
      <c r="AJ455" s="385"/>
      <c r="AM455" s="385"/>
      <c r="AN455" s="385"/>
      <c r="AO455" s="385"/>
      <c r="AP455" s="385"/>
      <c r="CK455" s="381"/>
    </row>
    <row r="456" spans="2:89" s="372" customFormat="1" x14ac:dyDescent="0.3">
      <c r="B456" s="382"/>
      <c r="C456" s="383"/>
      <c r="D456" s="383"/>
      <c r="N456" s="384"/>
      <c r="O456" s="384"/>
      <c r="P456" s="384"/>
      <c r="Q456" s="384"/>
      <c r="R456" s="384"/>
      <c r="S456" s="384"/>
      <c r="T456" s="384"/>
      <c r="U456" s="384"/>
      <c r="X456" s="385"/>
      <c r="Y456" s="385"/>
      <c r="Z456" s="385"/>
      <c r="AC456" s="385"/>
      <c r="AD456" s="385"/>
      <c r="AE456" s="385"/>
      <c r="AH456" s="385"/>
      <c r="AI456" s="385"/>
      <c r="AJ456" s="385"/>
      <c r="AM456" s="385"/>
      <c r="AN456" s="385"/>
      <c r="AO456" s="385"/>
      <c r="AP456" s="385"/>
      <c r="CK456" s="381"/>
    </row>
    <row r="457" spans="2:89" s="372" customFormat="1" x14ac:dyDescent="0.3">
      <c r="B457" s="382"/>
      <c r="C457" s="383"/>
      <c r="D457" s="383"/>
      <c r="N457" s="384"/>
      <c r="O457" s="384"/>
      <c r="P457" s="384"/>
      <c r="Q457" s="384"/>
      <c r="R457" s="384"/>
      <c r="S457" s="384"/>
      <c r="T457" s="384"/>
      <c r="U457" s="384"/>
      <c r="X457" s="385"/>
      <c r="Y457" s="385"/>
      <c r="Z457" s="385"/>
      <c r="AC457" s="385"/>
      <c r="AD457" s="385"/>
      <c r="AE457" s="385"/>
      <c r="AH457" s="385"/>
      <c r="AI457" s="385"/>
      <c r="AJ457" s="385"/>
      <c r="AM457" s="385"/>
      <c r="AN457" s="385"/>
      <c r="AO457" s="385"/>
      <c r="AP457" s="385"/>
      <c r="CK457" s="381"/>
    </row>
    <row r="458" spans="2:89" s="372" customFormat="1" x14ac:dyDescent="0.3">
      <c r="B458" s="382"/>
      <c r="C458" s="383"/>
      <c r="D458" s="383"/>
      <c r="N458" s="384"/>
      <c r="O458" s="384"/>
      <c r="P458" s="384"/>
      <c r="Q458" s="384"/>
      <c r="R458" s="384"/>
      <c r="S458" s="384"/>
      <c r="T458" s="384"/>
      <c r="U458" s="384"/>
      <c r="X458" s="385"/>
      <c r="Y458" s="385"/>
      <c r="Z458" s="385"/>
      <c r="AC458" s="385"/>
      <c r="AD458" s="385"/>
      <c r="AE458" s="385"/>
      <c r="AH458" s="385"/>
      <c r="AI458" s="385"/>
      <c r="AJ458" s="385"/>
      <c r="AM458" s="385"/>
      <c r="AN458" s="385"/>
      <c r="AO458" s="385"/>
      <c r="AP458" s="385"/>
      <c r="CK458" s="381"/>
    </row>
    <row r="459" spans="2:89" s="372" customFormat="1" x14ac:dyDescent="0.3">
      <c r="B459" s="382"/>
      <c r="C459" s="383"/>
      <c r="D459" s="383"/>
      <c r="N459" s="384"/>
      <c r="O459" s="384"/>
      <c r="P459" s="384"/>
      <c r="Q459" s="384"/>
      <c r="R459" s="384"/>
      <c r="S459" s="384"/>
      <c r="T459" s="384"/>
      <c r="U459" s="384"/>
      <c r="X459" s="385"/>
      <c r="Y459" s="385"/>
      <c r="Z459" s="385"/>
      <c r="AC459" s="385"/>
      <c r="AD459" s="385"/>
      <c r="AE459" s="385"/>
      <c r="AH459" s="385"/>
      <c r="AI459" s="385"/>
      <c r="AJ459" s="385"/>
      <c r="AM459" s="385"/>
      <c r="AN459" s="385"/>
      <c r="AO459" s="385"/>
      <c r="AP459" s="385"/>
      <c r="CK459" s="381"/>
    </row>
    <row r="460" spans="2:89" s="372" customFormat="1" x14ac:dyDescent="0.3">
      <c r="B460" s="382"/>
      <c r="C460" s="383"/>
      <c r="D460" s="383"/>
      <c r="N460" s="384"/>
      <c r="O460" s="384"/>
      <c r="P460" s="384"/>
      <c r="Q460" s="384"/>
      <c r="R460" s="384"/>
      <c r="S460" s="384"/>
      <c r="T460" s="384"/>
      <c r="U460" s="384"/>
      <c r="X460" s="385"/>
      <c r="Y460" s="385"/>
      <c r="Z460" s="385"/>
      <c r="AC460" s="385"/>
      <c r="AD460" s="385"/>
      <c r="AE460" s="385"/>
      <c r="AH460" s="385"/>
      <c r="AI460" s="385"/>
      <c r="AJ460" s="385"/>
      <c r="AM460" s="385"/>
      <c r="AN460" s="385"/>
      <c r="AO460" s="385"/>
      <c r="AP460" s="385"/>
      <c r="CK460" s="381"/>
    </row>
    <row r="461" spans="2:89" s="372" customFormat="1" x14ac:dyDescent="0.3">
      <c r="B461" s="382"/>
      <c r="C461" s="383"/>
      <c r="D461" s="383"/>
      <c r="N461" s="384"/>
      <c r="O461" s="384"/>
      <c r="P461" s="384"/>
      <c r="Q461" s="384"/>
      <c r="R461" s="384"/>
      <c r="S461" s="384"/>
      <c r="T461" s="384"/>
      <c r="U461" s="384"/>
      <c r="X461" s="385"/>
      <c r="Y461" s="385"/>
      <c r="Z461" s="385"/>
      <c r="AC461" s="385"/>
      <c r="AD461" s="385"/>
      <c r="AE461" s="385"/>
      <c r="AH461" s="385"/>
      <c r="AI461" s="385"/>
      <c r="AJ461" s="385"/>
      <c r="AM461" s="385"/>
      <c r="AN461" s="385"/>
      <c r="AO461" s="385"/>
      <c r="AP461" s="385"/>
      <c r="CK461" s="381"/>
    </row>
    <row r="462" spans="2:89" s="372" customFormat="1" x14ac:dyDescent="0.3">
      <c r="B462" s="382"/>
      <c r="C462" s="383"/>
      <c r="D462" s="383"/>
      <c r="N462" s="384"/>
      <c r="O462" s="384"/>
      <c r="P462" s="384"/>
      <c r="Q462" s="384"/>
      <c r="R462" s="384"/>
      <c r="S462" s="384"/>
      <c r="T462" s="384"/>
      <c r="U462" s="384"/>
      <c r="X462" s="385"/>
      <c r="Y462" s="385"/>
      <c r="Z462" s="385"/>
      <c r="AC462" s="385"/>
      <c r="AD462" s="385"/>
      <c r="AE462" s="385"/>
      <c r="AH462" s="385"/>
      <c r="AI462" s="385"/>
      <c r="AJ462" s="385"/>
      <c r="AM462" s="385"/>
      <c r="AN462" s="385"/>
      <c r="AO462" s="385"/>
      <c r="AP462" s="385"/>
      <c r="CK462" s="381"/>
    </row>
    <row r="463" spans="2:89" s="372" customFormat="1" x14ac:dyDescent="0.3">
      <c r="B463" s="382"/>
      <c r="C463" s="383"/>
      <c r="D463" s="383"/>
      <c r="N463" s="384"/>
      <c r="O463" s="384"/>
      <c r="P463" s="384"/>
      <c r="Q463" s="384"/>
      <c r="R463" s="384"/>
      <c r="S463" s="384"/>
      <c r="T463" s="384"/>
      <c r="U463" s="384"/>
      <c r="X463" s="385"/>
      <c r="Y463" s="385"/>
      <c r="Z463" s="385"/>
      <c r="AC463" s="385"/>
      <c r="AD463" s="385"/>
      <c r="AE463" s="385"/>
      <c r="AH463" s="385"/>
      <c r="AI463" s="385"/>
      <c r="AJ463" s="385"/>
      <c r="AM463" s="385"/>
      <c r="AN463" s="385"/>
      <c r="AO463" s="385"/>
      <c r="AP463" s="385"/>
      <c r="CK463" s="381"/>
    </row>
    <row r="464" spans="2:89" s="372" customFormat="1" x14ac:dyDescent="0.3">
      <c r="B464" s="382"/>
      <c r="C464" s="383"/>
      <c r="D464" s="383"/>
      <c r="N464" s="384"/>
      <c r="O464" s="384"/>
      <c r="P464" s="384"/>
      <c r="Q464" s="384"/>
      <c r="R464" s="384"/>
      <c r="S464" s="384"/>
      <c r="T464" s="384"/>
      <c r="U464" s="384"/>
      <c r="X464" s="385"/>
      <c r="Y464" s="385"/>
      <c r="Z464" s="385"/>
      <c r="AC464" s="385"/>
      <c r="AD464" s="385"/>
      <c r="AE464" s="385"/>
      <c r="AH464" s="385"/>
      <c r="AI464" s="385"/>
      <c r="AJ464" s="385"/>
      <c r="AM464" s="385"/>
      <c r="AN464" s="385"/>
      <c r="AO464" s="385"/>
      <c r="AP464" s="385"/>
      <c r="CK464" s="381"/>
    </row>
    <row r="465" spans="2:89" s="372" customFormat="1" x14ac:dyDescent="0.3">
      <c r="B465" s="382"/>
      <c r="C465" s="383"/>
      <c r="D465" s="383"/>
      <c r="N465" s="384"/>
      <c r="O465" s="384"/>
      <c r="P465" s="384"/>
      <c r="Q465" s="384"/>
      <c r="R465" s="384"/>
      <c r="S465" s="384"/>
      <c r="T465" s="384"/>
      <c r="U465" s="384"/>
      <c r="X465" s="385"/>
      <c r="Y465" s="385"/>
      <c r="Z465" s="385"/>
      <c r="AC465" s="385"/>
      <c r="AD465" s="385"/>
      <c r="AE465" s="385"/>
      <c r="AH465" s="385"/>
      <c r="AI465" s="385"/>
      <c r="AJ465" s="385"/>
      <c r="AM465" s="385"/>
      <c r="AN465" s="385"/>
      <c r="AO465" s="385"/>
      <c r="AP465" s="385"/>
      <c r="CK465" s="381"/>
    </row>
    <row r="466" spans="2:89" s="372" customFormat="1" x14ac:dyDescent="0.3">
      <c r="B466" s="382"/>
      <c r="C466" s="383"/>
      <c r="D466" s="383"/>
      <c r="N466" s="384"/>
      <c r="O466" s="384"/>
      <c r="P466" s="384"/>
      <c r="Q466" s="384"/>
      <c r="R466" s="384"/>
      <c r="S466" s="384"/>
      <c r="T466" s="384"/>
      <c r="U466" s="384"/>
      <c r="X466" s="385"/>
      <c r="Y466" s="385"/>
      <c r="Z466" s="385"/>
      <c r="AC466" s="385"/>
      <c r="AD466" s="385"/>
      <c r="AE466" s="385"/>
      <c r="AH466" s="385"/>
      <c r="AI466" s="385"/>
      <c r="AJ466" s="385"/>
      <c r="AM466" s="385"/>
      <c r="AN466" s="385"/>
      <c r="AO466" s="385"/>
      <c r="AP466" s="385"/>
      <c r="CK466" s="381"/>
    </row>
    <row r="467" spans="2:89" s="372" customFormat="1" x14ac:dyDescent="0.3">
      <c r="B467" s="382"/>
      <c r="C467" s="383"/>
      <c r="D467" s="383"/>
      <c r="N467" s="384"/>
      <c r="O467" s="384"/>
      <c r="P467" s="384"/>
      <c r="Q467" s="384"/>
      <c r="R467" s="384"/>
      <c r="S467" s="384"/>
      <c r="T467" s="384"/>
      <c r="U467" s="384"/>
      <c r="X467" s="385"/>
      <c r="Y467" s="385"/>
      <c r="Z467" s="385"/>
      <c r="AC467" s="385"/>
      <c r="AD467" s="385"/>
      <c r="AE467" s="385"/>
      <c r="AH467" s="385"/>
      <c r="AI467" s="385"/>
      <c r="AJ467" s="385"/>
      <c r="AM467" s="385"/>
      <c r="AN467" s="385"/>
      <c r="AO467" s="385"/>
      <c r="AP467" s="385"/>
      <c r="CK467" s="381"/>
    </row>
    <row r="468" spans="2:89" s="372" customFormat="1" x14ac:dyDescent="0.3">
      <c r="B468" s="382"/>
      <c r="C468" s="383"/>
      <c r="D468" s="383"/>
      <c r="N468" s="384"/>
      <c r="O468" s="384"/>
      <c r="P468" s="384"/>
      <c r="Q468" s="384"/>
      <c r="R468" s="384"/>
      <c r="S468" s="384"/>
      <c r="T468" s="384"/>
      <c r="U468" s="384"/>
      <c r="X468" s="385"/>
      <c r="Y468" s="385"/>
      <c r="Z468" s="385"/>
      <c r="AC468" s="385"/>
      <c r="AD468" s="385"/>
      <c r="AE468" s="385"/>
      <c r="AH468" s="385"/>
      <c r="AI468" s="385"/>
      <c r="AJ468" s="385"/>
      <c r="AM468" s="385"/>
      <c r="AN468" s="385"/>
      <c r="AO468" s="385"/>
      <c r="AP468" s="385"/>
      <c r="CK468" s="381"/>
    </row>
    <row r="469" spans="2:89" s="372" customFormat="1" x14ac:dyDescent="0.3">
      <c r="B469" s="382"/>
      <c r="C469" s="383"/>
      <c r="D469" s="383"/>
      <c r="N469" s="384"/>
      <c r="O469" s="384"/>
      <c r="P469" s="384"/>
      <c r="Q469" s="384"/>
      <c r="R469" s="384"/>
      <c r="S469" s="384"/>
      <c r="T469" s="384"/>
      <c r="U469" s="384"/>
      <c r="X469" s="385"/>
      <c r="Y469" s="385"/>
      <c r="Z469" s="385"/>
      <c r="AC469" s="385"/>
      <c r="AD469" s="385"/>
      <c r="AE469" s="385"/>
      <c r="AH469" s="385"/>
      <c r="AI469" s="385"/>
      <c r="AJ469" s="385"/>
      <c r="AM469" s="385"/>
      <c r="AN469" s="385"/>
      <c r="AO469" s="385"/>
      <c r="AP469" s="385"/>
      <c r="CK469" s="381"/>
    </row>
    <row r="470" spans="2:89" s="372" customFormat="1" x14ac:dyDescent="0.3">
      <c r="B470" s="382"/>
      <c r="C470" s="383"/>
      <c r="D470" s="383"/>
      <c r="N470" s="384"/>
      <c r="O470" s="384"/>
      <c r="P470" s="384"/>
      <c r="Q470" s="384"/>
      <c r="R470" s="384"/>
      <c r="S470" s="384"/>
      <c r="T470" s="384"/>
      <c r="U470" s="384"/>
      <c r="X470" s="385"/>
      <c r="Y470" s="385"/>
      <c r="Z470" s="385"/>
      <c r="AC470" s="385"/>
      <c r="AD470" s="385"/>
      <c r="AE470" s="385"/>
      <c r="AH470" s="385"/>
      <c r="AI470" s="385"/>
      <c r="AJ470" s="385"/>
      <c r="AM470" s="385"/>
      <c r="AN470" s="385"/>
      <c r="AO470" s="385"/>
      <c r="AP470" s="385"/>
      <c r="CK470" s="381"/>
    </row>
    <row r="471" spans="2:89" s="372" customFormat="1" x14ac:dyDescent="0.3">
      <c r="B471" s="382"/>
      <c r="C471" s="383"/>
      <c r="D471" s="383"/>
      <c r="N471" s="384"/>
      <c r="O471" s="384"/>
      <c r="P471" s="384"/>
      <c r="Q471" s="384"/>
      <c r="R471" s="384"/>
      <c r="S471" s="384"/>
      <c r="T471" s="384"/>
      <c r="U471" s="384"/>
      <c r="X471" s="385"/>
      <c r="Y471" s="385"/>
      <c r="Z471" s="385"/>
      <c r="AC471" s="385"/>
      <c r="AD471" s="385"/>
      <c r="AE471" s="385"/>
      <c r="AH471" s="385"/>
      <c r="AI471" s="385"/>
      <c r="AJ471" s="385"/>
      <c r="AM471" s="385"/>
      <c r="AN471" s="385"/>
      <c r="AO471" s="385"/>
      <c r="AP471" s="385"/>
      <c r="CK471" s="381"/>
    </row>
    <row r="472" spans="2:89" s="372" customFormat="1" x14ac:dyDescent="0.3">
      <c r="B472" s="382"/>
      <c r="C472" s="383"/>
      <c r="D472" s="383"/>
      <c r="N472" s="384"/>
      <c r="O472" s="384"/>
      <c r="P472" s="384"/>
      <c r="Q472" s="384"/>
      <c r="R472" s="384"/>
      <c r="S472" s="384"/>
      <c r="T472" s="384"/>
      <c r="U472" s="384"/>
      <c r="X472" s="385"/>
      <c r="Y472" s="385"/>
      <c r="Z472" s="385"/>
      <c r="AC472" s="385"/>
      <c r="AD472" s="385"/>
      <c r="AE472" s="385"/>
      <c r="AH472" s="385"/>
      <c r="AI472" s="385"/>
      <c r="AJ472" s="385"/>
      <c r="AM472" s="385"/>
      <c r="AN472" s="385"/>
      <c r="AO472" s="385"/>
      <c r="AP472" s="385"/>
      <c r="CK472" s="381"/>
    </row>
    <row r="473" spans="2:89" s="372" customFormat="1" x14ac:dyDescent="0.3">
      <c r="B473" s="382"/>
      <c r="C473" s="383"/>
      <c r="D473" s="383"/>
      <c r="N473" s="384"/>
      <c r="O473" s="384"/>
      <c r="P473" s="384"/>
      <c r="Q473" s="384"/>
      <c r="R473" s="384"/>
      <c r="S473" s="384"/>
      <c r="T473" s="384"/>
      <c r="U473" s="384"/>
      <c r="X473" s="385"/>
      <c r="Y473" s="385"/>
      <c r="Z473" s="385"/>
      <c r="AC473" s="385"/>
      <c r="AD473" s="385"/>
      <c r="AE473" s="385"/>
      <c r="AH473" s="385"/>
      <c r="AI473" s="385"/>
      <c r="AJ473" s="385"/>
      <c r="AM473" s="385"/>
      <c r="AN473" s="385"/>
      <c r="AO473" s="385"/>
      <c r="AP473" s="385"/>
      <c r="CK473" s="381"/>
    </row>
    <row r="474" spans="2:89" s="372" customFormat="1" x14ac:dyDescent="0.3">
      <c r="B474" s="382"/>
      <c r="C474" s="383"/>
      <c r="D474" s="383"/>
      <c r="N474" s="384"/>
      <c r="O474" s="384"/>
      <c r="P474" s="384"/>
      <c r="Q474" s="384"/>
      <c r="R474" s="384"/>
      <c r="S474" s="384"/>
      <c r="T474" s="384"/>
      <c r="U474" s="384"/>
      <c r="X474" s="385"/>
      <c r="Y474" s="385"/>
      <c r="Z474" s="385"/>
      <c r="AC474" s="385"/>
      <c r="AD474" s="385"/>
      <c r="AE474" s="385"/>
      <c r="AH474" s="385"/>
      <c r="AI474" s="385"/>
      <c r="AJ474" s="385"/>
      <c r="AM474" s="385"/>
      <c r="AN474" s="385"/>
      <c r="AO474" s="385"/>
      <c r="AP474" s="385"/>
      <c r="CK474" s="381"/>
    </row>
    <row r="475" spans="2:89" s="372" customFormat="1" x14ac:dyDescent="0.3">
      <c r="B475" s="382"/>
      <c r="C475" s="383"/>
      <c r="D475" s="383"/>
      <c r="N475" s="384"/>
      <c r="O475" s="384"/>
      <c r="P475" s="384"/>
      <c r="Q475" s="384"/>
      <c r="R475" s="384"/>
      <c r="S475" s="384"/>
      <c r="T475" s="384"/>
      <c r="U475" s="384"/>
      <c r="X475" s="385"/>
      <c r="Y475" s="385"/>
      <c r="Z475" s="385"/>
      <c r="AC475" s="385"/>
      <c r="AD475" s="385"/>
      <c r="AE475" s="385"/>
      <c r="AH475" s="385"/>
      <c r="AI475" s="385"/>
      <c r="AJ475" s="385"/>
      <c r="AM475" s="385"/>
      <c r="AN475" s="385"/>
      <c r="AO475" s="385"/>
      <c r="AP475" s="385"/>
      <c r="CK475" s="381"/>
    </row>
    <row r="476" spans="2:89" s="372" customFormat="1" x14ac:dyDescent="0.3">
      <c r="B476" s="382"/>
      <c r="C476" s="383"/>
      <c r="D476" s="383"/>
      <c r="N476" s="384"/>
      <c r="O476" s="384"/>
      <c r="P476" s="384"/>
      <c r="Q476" s="384"/>
      <c r="R476" s="384"/>
      <c r="S476" s="384"/>
      <c r="T476" s="384"/>
      <c r="U476" s="384"/>
      <c r="X476" s="385"/>
      <c r="Y476" s="385"/>
      <c r="Z476" s="385"/>
      <c r="AC476" s="385"/>
      <c r="AD476" s="385"/>
      <c r="AE476" s="385"/>
      <c r="AH476" s="385"/>
      <c r="AI476" s="385"/>
      <c r="AJ476" s="385"/>
      <c r="AM476" s="385"/>
      <c r="AN476" s="385"/>
      <c r="AO476" s="385"/>
      <c r="AP476" s="385"/>
      <c r="CK476" s="381"/>
    </row>
    <row r="477" spans="2:89" s="372" customFormat="1" x14ac:dyDescent="0.3">
      <c r="B477" s="382"/>
      <c r="C477" s="383"/>
      <c r="D477" s="383"/>
      <c r="N477" s="384"/>
      <c r="O477" s="384"/>
      <c r="P477" s="384"/>
      <c r="Q477" s="384"/>
      <c r="R477" s="384"/>
      <c r="S477" s="384"/>
      <c r="T477" s="384"/>
      <c r="U477" s="384"/>
      <c r="X477" s="385"/>
      <c r="Y477" s="385"/>
      <c r="Z477" s="385"/>
      <c r="AC477" s="385"/>
      <c r="AD477" s="385"/>
      <c r="AE477" s="385"/>
      <c r="AH477" s="385"/>
      <c r="AI477" s="385"/>
      <c r="AJ477" s="385"/>
      <c r="AM477" s="385"/>
      <c r="AN477" s="385"/>
      <c r="AO477" s="385"/>
      <c r="AP477" s="385"/>
      <c r="CK477" s="381"/>
    </row>
    <row r="478" spans="2:89" s="372" customFormat="1" x14ac:dyDescent="0.3">
      <c r="B478" s="382"/>
      <c r="C478" s="383"/>
      <c r="D478" s="383"/>
      <c r="N478" s="384"/>
      <c r="O478" s="384"/>
      <c r="P478" s="384"/>
      <c r="Q478" s="384"/>
      <c r="R478" s="384"/>
      <c r="S478" s="384"/>
      <c r="T478" s="384"/>
      <c r="U478" s="384"/>
      <c r="X478" s="385"/>
      <c r="Y478" s="385"/>
      <c r="Z478" s="385"/>
      <c r="AC478" s="385"/>
      <c r="AD478" s="385"/>
      <c r="AE478" s="385"/>
      <c r="AH478" s="385"/>
      <c r="AI478" s="385"/>
      <c r="AJ478" s="385"/>
      <c r="AM478" s="385"/>
      <c r="AN478" s="385"/>
      <c r="AO478" s="385"/>
      <c r="AP478" s="385"/>
      <c r="CK478" s="381"/>
    </row>
    <row r="479" spans="2:89" s="372" customFormat="1" x14ac:dyDescent="0.3">
      <c r="B479" s="382"/>
      <c r="C479" s="383"/>
      <c r="D479" s="383"/>
      <c r="N479" s="384"/>
      <c r="O479" s="384"/>
      <c r="P479" s="384"/>
      <c r="Q479" s="384"/>
      <c r="R479" s="384"/>
      <c r="S479" s="384"/>
      <c r="T479" s="384"/>
      <c r="U479" s="384"/>
      <c r="X479" s="385"/>
      <c r="Y479" s="385"/>
      <c r="Z479" s="385"/>
      <c r="AC479" s="385"/>
      <c r="AD479" s="385"/>
      <c r="AE479" s="385"/>
      <c r="AH479" s="385"/>
      <c r="AI479" s="385"/>
      <c r="AJ479" s="385"/>
      <c r="AM479" s="385"/>
      <c r="AN479" s="385"/>
      <c r="AO479" s="385"/>
      <c r="AP479" s="385"/>
      <c r="CK479" s="381"/>
    </row>
    <row r="480" spans="2:89" s="372" customFormat="1" x14ac:dyDescent="0.3">
      <c r="B480" s="382"/>
      <c r="C480" s="383"/>
      <c r="D480" s="383"/>
      <c r="N480" s="384"/>
      <c r="O480" s="384"/>
      <c r="P480" s="384"/>
      <c r="Q480" s="384"/>
      <c r="R480" s="384"/>
      <c r="S480" s="384"/>
      <c r="T480" s="384"/>
      <c r="U480" s="384"/>
      <c r="X480" s="385"/>
      <c r="Y480" s="385"/>
      <c r="Z480" s="385"/>
      <c r="AC480" s="385"/>
      <c r="AD480" s="385"/>
      <c r="AE480" s="385"/>
      <c r="AH480" s="385"/>
      <c r="AI480" s="385"/>
      <c r="AJ480" s="385"/>
      <c r="AM480" s="385"/>
      <c r="AN480" s="385"/>
      <c r="AO480" s="385"/>
      <c r="AP480" s="385"/>
      <c r="CK480" s="381"/>
    </row>
    <row r="481" spans="2:89" s="372" customFormat="1" x14ac:dyDescent="0.3">
      <c r="B481" s="382"/>
      <c r="C481" s="383"/>
      <c r="D481" s="383"/>
      <c r="N481" s="384"/>
      <c r="O481" s="384"/>
      <c r="P481" s="384"/>
      <c r="Q481" s="384"/>
      <c r="R481" s="384"/>
      <c r="S481" s="384"/>
      <c r="T481" s="384"/>
      <c r="U481" s="384"/>
      <c r="X481" s="385"/>
      <c r="Y481" s="385"/>
      <c r="Z481" s="385"/>
      <c r="AC481" s="385"/>
      <c r="AD481" s="385"/>
      <c r="AE481" s="385"/>
      <c r="AH481" s="385"/>
      <c r="AI481" s="385"/>
      <c r="AJ481" s="385"/>
      <c r="AM481" s="385"/>
      <c r="AN481" s="385"/>
      <c r="AO481" s="385"/>
      <c r="AP481" s="385"/>
      <c r="CK481" s="381"/>
    </row>
    <row r="482" spans="2:89" s="372" customFormat="1" x14ac:dyDescent="0.3">
      <c r="B482" s="382"/>
      <c r="C482" s="383"/>
      <c r="D482" s="383"/>
      <c r="N482" s="384"/>
      <c r="O482" s="384"/>
      <c r="P482" s="384"/>
      <c r="Q482" s="384"/>
      <c r="R482" s="384"/>
      <c r="S482" s="384"/>
      <c r="T482" s="384"/>
      <c r="U482" s="384"/>
      <c r="X482" s="385"/>
      <c r="Y482" s="385"/>
      <c r="Z482" s="385"/>
      <c r="AC482" s="385"/>
      <c r="AD482" s="385"/>
      <c r="AE482" s="385"/>
      <c r="AH482" s="385"/>
      <c r="AI482" s="385"/>
      <c r="AJ482" s="385"/>
      <c r="AM482" s="385"/>
      <c r="AN482" s="385"/>
      <c r="AO482" s="385"/>
      <c r="AP482" s="385"/>
      <c r="CK482" s="381"/>
    </row>
    <row r="483" spans="2:89" s="372" customFormat="1" x14ac:dyDescent="0.3">
      <c r="B483" s="382"/>
      <c r="C483" s="383"/>
      <c r="D483" s="383"/>
      <c r="N483" s="384"/>
      <c r="O483" s="384"/>
      <c r="P483" s="384"/>
      <c r="Q483" s="384"/>
      <c r="R483" s="384"/>
      <c r="S483" s="384"/>
      <c r="T483" s="384"/>
      <c r="U483" s="384"/>
      <c r="X483" s="385"/>
      <c r="Y483" s="385"/>
      <c r="Z483" s="385"/>
      <c r="AC483" s="385"/>
      <c r="AD483" s="385"/>
      <c r="AE483" s="385"/>
      <c r="AH483" s="385"/>
      <c r="AI483" s="385"/>
      <c r="AJ483" s="385"/>
      <c r="AM483" s="385"/>
      <c r="AN483" s="385"/>
      <c r="AO483" s="385"/>
      <c r="AP483" s="385"/>
      <c r="CK483" s="381"/>
    </row>
    <row r="484" spans="2:89" s="372" customFormat="1" x14ac:dyDescent="0.3">
      <c r="B484" s="382"/>
      <c r="C484" s="383"/>
      <c r="D484" s="383"/>
      <c r="N484" s="384"/>
      <c r="O484" s="384"/>
      <c r="P484" s="384"/>
      <c r="Q484" s="384"/>
      <c r="R484" s="384"/>
      <c r="S484" s="384"/>
      <c r="T484" s="384"/>
      <c r="U484" s="384"/>
      <c r="X484" s="385"/>
      <c r="Y484" s="385"/>
      <c r="Z484" s="385"/>
      <c r="AC484" s="385"/>
      <c r="AD484" s="385"/>
      <c r="AE484" s="385"/>
      <c r="AH484" s="385"/>
      <c r="AI484" s="385"/>
      <c r="AJ484" s="385"/>
      <c r="AM484" s="385"/>
      <c r="AN484" s="385"/>
      <c r="AO484" s="385"/>
      <c r="AP484" s="385"/>
      <c r="CK484" s="381"/>
    </row>
    <row r="485" spans="2:89" s="372" customFormat="1" x14ac:dyDescent="0.3">
      <c r="B485" s="382"/>
      <c r="C485" s="383"/>
      <c r="D485" s="383"/>
      <c r="N485" s="384"/>
      <c r="O485" s="384"/>
      <c r="P485" s="384"/>
      <c r="Q485" s="384"/>
      <c r="R485" s="384"/>
      <c r="S485" s="384"/>
      <c r="T485" s="384"/>
      <c r="U485" s="384"/>
      <c r="X485" s="385"/>
      <c r="Y485" s="385"/>
      <c r="Z485" s="385"/>
      <c r="AC485" s="385"/>
      <c r="AD485" s="385"/>
      <c r="AE485" s="385"/>
      <c r="AH485" s="385"/>
      <c r="AI485" s="385"/>
      <c r="AJ485" s="385"/>
      <c r="AM485" s="385"/>
      <c r="AN485" s="385"/>
      <c r="AO485" s="385"/>
      <c r="AP485" s="385"/>
      <c r="CK485" s="381"/>
    </row>
    <row r="486" spans="2:89" s="372" customFormat="1" x14ac:dyDescent="0.3">
      <c r="B486" s="382"/>
      <c r="C486" s="383"/>
      <c r="D486" s="383"/>
      <c r="N486" s="384"/>
      <c r="O486" s="384"/>
      <c r="P486" s="384"/>
      <c r="Q486" s="384"/>
      <c r="R486" s="384"/>
      <c r="S486" s="384"/>
      <c r="T486" s="384"/>
      <c r="U486" s="384"/>
      <c r="X486" s="385"/>
      <c r="Y486" s="385"/>
      <c r="Z486" s="385"/>
      <c r="AC486" s="385"/>
      <c r="AD486" s="385"/>
      <c r="AE486" s="385"/>
      <c r="AH486" s="385"/>
      <c r="AI486" s="385"/>
      <c r="AJ486" s="385"/>
      <c r="AM486" s="385"/>
      <c r="AN486" s="385"/>
      <c r="AO486" s="385"/>
      <c r="AP486" s="385"/>
      <c r="CK486" s="381"/>
    </row>
    <row r="487" spans="2:89" s="372" customFormat="1" x14ac:dyDescent="0.3">
      <c r="B487" s="382"/>
      <c r="C487" s="383"/>
      <c r="D487" s="383"/>
      <c r="N487" s="384"/>
      <c r="O487" s="384"/>
      <c r="P487" s="384"/>
      <c r="Q487" s="384"/>
      <c r="R487" s="384"/>
      <c r="S487" s="384"/>
      <c r="T487" s="384"/>
      <c r="U487" s="384"/>
      <c r="X487" s="385"/>
      <c r="Y487" s="385"/>
      <c r="Z487" s="385"/>
      <c r="AC487" s="385"/>
      <c r="AD487" s="385"/>
      <c r="AE487" s="385"/>
      <c r="AH487" s="385"/>
      <c r="AI487" s="385"/>
      <c r="AJ487" s="385"/>
      <c r="AM487" s="385"/>
      <c r="AN487" s="385"/>
      <c r="AO487" s="385"/>
      <c r="AP487" s="385"/>
      <c r="CK487" s="381"/>
    </row>
    <row r="488" spans="2:89" s="372" customFormat="1" x14ac:dyDescent="0.3">
      <c r="B488" s="382"/>
      <c r="C488" s="383"/>
      <c r="D488" s="383"/>
      <c r="N488" s="384"/>
      <c r="O488" s="384"/>
      <c r="P488" s="384"/>
      <c r="Q488" s="384"/>
      <c r="R488" s="384"/>
      <c r="S488" s="384"/>
      <c r="T488" s="384"/>
      <c r="U488" s="384"/>
      <c r="X488" s="385"/>
      <c r="Y488" s="385"/>
      <c r="Z488" s="385"/>
      <c r="AC488" s="385"/>
      <c r="AD488" s="385"/>
      <c r="AE488" s="385"/>
      <c r="AH488" s="385"/>
      <c r="AI488" s="385"/>
      <c r="AJ488" s="385"/>
      <c r="AM488" s="385"/>
      <c r="AN488" s="385"/>
      <c r="AO488" s="385"/>
      <c r="AP488" s="385"/>
      <c r="CK488" s="381"/>
    </row>
    <row r="489" spans="2:89" s="372" customFormat="1" x14ac:dyDescent="0.3">
      <c r="B489" s="382"/>
      <c r="C489" s="383"/>
      <c r="D489" s="383"/>
      <c r="N489" s="384"/>
      <c r="O489" s="384"/>
      <c r="P489" s="384"/>
      <c r="Q489" s="384"/>
      <c r="R489" s="384"/>
      <c r="S489" s="384"/>
      <c r="T489" s="384"/>
      <c r="U489" s="384"/>
      <c r="X489" s="385"/>
      <c r="Y489" s="385"/>
      <c r="Z489" s="385"/>
      <c r="AC489" s="385"/>
      <c r="AD489" s="385"/>
      <c r="AE489" s="385"/>
      <c r="AH489" s="385"/>
      <c r="AI489" s="385"/>
      <c r="AJ489" s="385"/>
      <c r="AM489" s="385"/>
      <c r="AN489" s="385"/>
      <c r="AO489" s="385"/>
      <c r="AP489" s="385"/>
      <c r="CK489" s="381"/>
    </row>
    <row r="490" spans="2:89" s="372" customFormat="1" x14ac:dyDescent="0.3">
      <c r="B490" s="382"/>
      <c r="C490" s="383"/>
      <c r="D490" s="383"/>
      <c r="N490" s="384"/>
      <c r="O490" s="384"/>
      <c r="P490" s="384"/>
      <c r="Q490" s="384"/>
      <c r="R490" s="384"/>
      <c r="S490" s="384"/>
      <c r="T490" s="384"/>
      <c r="U490" s="384"/>
      <c r="X490" s="385"/>
      <c r="Y490" s="385"/>
      <c r="Z490" s="385"/>
      <c r="AC490" s="385"/>
      <c r="AD490" s="385"/>
      <c r="AE490" s="385"/>
      <c r="AH490" s="385"/>
      <c r="AI490" s="385"/>
      <c r="AJ490" s="385"/>
      <c r="AM490" s="385"/>
      <c r="AN490" s="385"/>
      <c r="AO490" s="385"/>
      <c r="AP490" s="385"/>
      <c r="CK490" s="381"/>
    </row>
    <row r="491" spans="2:89" s="372" customFormat="1" x14ac:dyDescent="0.3">
      <c r="B491" s="382"/>
      <c r="C491" s="383"/>
      <c r="D491" s="383"/>
      <c r="N491" s="384"/>
      <c r="O491" s="384"/>
      <c r="P491" s="384"/>
      <c r="Q491" s="384"/>
      <c r="R491" s="384"/>
      <c r="S491" s="384"/>
      <c r="T491" s="384"/>
      <c r="U491" s="384"/>
      <c r="X491" s="385"/>
      <c r="Y491" s="385"/>
      <c r="Z491" s="385"/>
      <c r="AC491" s="385"/>
      <c r="AD491" s="385"/>
      <c r="AE491" s="385"/>
      <c r="AH491" s="385"/>
      <c r="AI491" s="385"/>
      <c r="AJ491" s="385"/>
      <c r="AM491" s="385"/>
      <c r="AN491" s="385"/>
      <c r="AO491" s="385"/>
      <c r="AP491" s="385"/>
      <c r="CK491" s="381"/>
    </row>
    <row r="492" spans="2:89" s="372" customFormat="1" x14ac:dyDescent="0.3">
      <c r="B492" s="382"/>
      <c r="C492" s="383"/>
      <c r="D492" s="383"/>
      <c r="N492" s="384"/>
      <c r="O492" s="384"/>
      <c r="P492" s="384"/>
      <c r="Q492" s="384"/>
      <c r="R492" s="384"/>
      <c r="S492" s="384"/>
      <c r="T492" s="384"/>
      <c r="U492" s="384"/>
      <c r="X492" s="385"/>
      <c r="Y492" s="385"/>
      <c r="Z492" s="385"/>
      <c r="AC492" s="385"/>
      <c r="AD492" s="385"/>
      <c r="AE492" s="385"/>
      <c r="AH492" s="385"/>
      <c r="AI492" s="385"/>
      <c r="AJ492" s="385"/>
      <c r="AM492" s="385"/>
      <c r="AN492" s="385"/>
      <c r="AO492" s="385"/>
      <c r="AP492" s="385"/>
      <c r="CK492" s="381"/>
    </row>
    <row r="493" spans="2:89" s="372" customFormat="1" x14ac:dyDescent="0.3">
      <c r="B493" s="382"/>
      <c r="C493" s="383"/>
      <c r="D493" s="383"/>
      <c r="N493" s="384"/>
      <c r="O493" s="384"/>
      <c r="P493" s="384"/>
      <c r="Q493" s="384"/>
      <c r="R493" s="384"/>
      <c r="S493" s="384"/>
      <c r="T493" s="384"/>
      <c r="U493" s="384"/>
      <c r="X493" s="385"/>
      <c r="Y493" s="385"/>
      <c r="Z493" s="385"/>
      <c r="AC493" s="385"/>
      <c r="AD493" s="385"/>
      <c r="AE493" s="385"/>
      <c r="AH493" s="385"/>
      <c r="AI493" s="385"/>
      <c r="AJ493" s="385"/>
      <c r="AM493" s="385"/>
      <c r="AN493" s="385"/>
      <c r="AO493" s="385"/>
      <c r="AP493" s="385"/>
      <c r="CK493" s="381"/>
    </row>
    <row r="494" spans="2:89" s="372" customFormat="1" x14ac:dyDescent="0.3">
      <c r="B494" s="382"/>
      <c r="C494" s="383"/>
      <c r="D494" s="383"/>
      <c r="N494" s="384"/>
      <c r="O494" s="384"/>
      <c r="P494" s="384"/>
      <c r="Q494" s="384"/>
      <c r="R494" s="384"/>
      <c r="S494" s="384"/>
      <c r="T494" s="384"/>
      <c r="U494" s="384"/>
      <c r="X494" s="385"/>
      <c r="Y494" s="385"/>
      <c r="Z494" s="385"/>
      <c r="AC494" s="385"/>
      <c r="AD494" s="385"/>
      <c r="AE494" s="385"/>
      <c r="AH494" s="385"/>
      <c r="AI494" s="385"/>
      <c r="AJ494" s="385"/>
      <c r="AM494" s="385"/>
      <c r="AN494" s="385"/>
      <c r="AO494" s="385"/>
      <c r="AP494" s="385"/>
      <c r="CK494" s="381"/>
    </row>
    <row r="495" spans="2:89" s="372" customFormat="1" x14ac:dyDescent="0.3">
      <c r="B495" s="382"/>
      <c r="C495" s="383"/>
      <c r="D495" s="383"/>
      <c r="N495" s="384"/>
      <c r="O495" s="384"/>
      <c r="P495" s="384"/>
      <c r="Q495" s="384"/>
      <c r="R495" s="384"/>
      <c r="S495" s="384"/>
      <c r="T495" s="384"/>
      <c r="U495" s="384"/>
      <c r="X495" s="385"/>
      <c r="Y495" s="385"/>
      <c r="Z495" s="385"/>
      <c r="AC495" s="385"/>
      <c r="AD495" s="385"/>
      <c r="AE495" s="385"/>
      <c r="AH495" s="385"/>
      <c r="AI495" s="385"/>
      <c r="AJ495" s="385"/>
      <c r="AM495" s="385"/>
      <c r="AN495" s="385"/>
      <c r="AO495" s="385"/>
      <c r="AP495" s="385"/>
      <c r="CK495" s="381"/>
    </row>
    <row r="496" spans="2:89" s="372" customFormat="1" x14ac:dyDescent="0.3">
      <c r="B496" s="382"/>
      <c r="C496" s="383"/>
      <c r="D496" s="383"/>
      <c r="N496" s="384"/>
      <c r="O496" s="384"/>
      <c r="P496" s="384"/>
      <c r="Q496" s="384"/>
      <c r="R496" s="384"/>
      <c r="S496" s="384"/>
      <c r="T496" s="384"/>
      <c r="U496" s="384"/>
      <c r="X496" s="385"/>
      <c r="Y496" s="385"/>
      <c r="Z496" s="385"/>
      <c r="AC496" s="385"/>
      <c r="AD496" s="385"/>
      <c r="AE496" s="385"/>
      <c r="AH496" s="385"/>
      <c r="AI496" s="385"/>
      <c r="AJ496" s="385"/>
      <c r="AM496" s="385"/>
      <c r="AN496" s="385"/>
      <c r="AO496" s="385"/>
      <c r="AP496" s="385"/>
      <c r="CK496" s="381"/>
    </row>
    <row r="497" spans="2:89" s="372" customFormat="1" x14ac:dyDescent="0.3">
      <c r="B497" s="382"/>
      <c r="C497" s="383"/>
      <c r="D497" s="383"/>
      <c r="N497" s="384"/>
      <c r="O497" s="384"/>
      <c r="P497" s="384"/>
      <c r="Q497" s="384"/>
      <c r="R497" s="384"/>
      <c r="S497" s="384"/>
      <c r="T497" s="384"/>
      <c r="U497" s="384"/>
      <c r="X497" s="385"/>
      <c r="Y497" s="385"/>
      <c r="Z497" s="385"/>
      <c r="AC497" s="385"/>
      <c r="AD497" s="385"/>
      <c r="AE497" s="385"/>
      <c r="AH497" s="385"/>
      <c r="AI497" s="385"/>
      <c r="AJ497" s="385"/>
      <c r="AM497" s="385"/>
      <c r="AN497" s="385"/>
      <c r="AO497" s="385"/>
      <c r="AP497" s="385"/>
      <c r="CK497" s="381"/>
    </row>
    <row r="498" spans="2:89" s="372" customFormat="1" x14ac:dyDescent="0.3">
      <c r="B498" s="382"/>
      <c r="C498" s="383"/>
      <c r="D498" s="383"/>
      <c r="N498" s="384"/>
      <c r="O498" s="384"/>
      <c r="P498" s="384"/>
      <c r="Q498" s="384"/>
      <c r="R498" s="384"/>
      <c r="S498" s="384"/>
      <c r="T498" s="384"/>
      <c r="U498" s="384"/>
      <c r="X498" s="385"/>
      <c r="Y498" s="385"/>
      <c r="Z498" s="385"/>
      <c r="AC498" s="385"/>
      <c r="AD498" s="385"/>
      <c r="AE498" s="385"/>
      <c r="AH498" s="385"/>
      <c r="AI498" s="385"/>
      <c r="AJ498" s="385"/>
      <c r="AM498" s="385"/>
      <c r="AN498" s="385"/>
      <c r="AO498" s="385"/>
      <c r="AP498" s="385"/>
      <c r="CK498" s="381"/>
    </row>
    <row r="499" spans="2:89" s="372" customFormat="1" x14ac:dyDescent="0.3">
      <c r="B499" s="382"/>
      <c r="C499" s="383"/>
      <c r="D499" s="383"/>
      <c r="N499" s="384"/>
      <c r="O499" s="384"/>
      <c r="P499" s="384"/>
      <c r="Q499" s="384"/>
      <c r="R499" s="384"/>
      <c r="S499" s="384"/>
      <c r="T499" s="384"/>
      <c r="U499" s="384"/>
      <c r="X499" s="385"/>
      <c r="Y499" s="385"/>
      <c r="Z499" s="385"/>
      <c r="AC499" s="385"/>
      <c r="AD499" s="385"/>
      <c r="AE499" s="385"/>
      <c r="AH499" s="385"/>
      <c r="AI499" s="385"/>
      <c r="AJ499" s="385"/>
      <c r="AM499" s="385"/>
      <c r="AN499" s="385"/>
      <c r="AO499" s="385"/>
      <c r="AP499" s="385"/>
      <c r="CK499" s="381"/>
    </row>
    <row r="500" spans="2:89" s="372" customFormat="1" x14ac:dyDescent="0.3">
      <c r="B500" s="382"/>
      <c r="C500" s="383"/>
      <c r="D500" s="383"/>
      <c r="N500" s="384"/>
      <c r="O500" s="384"/>
      <c r="P500" s="384"/>
      <c r="Q500" s="384"/>
      <c r="R500" s="384"/>
      <c r="S500" s="384"/>
      <c r="T500" s="384"/>
      <c r="U500" s="384"/>
      <c r="X500" s="385"/>
      <c r="Y500" s="385"/>
      <c r="Z500" s="385"/>
      <c r="AC500" s="385"/>
      <c r="AD500" s="385"/>
      <c r="AE500" s="385"/>
      <c r="AH500" s="385"/>
      <c r="AI500" s="385"/>
      <c r="AJ500" s="385"/>
      <c r="AM500" s="385"/>
      <c r="AN500" s="385"/>
      <c r="AO500" s="385"/>
      <c r="AP500" s="385"/>
      <c r="CK500" s="381"/>
    </row>
    <row r="501" spans="2:89" s="372" customFormat="1" x14ac:dyDescent="0.3">
      <c r="B501" s="382"/>
      <c r="C501" s="383"/>
      <c r="D501" s="383"/>
      <c r="N501" s="384"/>
      <c r="O501" s="384"/>
      <c r="P501" s="384"/>
      <c r="Q501" s="384"/>
      <c r="R501" s="384"/>
      <c r="S501" s="384"/>
      <c r="T501" s="384"/>
      <c r="U501" s="384"/>
      <c r="X501" s="385"/>
      <c r="Y501" s="385"/>
      <c r="Z501" s="385"/>
      <c r="AC501" s="385"/>
      <c r="AD501" s="385"/>
      <c r="AE501" s="385"/>
      <c r="AH501" s="385"/>
      <c r="AI501" s="385"/>
      <c r="AJ501" s="385"/>
      <c r="AM501" s="385"/>
      <c r="AN501" s="385"/>
      <c r="AO501" s="385"/>
      <c r="AP501" s="385"/>
      <c r="CK501" s="381"/>
    </row>
    <row r="502" spans="2:89" s="372" customFormat="1" x14ac:dyDescent="0.3">
      <c r="B502" s="382"/>
      <c r="C502" s="383"/>
      <c r="D502" s="383"/>
      <c r="N502" s="384"/>
      <c r="O502" s="384"/>
      <c r="P502" s="384"/>
      <c r="Q502" s="384"/>
      <c r="R502" s="384"/>
      <c r="S502" s="384"/>
      <c r="T502" s="384"/>
      <c r="U502" s="384"/>
      <c r="X502" s="385"/>
      <c r="Y502" s="385"/>
      <c r="Z502" s="385"/>
      <c r="AC502" s="385"/>
      <c r="AD502" s="385"/>
      <c r="AE502" s="385"/>
      <c r="AH502" s="385"/>
      <c r="AI502" s="385"/>
      <c r="AJ502" s="385"/>
      <c r="AM502" s="385"/>
      <c r="AN502" s="385"/>
      <c r="AO502" s="385"/>
      <c r="AP502" s="385"/>
      <c r="CK502" s="381"/>
    </row>
    <row r="503" spans="2:89" s="372" customFormat="1" x14ac:dyDescent="0.3">
      <c r="B503" s="382"/>
      <c r="C503" s="383"/>
      <c r="D503" s="383"/>
      <c r="N503" s="384"/>
      <c r="O503" s="384"/>
      <c r="P503" s="384"/>
      <c r="Q503" s="384"/>
      <c r="R503" s="384"/>
      <c r="S503" s="384"/>
      <c r="T503" s="384"/>
      <c r="U503" s="384"/>
      <c r="X503" s="385"/>
      <c r="Y503" s="385"/>
      <c r="Z503" s="385"/>
      <c r="AC503" s="385"/>
      <c r="AD503" s="385"/>
      <c r="AE503" s="385"/>
      <c r="AH503" s="385"/>
      <c r="AI503" s="385"/>
      <c r="AJ503" s="385"/>
      <c r="AM503" s="385"/>
      <c r="AN503" s="385"/>
      <c r="AO503" s="385"/>
      <c r="AP503" s="385"/>
      <c r="CK503" s="381"/>
    </row>
    <row r="504" spans="2:89" s="372" customFormat="1" x14ac:dyDescent="0.3">
      <c r="B504" s="382"/>
      <c r="C504" s="383"/>
      <c r="D504" s="383"/>
      <c r="N504" s="384"/>
      <c r="O504" s="384"/>
      <c r="P504" s="384"/>
      <c r="Q504" s="384"/>
      <c r="R504" s="384"/>
      <c r="S504" s="384"/>
      <c r="T504" s="384"/>
      <c r="U504" s="384"/>
      <c r="X504" s="385"/>
      <c r="Y504" s="385"/>
      <c r="Z504" s="385"/>
      <c r="AC504" s="385"/>
      <c r="AD504" s="385"/>
      <c r="AE504" s="385"/>
      <c r="AH504" s="385"/>
      <c r="AI504" s="385"/>
      <c r="AJ504" s="385"/>
      <c r="AM504" s="385"/>
      <c r="AN504" s="385"/>
      <c r="AO504" s="385"/>
      <c r="AP504" s="385"/>
      <c r="CK504" s="381"/>
    </row>
    <row r="505" spans="2:89" s="372" customFormat="1" x14ac:dyDescent="0.3">
      <c r="B505" s="382"/>
      <c r="C505" s="383"/>
      <c r="D505" s="383"/>
      <c r="N505" s="384"/>
      <c r="O505" s="384"/>
      <c r="P505" s="384"/>
      <c r="Q505" s="384"/>
      <c r="R505" s="384"/>
      <c r="S505" s="384"/>
      <c r="T505" s="384"/>
      <c r="U505" s="384"/>
      <c r="X505" s="385"/>
      <c r="Y505" s="385"/>
      <c r="Z505" s="385"/>
      <c r="AC505" s="385"/>
      <c r="AD505" s="385"/>
      <c r="AE505" s="385"/>
      <c r="AH505" s="385"/>
      <c r="AI505" s="385"/>
      <c r="AJ505" s="385"/>
      <c r="AM505" s="385"/>
      <c r="AN505" s="385"/>
      <c r="AO505" s="385"/>
      <c r="AP505" s="385"/>
      <c r="CK505" s="381"/>
    </row>
    <row r="506" spans="2:89" s="372" customFormat="1" x14ac:dyDescent="0.3">
      <c r="B506" s="382"/>
      <c r="C506" s="383"/>
      <c r="D506" s="383"/>
      <c r="N506" s="384"/>
      <c r="O506" s="384"/>
      <c r="P506" s="384"/>
      <c r="Q506" s="384"/>
      <c r="R506" s="384"/>
      <c r="S506" s="384"/>
      <c r="T506" s="384"/>
      <c r="U506" s="384"/>
      <c r="X506" s="385"/>
      <c r="Y506" s="385"/>
      <c r="Z506" s="385"/>
      <c r="AC506" s="385"/>
      <c r="AD506" s="385"/>
      <c r="AE506" s="385"/>
      <c r="AH506" s="385"/>
      <c r="AI506" s="385"/>
      <c r="AJ506" s="385"/>
      <c r="AM506" s="385"/>
      <c r="AN506" s="385"/>
      <c r="AO506" s="385"/>
      <c r="AP506" s="385"/>
      <c r="CK506" s="381"/>
    </row>
    <row r="507" spans="2:89" s="372" customFormat="1" x14ac:dyDescent="0.3">
      <c r="B507" s="382"/>
      <c r="C507" s="383"/>
      <c r="D507" s="383"/>
      <c r="N507" s="384"/>
      <c r="O507" s="384"/>
      <c r="P507" s="384"/>
      <c r="Q507" s="384"/>
      <c r="R507" s="384"/>
      <c r="S507" s="384"/>
      <c r="T507" s="384"/>
      <c r="U507" s="384"/>
      <c r="X507" s="385"/>
      <c r="Y507" s="385"/>
      <c r="Z507" s="385"/>
      <c r="AC507" s="385"/>
      <c r="AD507" s="385"/>
      <c r="AE507" s="385"/>
      <c r="AH507" s="385"/>
      <c r="AI507" s="385"/>
      <c r="AJ507" s="385"/>
      <c r="AM507" s="385"/>
      <c r="AN507" s="385"/>
      <c r="AO507" s="385"/>
      <c r="AP507" s="385"/>
      <c r="CK507" s="381"/>
    </row>
    <row r="508" spans="2:89" s="372" customFormat="1" x14ac:dyDescent="0.3">
      <c r="B508" s="382"/>
      <c r="C508" s="383"/>
      <c r="D508" s="383"/>
      <c r="N508" s="384"/>
      <c r="O508" s="384"/>
      <c r="P508" s="384"/>
      <c r="Q508" s="384"/>
      <c r="R508" s="384"/>
      <c r="S508" s="384"/>
      <c r="T508" s="384"/>
      <c r="U508" s="384"/>
      <c r="X508" s="385"/>
      <c r="Y508" s="385"/>
      <c r="Z508" s="385"/>
      <c r="AC508" s="385"/>
      <c r="AD508" s="385"/>
      <c r="AE508" s="385"/>
      <c r="AH508" s="385"/>
      <c r="AI508" s="385"/>
      <c r="AJ508" s="385"/>
      <c r="AM508" s="385"/>
      <c r="AN508" s="385"/>
      <c r="AO508" s="385"/>
      <c r="AP508" s="385"/>
      <c r="CK508" s="381"/>
    </row>
    <row r="509" spans="2:89" s="372" customFormat="1" x14ac:dyDescent="0.3">
      <c r="B509" s="382"/>
      <c r="C509" s="383"/>
      <c r="D509" s="383"/>
      <c r="N509" s="384"/>
      <c r="O509" s="384"/>
      <c r="P509" s="384"/>
      <c r="Q509" s="384"/>
      <c r="R509" s="384"/>
      <c r="S509" s="384"/>
      <c r="T509" s="384"/>
      <c r="U509" s="384"/>
      <c r="X509" s="385"/>
      <c r="Y509" s="385"/>
      <c r="Z509" s="385"/>
      <c r="AC509" s="385"/>
      <c r="AD509" s="385"/>
      <c r="AE509" s="385"/>
      <c r="AH509" s="385"/>
      <c r="AI509" s="385"/>
      <c r="AJ509" s="385"/>
      <c r="AM509" s="385"/>
      <c r="AN509" s="385"/>
      <c r="AO509" s="385"/>
      <c r="AP509" s="385"/>
      <c r="CK509" s="381"/>
    </row>
    <row r="510" spans="2:89" s="372" customFormat="1" x14ac:dyDescent="0.3">
      <c r="B510" s="382"/>
      <c r="C510" s="383"/>
      <c r="D510" s="383"/>
      <c r="N510" s="384"/>
      <c r="O510" s="384"/>
      <c r="P510" s="384"/>
      <c r="Q510" s="384"/>
      <c r="R510" s="384"/>
      <c r="S510" s="384"/>
      <c r="T510" s="384"/>
      <c r="U510" s="384"/>
      <c r="X510" s="385"/>
      <c r="Y510" s="385"/>
      <c r="Z510" s="385"/>
      <c r="AC510" s="385"/>
      <c r="AD510" s="385"/>
      <c r="AE510" s="385"/>
      <c r="AH510" s="385"/>
      <c r="AI510" s="385"/>
      <c r="AJ510" s="385"/>
      <c r="AM510" s="385"/>
      <c r="AN510" s="385"/>
      <c r="AO510" s="385"/>
      <c r="AP510" s="385"/>
      <c r="CK510" s="381"/>
    </row>
    <row r="511" spans="2:89" s="372" customFormat="1" x14ac:dyDescent="0.3">
      <c r="B511" s="382"/>
      <c r="C511" s="383"/>
      <c r="D511" s="383"/>
      <c r="N511" s="384"/>
      <c r="O511" s="384"/>
      <c r="P511" s="384"/>
      <c r="Q511" s="384"/>
      <c r="R511" s="384"/>
      <c r="S511" s="384"/>
      <c r="T511" s="384"/>
      <c r="U511" s="384"/>
      <c r="X511" s="385"/>
      <c r="Y511" s="385"/>
      <c r="Z511" s="385"/>
      <c r="AC511" s="385"/>
      <c r="AD511" s="385"/>
      <c r="AE511" s="385"/>
      <c r="AH511" s="385"/>
      <c r="AI511" s="385"/>
      <c r="AJ511" s="385"/>
      <c r="AM511" s="385"/>
      <c r="AN511" s="385"/>
      <c r="AO511" s="385"/>
      <c r="AP511" s="385"/>
      <c r="CK511" s="381"/>
    </row>
    <row r="512" spans="2:89" s="372" customFormat="1" x14ac:dyDescent="0.3">
      <c r="B512" s="382"/>
      <c r="C512" s="383"/>
      <c r="D512" s="383"/>
      <c r="N512" s="384"/>
      <c r="O512" s="384"/>
      <c r="P512" s="384"/>
      <c r="Q512" s="384"/>
      <c r="R512" s="384"/>
      <c r="S512" s="384"/>
      <c r="T512" s="384"/>
      <c r="U512" s="384"/>
      <c r="X512" s="385"/>
      <c r="Y512" s="385"/>
      <c r="Z512" s="385"/>
      <c r="AC512" s="385"/>
      <c r="AD512" s="385"/>
      <c r="AE512" s="385"/>
      <c r="AH512" s="385"/>
      <c r="AI512" s="385"/>
      <c r="AJ512" s="385"/>
      <c r="AM512" s="385"/>
      <c r="AN512" s="385"/>
      <c r="AO512" s="385"/>
      <c r="AP512" s="385"/>
      <c r="CK512" s="381"/>
    </row>
    <row r="513" spans="2:89" s="372" customFormat="1" x14ac:dyDescent="0.3">
      <c r="B513" s="382"/>
      <c r="C513" s="383"/>
      <c r="D513" s="383"/>
      <c r="N513" s="384"/>
      <c r="O513" s="384"/>
      <c r="P513" s="384"/>
      <c r="Q513" s="384"/>
      <c r="R513" s="384"/>
      <c r="S513" s="384"/>
      <c r="T513" s="384"/>
      <c r="U513" s="384"/>
      <c r="X513" s="385"/>
      <c r="Y513" s="385"/>
      <c r="Z513" s="385"/>
      <c r="AC513" s="385"/>
      <c r="AD513" s="385"/>
      <c r="AE513" s="385"/>
      <c r="AH513" s="385"/>
      <c r="AI513" s="385"/>
      <c r="AJ513" s="385"/>
      <c r="AM513" s="385"/>
      <c r="AN513" s="385"/>
      <c r="AO513" s="385"/>
      <c r="AP513" s="385"/>
      <c r="CK513" s="381"/>
    </row>
    <row r="514" spans="2:89" s="372" customFormat="1" x14ac:dyDescent="0.3">
      <c r="B514" s="382"/>
      <c r="C514" s="383"/>
      <c r="D514" s="383"/>
      <c r="N514" s="384"/>
      <c r="O514" s="384"/>
      <c r="P514" s="384"/>
      <c r="Q514" s="384"/>
      <c r="R514" s="384"/>
      <c r="S514" s="384"/>
      <c r="T514" s="384"/>
      <c r="U514" s="384"/>
      <c r="X514" s="385"/>
      <c r="Y514" s="385"/>
      <c r="Z514" s="385"/>
      <c r="AC514" s="385"/>
      <c r="AD514" s="385"/>
      <c r="AE514" s="385"/>
      <c r="AH514" s="385"/>
      <c r="AI514" s="385"/>
      <c r="AJ514" s="385"/>
      <c r="AM514" s="385"/>
      <c r="AN514" s="385"/>
      <c r="AO514" s="385"/>
      <c r="AP514" s="385"/>
      <c r="CK514" s="381"/>
    </row>
    <row r="515" spans="2:89" s="372" customFormat="1" x14ac:dyDescent="0.3">
      <c r="B515" s="382"/>
      <c r="C515" s="383"/>
      <c r="D515" s="383"/>
      <c r="N515" s="384"/>
      <c r="O515" s="384"/>
      <c r="P515" s="384"/>
      <c r="Q515" s="384"/>
      <c r="R515" s="384"/>
      <c r="S515" s="384"/>
      <c r="T515" s="384"/>
      <c r="U515" s="384"/>
      <c r="X515" s="385"/>
      <c r="Y515" s="385"/>
      <c r="Z515" s="385"/>
      <c r="AC515" s="385"/>
      <c r="AD515" s="385"/>
      <c r="AE515" s="385"/>
      <c r="AH515" s="385"/>
      <c r="AI515" s="385"/>
      <c r="AJ515" s="385"/>
      <c r="AM515" s="385"/>
      <c r="AN515" s="385"/>
      <c r="AO515" s="385"/>
      <c r="AP515" s="385"/>
      <c r="CK515" s="381"/>
    </row>
    <row r="516" spans="2:89" s="372" customFormat="1" x14ac:dyDescent="0.3">
      <c r="B516" s="382"/>
      <c r="C516" s="383"/>
      <c r="D516" s="383"/>
      <c r="N516" s="384"/>
      <c r="O516" s="384"/>
      <c r="P516" s="384"/>
      <c r="Q516" s="384"/>
      <c r="R516" s="384"/>
      <c r="S516" s="384"/>
      <c r="T516" s="384"/>
      <c r="U516" s="384"/>
      <c r="X516" s="385"/>
      <c r="Y516" s="385"/>
      <c r="Z516" s="385"/>
      <c r="AC516" s="385"/>
      <c r="AD516" s="385"/>
      <c r="AE516" s="385"/>
      <c r="AH516" s="385"/>
      <c r="AI516" s="385"/>
      <c r="AJ516" s="385"/>
      <c r="AM516" s="385"/>
      <c r="AN516" s="385"/>
      <c r="AO516" s="385"/>
      <c r="AP516" s="385"/>
      <c r="CK516" s="381"/>
    </row>
    <row r="517" spans="2:89" s="372" customFormat="1" x14ac:dyDescent="0.3">
      <c r="B517" s="382"/>
      <c r="C517" s="383"/>
      <c r="D517" s="383"/>
      <c r="N517" s="384"/>
      <c r="O517" s="384"/>
      <c r="P517" s="384"/>
      <c r="Q517" s="384"/>
      <c r="R517" s="384"/>
      <c r="S517" s="384"/>
      <c r="T517" s="384"/>
      <c r="U517" s="384"/>
      <c r="X517" s="385"/>
      <c r="Y517" s="385"/>
      <c r="Z517" s="385"/>
      <c r="AC517" s="385"/>
      <c r="AD517" s="385"/>
      <c r="AE517" s="385"/>
      <c r="AH517" s="385"/>
      <c r="AI517" s="385"/>
      <c r="AJ517" s="385"/>
      <c r="AM517" s="385"/>
      <c r="AN517" s="385"/>
      <c r="AO517" s="385"/>
      <c r="AP517" s="385"/>
      <c r="CK517" s="381"/>
    </row>
    <row r="518" spans="2:89" s="372" customFormat="1" x14ac:dyDescent="0.3">
      <c r="B518" s="382"/>
      <c r="C518" s="383"/>
      <c r="D518" s="383"/>
      <c r="N518" s="384"/>
      <c r="O518" s="384"/>
      <c r="P518" s="384"/>
      <c r="Q518" s="384"/>
      <c r="R518" s="384"/>
      <c r="S518" s="384"/>
      <c r="T518" s="384"/>
      <c r="U518" s="384"/>
      <c r="X518" s="385"/>
      <c r="Y518" s="385"/>
      <c r="Z518" s="385"/>
      <c r="AC518" s="385"/>
      <c r="AD518" s="385"/>
      <c r="AE518" s="385"/>
      <c r="AH518" s="385"/>
      <c r="AI518" s="385"/>
      <c r="AJ518" s="385"/>
      <c r="AM518" s="385"/>
      <c r="AN518" s="385"/>
      <c r="AO518" s="385"/>
      <c r="AP518" s="385"/>
      <c r="CK518" s="381"/>
    </row>
    <row r="519" spans="2:89" s="372" customFormat="1" x14ac:dyDescent="0.3">
      <c r="B519" s="382"/>
      <c r="C519" s="383"/>
      <c r="D519" s="383"/>
      <c r="N519" s="384"/>
      <c r="O519" s="384"/>
      <c r="P519" s="384"/>
      <c r="Q519" s="384"/>
      <c r="R519" s="384"/>
      <c r="S519" s="384"/>
      <c r="T519" s="384"/>
      <c r="U519" s="384"/>
      <c r="X519" s="385"/>
      <c r="Y519" s="385"/>
      <c r="Z519" s="385"/>
      <c r="AC519" s="385"/>
      <c r="AD519" s="385"/>
      <c r="AE519" s="385"/>
      <c r="AH519" s="385"/>
      <c r="AI519" s="385"/>
      <c r="AJ519" s="385"/>
      <c r="AM519" s="385"/>
      <c r="AN519" s="385"/>
      <c r="AO519" s="385"/>
      <c r="AP519" s="385"/>
      <c r="CK519" s="381"/>
    </row>
    <row r="520" spans="2:89" s="372" customFormat="1" x14ac:dyDescent="0.3">
      <c r="B520" s="382"/>
      <c r="C520" s="383"/>
      <c r="D520" s="383"/>
      <c r="N520" s="384"/>
      <c r="O520" s="384"/>
      <c r="P520" s="384"/>
      <c r="Q520" s="384"/>
      <c r="R520" s="384"/>
      <c r="S520" s="384"/>
      <c r="T520" s="384"/>
      <c r="U520" s="384"/>
      <c r="X520" s="385"/>
      <c r="Y520" s="385"/>
      <c r="Z520" s="385"/>
      <c r="AC520" s="385"/>
      <c r="AD520" s="385"/>
      <c r="AE520" s="385"/>
      <c r="AH520" s="385"/>
      <c r="AI520" s="385"/>
      <c r="AJ520" s="385"/>
      <c r="AM520" s="385"/>
      <c r="AN520" s="385"/>
      <c r="AO520" s="385"/>
      <c r="AP520" s="385"/>
      <c r="CK520" s="381"/>
    </row>
    <row r="521" spans="2:89" s="372" customFormat="1" x14ac:dyDescent="0.3">
      <c r="B521" s="382"/>
      <c r="C521" s="383"/>
      <c r="D521" s="383"/>
      <c r="N521" s="384"/>
      <c r="O521" s="384"/>
      <c r="P521" s="384"/>
      <c r="Q521" s="384"/>
      <c r="R521" s="384"/>
      <c r="S521" s="384"/>
      <c r="T521" s="384"/>
      <c r="U521" s="384"/>
      <c r="X521" s="385"/>
      <c r="Y521" s="385"/>
      <c r="Z521" s="385"/>
      <c r="AC521" s="385"/>
      <c r="AD521" s="385"/>
      <c r="AE521" s="385"/>
      <c r="AH521" s="385"/>
      <c r="AI521" s="385"/>
      <c r="AJ521" s="385"/>
      <c r="AM521" s="385"/>
      <c r="AN521" s="385"/>
      <c r="AO521" s="385"/>
      <c r="AP521" s="385"/>
      <c r="CK521" s="381"/>
    </row>
    <row r="522" spans="2:89" s="372" customFormat="1" x14ac:dyDescent="0.3">
      <c r="B522" s="382"/>
      <c r="C522" s="383"/>
      <c r="D522" s="383"/>
      <c r="N522" s="384"/>
      <c r="O522" s="384"/>
      <c r="P522" s="384"/>
      <c r="Q522" s="384"/>
      <c r="R522" s="384"/>
      <c r="S522" s="384"/>
      <c r="T522" s="384"/>
      <c r="U522" s="384"/>
      <c r="X522" s="385"/>
      <c r="Y522" s="385"/>
      <c r="Z522" s="385"/>
      <c r="AC522" s="385"/>
      <c r="AD522" s="385"/>
      <c r="AE522" s="385"/>
      <c r="AH522" s="385"/>
      <c r="AI522" s="385"/>
      <c r="AJ522" s="385"/>
      <c r="AM522" s="385"/>
      <c r="AN522" s="385"/>
      <c r="AO522" s="385"/>
      <c r="AP522" s="385"/>
      <c r="CK522" s="381"/>
    </row>
    <row r="523" spans="2:89" s="372" customFormat="1" x14ac:dyDescent="0.3">
      <c r="B523" s="382"/>
      <c r="C523" s="383"/>
      <c r="D523" s="383"/>
      <c r="N523" s="384"/>
      <c r="O523" s="384"/>
      <c r="P523" s="384"/>
      <c r="Q523" s="384"/>
      <c r="R523" s="384"/>
      <c r="S523" s="384"/>
      <c r="T523" s="384"/>
      <c r="U523" s="384"/>
      <c r="X523" s="385"/>
      <c r="Y523" s="385"/>
      <c r="Z523" s="385"/>
      <c r="AC523" s="385"/>
      <c r="AD523" s="385"/>
      <c r="AE523" s="385"/>
      <c r="AH523" s="385"/>
      <c r="AI523" s="385"/>
      <c r="AJ523" s="385"/>
      <c r="AM523" s="385"/>
      <c r="AN523" s="385"/>
      <c r="AO523" s="385"/>
      <c r="AP523" s="385"/>
      <c r="CK523" s="381"/>
    </row>
    <row r="524" spans="2:89" s="372" customFormat="1" x14ac:dyDescent="0.3">
      <c r="B524" s="382"/>
      <c r="C524" s="383"/>
      <c r="D524" s="383"/>
      <c r="N524" s="384"/>
      <c r="O524" s="384"/>
      <c r="P524" s="384"/>
      <c r="Q524" s="384"/>
      <c r="R524" s="384"/>
      <c r="S524" s="384"/>
      <c r="T524" s="384"/>
      <c r="U524" s="384"/>
      <c r="X524" s="385"/>
      <c r="Y524" s="385"/>
      <c r="Z524" s="385"/>
      <c r="AC524" s="385"/>
      <c r="AD524" s="385"/>
      <c r="AE524" s="385"/>
      <c r="AH524" s="385"/>
      <c r="AI524" s="385"/>
      <c r="AJ524" s="385"/>
      <c r="AM524" s="385"/>
      <c r="AN524" s="385"/>
      <c r="AO524" s="385"/>
      <c r="AP524" s="385"/>
      <c r="CK524" s="381"/>
    </row>
    <row r="525" spans="2:89" s="372" customFormat="1" x14ac:dyDescent="0.3">
      <c r="B525" s="382"/>
      <c r="C525" s="383"/>
      <c r="D525" s="383"/>
      <c r="N525" s="384"/>
      <c r="O525" s="384"/>
      <c r="P525" s="384"/>
      <c r="Q525" s="384"/>
      <c r="R525" s="384"/>
      <c r="S525" s="384"/>
      <c r="T525" s="384"/>
      <c r="U525" s="384"/>
      <c r="X525" s="385"/>
      <c r="Y525" s="385"/>
      <c r="Z525" s="385"/>
      <c r="AC525" s="385"/>
      <c r="AD525" s="385"/>
      <c r="AE525" s="385"/>
      <c r="AH525" s="385"/>
      <c r="AI525" s="385"/>
      <c r="AJ525" s="385"/>
      <c r="AM525" s="385"/>
      <c r="AN525" s="385"/>
      <c r="AO525" s="385"/>
      <c r="AP525" s="385"/>
      <c r="CK525" s="381"/>
    </row>
    <row r="526" spans="2:89" s="372" customFormat="1" x14ac:dyDescent="0.3">
      <c r="B526" s="382"/>
      <c r="C526" s="383"/>
      <c r="D526" s="383"/>
      <c r="N526" s="384"/>
      <c r="O526" s="384"/>
      <c r="P526" s="384"/>
      <c r="Q526" s="384"/>
      <c r="R526" s="384"/>
      <c r="S526" s="384"/>
      <c r="T526" s="384"/>
      <c r="U526" s="384"/>
      <c r="X526" s="385"/>
      <c r="Y526" s="385"/>
      <c r="Z526" s="385"/>
      <c r="AC526" s="385"/>
      <c r="AD526" s="385"/>
      <c r="AE526" s="385"/>
      <c r="AH526" s="385"/>
      <c r="AI526" s="385"/>
      <c r="AJ526" s="385"/>
      <c r="AM526" s="385"/>
      <c r="AN526" s="385"/>
      <c r="AO526" s="385"/>
      <c r="AP526" s="385"/>
      <c r="CK526" s="381"/>
    </row>
    <row r="527" spans="2:89" s="372" customFormat="1" x14ac:dyDescent="0.3">
      <c r="B527" s="382"/>
      <c r="C527" s="383"/>
      <c r="D527" s="383"/>
      <c r="N527" s="384"/>
      <c r="O527" s="384"/>
      <c r="P527" s="384"/>
      <c r="Q527" s="384"/>
      <c r="R527" s="384"/>
      <c r="S527" s="384"/>
      <c r="T527" s="384"/>
      <c r="U527" s="384"/>
      <c r="X527" s="385"/>
      <c r="Y527" s="385"/>
      <c r="Z527" s="385"/>
      <c r="AC527" s="385"/>
      <c r="AD527" s="385"/>
      <c r="AE527" s="385"/>
      <c r="AH527" s="385"/>
      <c r="AI527" s="385"/>
      <c r="AJ527" s="385"/>
      <c r="AM527" s="385"/>
      <c r="AN527" s="385"/>
      <c r="AO527" s="385"/>
      <c r="AP527" s="385"/>
      <c r="CK527" s="381"/>
    </row>
    <row r="528" spans="2:89" s="372" customFormat="1" x14ac:dyDescent="0.3">
      <c r="B528" s="382"/>
      <c r="C528" s="383"/>
      <c r="D528" s="383"/>
      <c r="N528" s="384"/>
      <c r="O528" s="384"/>
      <c r="P528" s="384"/>
      <c r="Q528" s="384"/>
      <c r="R528" s="384"/>
      <c r="S528" s="384"/>
      <c r="T528" s="384"/>
      <c r="U528" s="384"/>
      <c r="X528" s="385"/>
      <c r="Y528" s="385"/>
      <c r="Z528" s="385"/>
      <c r="AC528" s="385"/>
      <c r="AD528" s="385"/>
      <c r="AE528" s="385"/>
      <c r="AH528" s="385"/>
      <c r="AI528" s="385"/>
      <c r="AJ528" s="385"/>
      <c r="AM528" s="385"/>
      <c r="AN528" s="385"/>
      <c r="AO528" s="385"/>
      <c r="AP528" s="385"/>
      <c r="CK528" s="381"/>
    </row>
    <row r="529" spans="2:89" s="372" customFormat="1" x14ac:dyDescent="0.3">
      <c r="B529" s="382"/>
      <c r="C529" s="383"/>
      <c r="D529" s="383"/>
      <c r="N529" s="384"/>
      <c r="O529" s="384"/>
      <c r="P529" s="384"/>
      <c r="Q529" s="384"/>
      <c r="R529" s="384"/>
      <c r="S529" s="384"/>
      <c r="T529" s="384"/>
      <c r="U529" s="384"/>
      <c r="X529" s="385"/>
      <c r="Y529" s="385"/>
      <c r="Z529" s="385"/>
      <c r="AC529" s="385"/>
      <c r="AD529" s="385"/>
      <c r="AE529" s="385"/>
      <c r="AH529" s="385"/>
      <c r="AI529" s="385"/>
      <c r="AJ529" s="385"/>
      <c r="AM529" s="385"/>
      <c r="AN529" s="385"/>
      <c r="AO529" s="385"/>
      <c r="AP529" s="385"/>
      <c r="CK529" s="381"/>
    </row>
    <row r="530" spans="2:89" s="372" customFormat="1" x14ac:dyDescent="0.3">
      <c r="B530" s="382"/>
      <c r="C530" s="383"/>
      <c r="D530" s="383"/>
      <c r="N530" s="384"/>
      <c r="O530" s="384"/>
      <c r="P530" s="384"/>
      <c r="Q530" s="384"/>
      <c r="R530" s="384"/>
      <c r="S530" s="384"/>
      <c r="T530" s="384"/>
      <c r="U530" s="384"/>
      <c r="X530" s="385"/>
      <c r="Y530" s="385"/>
      <c r="Z530" s="385"/>
      <c r="AC530" s="385"/>
      <c r="AD530" s="385"/>
      <c r="AE530" s="385"/>
      <c r="AH530" s="385"/>
      <c r="AI530" s="385"/>
      <c r="AJ530" s="385"/>
      <c r="AM530" s="385"/>
      <c r="AN530" s="385"/>
      <c r="AO530" s="385"/>
      <c r="AP530" s="385"/>
      <c r="CK530" s="381"/>
    </row>
    <row r="531" spans="2:89" s="372" customFormat="1" x14ac:dyDescent="0.3">
      <c r="B531" s="382"/>
      <c r="C531" s="383"/>
      <c r="D531" s="383"/>
      <c r="N531" s="384"/>
      <c r="O531" s="384"/>
      <c r="P531" s="384"/>
      <c r="Q531" s="384"/>
      <c r="R531" s="384"/>
      <c r="S531" s="384"/>
      <c r="T531" s="384"/>
      <c r="U531" s="384"/>
      <c r="X531" s="385"/>
      <c r="Y531" s="385"/>
      <c r="Z531" s="385"/>
      <c r="AC531" s="385"/>
      <c r="AD531" s="385"/>
      <c r="AE531" s="385"/>
      <c r="AH531" s="385"/>
      <c r="AI531" s="385"/>
      <c r="AJ531" s="385"/>
      <c r="AM531" s="385"/>
      <c r="AN531" s="385"/>
      <c r="AO531" s="385"/>
      <c r="AP531" s="385"/>
      <c r="CK531" s="381"/>
    </row>
    <row r="532" spans="2:89" s="372" customFormat="1" x14ac:dyDescent="0.3">
      <c r="B532" s="382"/>
      <c r="C532" s="383"/>
      <c r="D532" s="383"/>
      <c r="N532" s="384"/>
      <c r="O532" s="384"/>
      <c r="P532" s="384"/>
      <c r="Q532" s="384"/>
      <c r="R532" s="384"/>
      <c r="S532" s="384"/>
      <c r="T532" s="384"/>
      <c r="U532" s="384"/>
      <c r="X532" s="385"/>
      <c r="Y532" s="385"/>
      <c r="Z532" s="385"/>
      <c r="AC532" s="385"/>
      <c r="AD532" s="385"/>
      <c r="AE532" s="385"/>
      <c r="AH532" s="385"/>
      <c r="AI532" s="385"/>
      <c r="AJ532" s="385"/>
      <c r="AM532" s="385"/>
      <c r="AN532" s="385"/>
      <c r="AO532" s="385"/>
      <c r="AP532" s="385"/>
      <c r="CK532" s="381"/>
    </row>
    <row r="533" spans="2:89" s="372" customFormat="1" x14ac:dyDescent="0.3">
      <c r="B533" s="382"/>
      <c r="C533" s="383"/>
      <c r="D533" s="383"/>
      <c r="N533" s="384"/>
      <c r="O533" s="384"/>
      <c r="P533" s="384"/>
      <c r="Q533" s="384"/>
      <c r="R533" s="384"/>
      <c r="S533" s="384"/>
      <c r="T533" s="384"/>
      <c r="U533" s="384"/>
      <c r="X533" s="385"/>
      <c r="Y533" s="385"/>
      <c r="Z533" s="385"/>
      <c r="AC533" s="385"/>
      <c r="AD533" s="385"/>
      <c r="AE533" s="385"/>
      <c r="AH533" s="385"/>
      <c r="AI533" s="385"/>
      <c r="AJ533" s="385"/>
      <c r="AM533" s="385"/>
      <c r="AN533" s="385"/>
      <c r="AO533" s="385"/>
      <c r="AP533" s="385"/>
      <c r="CK533" s="381"/>
    </row>
    <row r="534" spans="2:89" s="372" customFormat="1" x14ac:dyDescent="0.3">
      <c r="B534" s="382"/>
      <c r="C534" s="383"/>
      <c r="D534" s="383"/>
      <c r="N534" s="384"/>
      <c r="O534" s="384"/>
      <c r="P534" s="384"/>
      <c r="Q534" s="384"/>
      <c r="R534" s="384"/>
      <c r="S534" s="384"/>
      <c r="T534" s="384"/>
      <c r="U534" s="384"/>
      <c r="X534" s="385"/>
      <c r="Y534" s="385"/>
      <c r="Z534" s="385"/>
      <c r="AC534" s="385"/>
      <c r="AD534" s="385"/>
      <c r="AE534" s="385"/>
      <c r="AH534" s="385"/>
      <c r="AI534" s="385"/>
      <c r="AJ534" s="385"/>
      <c r="AM534" s="385"/>
      <c r="AN534" s="385"/>
      <c r="AO534" s="385"/>
      <c r="AP534" s="385"/>
      <c r="CK534" s="381"/>
    </row>
    <row r="535" spans="2:89" s="372" customFormat="1" x14ac:dyDescent="0.3">
      <c r="B535" s="382"/>
      <c r="C535" s="383"/>
      <c r="D535" s="383"/>
      <c r="N535" s="384"/>
      <c r="O535" s="384"/>
      <c r="P535" s="384"/>
      <c r="Q535" s="384"/>
      <c r="R535" s="384"/>
      <c r="S535" s="384"/>
      <c r="T535" s="384"/>
      <c r="U535" s="384"/>
      <c r="X535" s="385"/>
      <c r="Y535" s="385"/>
      <c r="Z535" s="385"/>
      <c r="AC535" s="385"/>
      <c r="AD535" s="385"/>
      <c r="AE535" s="385"/>
      <c r="AH535" s="385"/>
      <c r="AI535" s="385"/>
      <c r="AJ535" s="385"/>
      <c r="AM535" s="385"/>
      <c r="AN535" s="385"/>
      <c r="AO535" s="385"/>
      <c r="AP535" s="385"/>
      <c r="CK535" s="381"/>
    </row>
    <row r="536" spans="2:89" s="372" customFormat="1" x14ac:dyDescent="0.3">
      <c r="B536" s="382"/>
      <c r="C536" s="383"/>
      <c r="D536" s="383"/>
      <c r="N536" s="384"/>
      <c r="O536" s="384"/>
      <c r="P536" s="384"/>
      <c r="Q536" s="384"/>
      <c r="R536" s="384"/>
      <c r="S536" s="384"/>
      <c r="T536" s="384"/>
      <c r="U536" s="384"/>
      <c r="X536" s="385"/>
      <c r="Y536" s="385"/>
      <c r="Z536" s="385"/>
      <c r="AC536" s="385"/>
      <c r="AD536" s="385"/>
      <c r="AE536" s="385"/>
      <c r="AH536" s="385"/>
      <c r="AI536" s="385"/>
      <c r="AJ536" s="385"/>
      <c r="AM536" s="385"/>
      <c r="AN536" s="385"/>
      <c r="AO536" s="385"/>
      <c r="AP536" s="385"/>
      <c r="CK536" s="381"/>
    </row>
    <row r="537" spans="2:89" s="372" customFormat="1" x14ac:dyDescent="0.3">
      <c r="B537" s="382"/>
      <c r="C537" s="383"/>
      <c r="D537" s="383"/>
      <c r="N537" s="384"/>
      <c r="O537" s="384"/>
      <c r="P537" s="384"/>
      <c r="Q537" s="384"/>
      <c r="R537" s="384"/>
      <c r="S537" s="384"/>
      <c r="T537" s="384"/>
      <c r="U537" s="384"/>
      <c r="X537" s="385"/>
      <c r="Y537" s="385"/>
      <c r="Z537" s="385"/>
      <c r="AC537" s="385"/>
      <c r="AD537" s="385"/>
      <c r="AE537" s="385"/>
      <c r="AH537" s="385"/>
      <c r="AI537" s="385"/>
      <c r="AJ537" s="385"/>
      <c r="AM537" s="385"/>
      <c r="AN537" s="385"/>
      <c r="AO537" s="385"/>
      <c r="AP537" s="385"/>
      <c r="CK537" s="381"/>
    </row>
    <row r="538" spans="2:89" s="372" customFormat="1" x14ac:dyDescent="0.3">
      <c r="B538" s="382"/>
      <c r="C538" s="383"/>
      <c r="D538" s="383"/>
      <c r="N538" s="384"/>
      <c r="O538" s="384"/>
      <c r="P538" s="384"/>
      <c r="Q538" s="384"/>
      <c r="R538" s="384"/>
      <c r="S538" s="384"/>
      <c r="T538" s="384"/>
      <c r="U538" s="384"/>
      <c r="X538" s="385"/>
      <c r="Y538" s="385"/>
      <c r="Z538" s="385"/>
      <c r="AC538" s="385"/>
      <c r="AD538" s="385"/>
      <c r="AE538" s="385"/>
      <c r="AH538" s="385"/>
      <c r="AI538" s="385"/>
      <c r="AJ538" s="385"/>
      <c r="AM538" s="385"/>
      <c r="AN538" s="385"/>
      <c r="AO538" s="385"/>
      <c r="AP538" s="385"/>
      <c r="CK538" s="381"/>
    </row>
    <row r="539" spans="2:89" s="372" customFormat="1" x14ac:dyDescent="0.3">
      <c r="B539" s="382"/>
      <c r="C539" s="383"/>
      <c r="D539" s="383"/>
      <c r="N539" s="384"/>
      <c r="O539" s="384"/>
      <c r="P539" s="384"/>
      <c r="Q539" s="384"/>
      <c r="R539" s="384"/>
      <c r="S539" s="384"/>
      <c r="T539" s="384"/>
      <c r="U539" s="384"/>
      <c r="X539" s="385"/>
      <c r="Y539" s="385"/>
      <c r="Z539" s="385"/>
      <c r="AC539" s="385"/>
      <c r="AD539" s="385"/>
      <c r="AE539" s="385"/>
      <c r="AH539" s="385"/>
      <c r="AI539" s="385"/>
      <c r="AJ539" s="385"/>
      <c r="AM539" s="385"/>
      <c r="AN539" s="385"/>
      <c r="AO539" s="385"/>
      <c r="AP539" s="385"/>
      <c r="CK539" s="381"/>
    </row>
    <row r="540" spans="2:89" s="372" customFormat="1" x14ac:dyDescent="0.3">
      <c r="B540" s="382"/>
      <c r="C540" s="383"/>
      <c r="D540" s="383"/>
      <c r="N540" s="384"/>
      <c r="O540" s="384"/>
      <c r="P540" s="384"/>
      <c r="Q540" s="384"/>
      <c r="R540" s="384"/>
      <c r="S540" s="384"/>
      <c r="T540" s="384"/>
      <c r="U540" s="384"/>
      <c r="X540" s="385"/>
      <c r="Y540" s="385"/>
      <c r="Z540" s="385"/>
      <c r="AC540" s="385"/>
      <c r="AD540" s="385"/>
      <c r="AE540" s="385"/>
      <c r="AH540" s="385"/>
      <c r="AI540" s="385"/>
      <c r="AJ540" s="385"/>
      <c r="AM540" s="385"/>
      <c r="AN540" s="385"/>
      <c r="AO540" s="385"/>
      <c r="AP540" s="385"/>
      <c r="CK540" s="381"/>
    </row>
    <row r="541" spans="2:89" s="372" customFormat="1" x14ac:dyDescent="0.3">
      <c r="B541" s="382"/>
      <c r="C541" s="383"/>
      <c r="D541" s="383"/>
      <c r="N541" s="384"/>
      <c r="O541" s="384"/>
      <c r="P541" s="384"/>
      <c r="Q541" s="384"/>
      <c r="R541" s="384"/>
      <c r="S541" s="384"/>
      <c r="T541" s="384"/>
      <c r="U541" s="384"/>
      <c r="X541" s="385"/>
      <c r="Y541" s="385"/>
      <c r="Z541" s="385"/>
      <c r="AC541" s="385"/>
      <c r="AD541" s="385"/>
      <c r="AE541" s="385"/>
      <c r="AH541" s="385"/>
      <c r="AI541" s="385"/>
      <c r="AJ541" s="385"/>
      <c r="AM541" s="385"/>
      <c r="AN541" s="385"/>
      <c r="AO541" s="385"/>
      <c r="AP541" s="385"/>
      <c r="CK541" s="381"/>
    </row>
    <row r="542" spans="2:89" s="372" customFormat="1" x14ac:dyDescent="0.3">
      <c r="B542" s="382"/>
      <c r="C542" s="383"/>
      <c r="D542" s="383"/>
      <c r="N542" s="384"/>
      <c r="O542" s="384"/>
      <c r="P542" s="384"/>
      <c r="Q542" s="384"/>
      <c r="R542" s="384"/>
      <c r="S542" s="384"/>
      <c r="T542" s="384"/>
      <c r="U542" s="384"/>
      <c r="X542" s="385"/>
      <c r="Y542" s="385"/>
      <c r="Z542" s="385"/>
      <c r="AC542" s="385"/>
      <c r="AD542" s="385"/>
      <c r="AE542" s="385"/>
      <c r="AH542" s="385"/>
      <c r="AI542" s="385"/>
      <c r="AJ542" s="385"/>
      <c r="AM542" s="385"/>
      <c r="AN542" s="385"/>
      <c r="AO542" s="385"/>
      <c r="AP542" s="385"/>
      <c r="CK542" s="381"/>
    </row>
    <row r="543" spans="2:89" s="372" customFormat="1" x14ac:dyDescent="0.3">
      <c r="B543" s="382"/>
      <c r="C543" s="383"/>
      <c r="D543" s="383"/>
      <c r="N543" s="384"/>
      <c r="O543" s="384"/>
      <c r="P543" s="384"/>
      <c r="Q543" s="384"/>
      <c r="R543" s="384"/>
      <c r="S543" s="384"/>
      <c r="T543" s="384"/>
      <c r="U543" s="384"/>
      <c r="X543" s="385"/>
      <c r="Y543" s="385"/>
      <c r="Z543" s="385"/>
      <c r="AC543" s="385"/>
      <c r="AD543" s="385"/>
      <c r="AE543" s="385"/>
      <c r="AH543" s="385"/>
      <c r="AI543" s="385"/>
      <c r="AJ543" s="385"/>
      <c r="AM543" s="385"/>
      <c r="AN543" s="385"/>
      <c r="AO543" s="385"/>
      <c r="AP543" s="385"/>
      <c r="CK543" s="381"/>
    </row>
    <row r="544" spans="2:89" s="372" customFormat="1" x14ac:dyDescent="0.3">
      <c r="B544" s="382"/>
      <c r="C544" s="383"/>
      <c r="D544" s="383"/>
      <c r="N544" s="384"/>
      <c r="O544" s="384"/>
      <c r="P544" s="384"/>
      <c r="Q544" s="384"/>
      <c r="R544" s="384"/>
      <c r="S544" s="384"/>
      <c r="T544" s="384"/>
      <c r="U544" s="384"/>
      <c r="X544" s="385"/>
      <c r="Y544" s="385"/>
      <c r="Z544" s="385"/>
      <c r="AC544" s="385"/>
      <c r="AD544" s="385"/>
      <c r="AE544" s="385"/>
      <c r="AH544" s="385"/>
      <c r="AI544" s="385"/>
      <c r="AJ544" s="385"/>
      <c r="AM544" s="385"/>
      <c r="AN544" s="385"/>
      <c r="AO544" s="385"/>
      <c r="AP544" s="385"/>
      <c r="CK544" s="381"/>
    </row>
    <row r="545" spans="2:89" s="372" customFormat="1" x14ac:dyDescent="0.3">
      <c r="B545" s="382"/>
      <c r="C545" s="383"/>
      <c r="D545" s="383"/>
      <c r="N545" s="384"/>
      <c r="O545" s="384"/>
      <c r="P545" s="384"/>
      <c r="Q545" s="384"/>
      <c r="R545" s="384"/>
      <c r="S545" s="384"/>
      <c r="T545" s="384"/>
      <c r="U545" s="384"/>
      <c r="X545" s="385"/>
      <c r="Y545" s="385"/>
      <c r="Z545" s="385"/>
      <c r="AC545" s="385"/>
      <c r="AD545" s="385"/>
      <c r="AE545" s="385"/>
      <c r="AH545" s="385"/>
      <c r="AI545" s="385"/>
      <c r="AJ545" s="385"/>
      <c r="AM545" s="385"/>
      <c r="AN545" s="385"/>
      <c r="AO545" s="385"/>
      <c r="AP545" s="385"/>
      <c r="CK545" s="381"/>
    </row>
    <row r="546" spans="2:89" s="372" customFormat="1" x14ac:dyDescent="0.3">
      <c r="B546" s="382"/>
      <c r="C546" s="383"/>
      <c r="D546" s="383"/>
      <c r="N546" s="384"/>
      <c r="O546" s="384"/>
      <c r="P546" s="384"/>
      <c r="Q546" s="384"/>
      <c r="R546" s="384"/>
      <c r="S546" s="384"/>
      <c r="T546" s="384"/>
      <c r="U546" s="384"/>
      <c r="X546" s="385"/>
      <c r="Y546" s="385"/>
      <c r="Z546" s="385"/>
      <c r="AC546" s="385"/>
      <c r="AD546" s="385"/>
      <c r="AE546" s="385"/>
      <c r="AH546" s="385"/>
      <c r="AI546" s="385"/>
      <c r="AJ546" s="385"/>
      <c r="AM546" s="385"/>
      <c r="AN546" s="385"/>
      <c r="AO546" s="385"/>
      <c r="AP546" s="385"/>
      <c r="CK546" s="381"/>
    </row>
    <row r="547" spans="2:89" s="372" customFormat="1" x14ac:dyDescent="0.3">
      <c r="B547" s="382"/>
      <c r="C547" s="383"/>
      <c r="D547" s="383"/>
      <c r="N547" s="384"/>
      <c r="O547" s="384"/>
      <c r="P547" s="384"/>
      <c r="Q547" s="384"/>
      <c r="R547" s="384"/>
      <c r="S547" s="384"/>
      <c r="T547" s="384"/>
      <c r="U547" s="384"/>
      <c r="X547" s="385"/>
      <c r="Y547" s="385"/>
      <c r="Z547" s="385"/>
      <c r="AC547" s="385"/>
      <c r="AD547" s="385"/>
      <c r="AE547" s="385"/>
      <c r="AH547" s="385"/>
      <c r="AI547" s="385"/>
      <c r="AJ547" s="385"/>
      <c r="AM547" s="385"/>
      <c r="AN547" s="385"/>
      <c r="AO547" s="385"/>
      <c r="AP547" s="385"/>
      <c r="CK547" s="381"/>
    </row>
    <row r="548" spans="2:89" s="372" customFormat="1" x14ac:dyDescent="0.3">
      <c r="B548" s="382"/>
      <c r="C548" s="383"/>
      <c r="D548" s="383"/>
      <c r="N548" s="384"/>
      <c r="O548" s="384"/>
      <c r="P548" s="384"/>
      <c r="Q548" s="384"/>
      <c r="R548" s="384"/>
      <c r="S548" s="384"/>
      <c r="T548" s="384"/>
      <c r="U548" s="384"/>
      <c r="X548" s="385"/>
      <c r="Y548" s="385"/>
      <c r="Z548" s="385"/>
      <c r="AC548" s="385"/>
      <c r="AD548" s="385"/>
      <c r="AE548" s="385"/>
      <c r="AH548" s="385"/>
      <c r="AI548" s="385"/>
      <c r="AJ548" s="385"/>
      <c r="AM548" s="385"/>
      <c r="AN548" s="385"/>
      <c r="AO548" s="385"/>
      <c r="AP548" s="385"/>
      <c r="CK548" s="381"/>
    </row>
    <row r="549" spans="2:89" s="372" customFormat="1" x14ac:dyDescent="0.3">
      <c r="B549" s="382"/>
      <c r="C549" s="383"/>
      <c r="D549" s="383"/>
      <c r="N549" s="384"/>
      <c r="O549" s="384"/>
      <c r="P549" s="384"/>
      <c r="Q549" s="384"/>
      <c r="R549" s="384"/>
      <c r="S549" s="384"/>
      <c r="T549" s="384"/>
      <c r="U549" s="384"/>
      <c r="X549" s="385"/>
      <c r="Y549" s="385"/>
      <c r="Z549" s="385"/>
      <c r="AC549" s="385"/>
      <c r="AD549" s="385"/>
      <c r="AE549" s="385"/>
      <c r="AH549" s="385"/>
      <c r="AI549" s="385"/>
      <c r="AJ549" s="385"/>
      <c r="AM549" s="385"/>
      <c r="AN549" s="385"/>
      <c r="AO549" s="385"/>
      <c r="AP549" s="385"/>
      <c r="CK549" s="381"/>
    </row>
    <row r="550" spans="2:89" s="372" customFormat="1" x14ac:dyDescent="0.3">
      <c r="B550" s="382"/>
      <c r="C550" s="383"/>
      <c r="D550" s="383"/>
      <c r="N550" s="384"/>
      <c r="O550" s="384"/>
      <c r="P550" s="384"/>
      <c r="Q550" s="384"/>
      <c r="R550" s="384"/>
      <c r="S550" s="384"/>
      <c r="T550" s="384"/>
      <c r="U550" s="384"/>
      <c r="X550" s="385"/>
      <c r="Y550" s="385"/>
      <c r="Z550" s="385"/>
      <c r="AC550" s="385"/>
      <c r="AD550" s="385"/>
      <c r="AE550" s="385"/>
      <c r="AH550" s="385"/>
      <c r="AI550" s="385"/>
      <c r="AJ550" s="385"/>
      <c r="AM550" s="385"/>
      <c r="AN550" s="385"/>
      <c r="AO550" s="385"/>
      <c r="AP550" s="385"/>
      <c r="CK550" s="381"/>
    </row>
    <row r="551" spans="2:89" s="372" customFormat="1" x14ac:dyDescent="0.3">
      <c r="B551" s="382"/>
      <c r="C551" s="383"/>
      <c r="D551" s="383"/>
      <c r="N551" s="384"/>
      <c r="O551" s="384"/>
      <c r="P551" s="384"/>
      <c r="Q551" s="384"/>
      <c r="R551" s="384"/>
      <c r="S551" s="384"/>
      <c r="T551" s="384"/>
      <c r="U551" s="384"/>
      <c r="X551" s="385"/>
      <c r="Y551" s="385"/>
      <c r="Z551" s="385"/>
      <c r="AC551" s="385"/>
      <c r="AD551" s="385"/>
      <c r="AE551" s="385"/>
      <c r="AH551" s="385"/>
      <c r="AI551" s="385"/>
      <c r="AJ551" s="385"/>
      <c r="AM551" s="385"/>
      <c r="AN551" s="385"/>
      <c r="AO551" s="385"/>
      <c r="AP551" s="385"/>
      <c r="CK551" s="381"/>
    </row>
    <row r="552" spans="2:89" s="372" customFormat="1" x14ac:dyDescent="0.3">
      <c r="B552" s="382"/>
      <c r="C552" s="383"/>
      <c r="D552" s="383"/>
      <c r="N552" s="384"/>
      <c r="O552" s="384"/>
      <c r="P552" s="384"/>
      <c r="Q552" s="384"/>
      <c r="R552" s="384"/>
      <c r="S552" s="384"/>
      <c r="T552" s="384"/>
      <c r="U552" s="384"/>
      <c r="X552" s="385"/>
      <c r="Y552" s="385"/>
      <c r="Z552" s="385"/>
      <c r="AC552" s="385"/>
      <c r="AD552" s="385"/>
      <c r="AE552" s="385"/>
      <c r="AH552" s="385"/>
      <c r="AI552" s="385"/>
      <c r="AJ552" s="385"/>
      <c r="AM552" s="385"/>
      <c r="AN552" s="385"/>
      <c r="AO552" s="385"/>
      <c r="AP552" s="385"/>
      <c r="CK552" s="381"/>
    </row>
    <row r="553" spans="2:89" s="372" customFormat="1" x14ac:dyDescent="0.3">
      <c r="B553" s="382"/>
      <c r="C553" s="383"/>
      <c r="D553" s="383"/>
      <c r="N553" s="384"/>
      <c r="O553" s="384"/>
      <c r="P553" s="384"/>
      <c r="Q553" s="384"/>
      <c r="R553" s="384"/>
      <c r="S553" s="384"/>
      <c r="T553" s="384"/>
      <c r="U553" s="384"/>
      <c r="X553" s="385"/>
      <c r="Y553" s="385"/>
      <c r="Z553" s="385"/>
      <c r="AC553" s="385"/>
      <c r="AD553" s="385"/>
      <c r="AE553" s="385"/>
      <c r="AH553" s="385"/>
      <c r="AI553" s="385"/>
      <c r="AJ553" s="385"/>
      <c r="AM553" s="385"/>
      <c r="AN553" s="385"/>
      <c r="AO553" s="385"/>
      <c r="AP553" s="385"/>
      <c r="CK553" s="381"/>
    </row>
    <row r="554" spans="2:89" s="372" customFormat="1" x14ac:dyDescent="0.3">
      <c r="B554" s="382"/>
      <c r="C554" s="383"/>
      <c r="D554" s="383"/>
      <c r="N554" s="384"/>
      <c r="O554" s="384"/>
      <c r="P554" s="384"/>
      <c r="Q554" s="384"/>
      <c r="R554" s="384"/>
      <c r="S554" s="384"/>
      <c r="T554" s="384"/>
      <c r="U554" s="384"/>
      <c r="X554" s="385"/>
      <c r="Y554" s="385"/>
      <c r="Z554" s="385"/>
      <c r="AC554" s="385"/>
      <c r="AD554" s="385"/>
      <c r="AE554" s="385"/>
      <c r="AH554" s="385"/>
      <c r="AI554" s="385"/>
      <c r="AJ554" s="385"/>
      <c r="AM554" s="385"/>
      <c r="AN554" s="385"/>
      <c r="AO554" s="385"/>
      <c r="AP554" s="385"/>
      <c r="CK554" s="381"/>
    </row>
    <row r="555" spans="2:89" s="372" customFormat="1" x14ac:dyDescent="0.3">
      <c r="B555" s="382"/>
      <c r="C555" s="383"/>
      <c r="D555" s="383"/>
      <c r="N555" s="384"/>
      <c r="O555" s="384"/>
      <c r="P555" s="384"/>
      <c r="Q555" s="384"/>
      <c r="R555" s="384"/>
      <c r="S555" s="384"/>
      <c r="T555" s="384"/>
      <c r="U555" s="384"/>
      <c r="X555" s="385"/>
      <c r="Y555" s="385"/>
      <c r="Z555" s="385"/>
      <c r="AC555" s="385"/>
      <c r="AD555" s="385"/>
      <c r="AE555" s="385"/>
      <c r="AH555" s="385"/>
      <c r="AI555" s="385"/>
      <c r="AJ555" s="385"/>
      <c r="AM555" s="385"/>
      <c r="AN555" s="385"/>
      <c r="AO555" s="385"/>
      <c r="AP555" s="385"/>
      <c r="CK555" s="381"/>
    </row>
    <row r="556" spans="2:89" s="372" customFormat="1" x14ac:dyDescent="0.3">
      <c r="B556" s="382"/>
      <c r="C556" s="383"/>
      <c r="D556" s="383"/>
      <c r="N556" s="384"/>
      <c r="O556" s="384"/>
      <c r="P556" s="384"/>
      <c r="Q556" s="384"/>
      <c r="R556" s="384"/>
      <c r="S556" s="384"/>
      <c r="T556" s="384"/>
      <c r="U556" s="384"/>
      <c r="X556" s="385"/>
      <c r="Y556" s="385"/>
      <c r="Z556" s="385"/>
      <c r="AC556" s="385"/>
      <c r="AD556" s="385"/>
      <c r="AE556" s="385"/>
      <c r="AH556" s="385"/>
      <c r="AI556" s="385"/>
      <c r="AJ556" s="385"/>
      <c r="AM556" s="385"/>
      <c r="AN556" s="385"/>
      <c r="AO556" s="385"/>
      <c r="AP556" s="385"/>
      <c r="CK556" s="381"/>
    </row>
    <row r="557" spans="2:89" s="372" customFormat="1" x14ac:dyDescent="0.3">
      <c r="B557" s="382"/>
      <c r="C557" s="383"/>
      <c r="D557" s="383"/>
      <c r="N557" s="384"/>
      <c r="O557" s="384"/>
      <c r="P557" s="384"/>
      <c r="Q557" s="384"/>
      <c r="R557" s="384"/>
      <c r="S557" s="384"/>
      <c r="T557" s="384"/>
      <c r="U557" s="384"/>
      <c r="X557" s="385"/>
      <c r="Y557" s="385"/>
      <c r="Z557" s="385"/>
      <c r="AC557" s="385"/>
      <c r="AD557" s="385"/>
      <c r="AE557" s="385"/>
      <c r="AH557" s="385"/>
      <c r="AI557" s="385"/>
      <c r="AJ557" s="385"/>
      <c r="AM557" s="385"/>
      <c r="AN557" s="385"/>
      <c r="AO557" s="385"/>
      <c r="AP557" s="385"/>
      <c r="CK557" s="381"/>
    </row>
    <row r="558" spans="2:89" s="372" customFormat="1" x14ac:dyDescent="0.3">
      <c r="B558" s="382"/>
      <c r="C558" s="383"/>
      <c r="D558" s="383"/>
      <c r="N558" s="384"/>
      <c r="O558" s="384"/>
      <c r="P558" s="384"/>
      <c r="Q558" s="384"/>
      <c r="R558" s="384"/>
      <c r="S558" s="384"/>
      <c r="T558" s="384"/>
      <c r="U558" s="384"/>
      <c r="X558" s="385"/>
      <c r="Y558" s="385"/>
      <c r="Z558" s="385"/>
      <c r="AC558" s="385"/>
      <c r="AD558" s="385"/>
      <c r="AE558" s="385"/>
      <c r="AH558" s="385"/>
      <c r="AI558" s="385"/>
      <c r="AJ558" s="385"/>
      <c r="AM558" s="385"/>
      <c r="AN558" s="385"/>
      <c r="AO558" s="385"/>
      <c r="AP558" s="385"/>
      <c r="CK558" s="381"/>
    </row>
    <row r="559" spans="2:89" s="372" customFormat="1" x14ac:dyDescent="0.3">
      <c r="B559" s="382"/>
      <c r="C559" s="383"/>
      <c r="D559" s="383"/>
      <c r="N559" s="384"/>
      <c r="O559" s="384"/>
      <c r="P559" s="384"/>
      <c r="Q559" s="384"/>
      <c r="R559" s="384"/>
      <c r="S559" s="384"/>
      <c r="T559" s="384"/>
      <c r="U559" s="384"/>
      <c r="X559" s="385"/>
      <c r="Y559" s="385"/>
      <c r="Z559" s="385"/>
      <c r="AC559" s="385"/>
      <c r="AD559" s="385"/>
      <c r="AE559" s="385"/>
      <c r="AH559" s="385"/>
      <c r="AI559" s="385"/>
      <c r="AJ559" s="385"/>
      <c r="AM559" s="385"/>
      <c r="AN559" s="385"/>
      <c r="AO559" s="385"/>
      <c r="AP559" s="385"/>
      <c r="CK559" s="381"/>
    </row>
    <row r="560" spans="2:89" s="372" customFormat="1" x14ac:dyDescent="0.3">
      <c r="B560" s="382"/>
      <c r="C560" s="383"/>
      <c r="D560" s="383"/>
      <c r="N560" s="384"/>
      <c r="O560" s="384"/>
      <c r="P560" s="384"/>
      <c r="Q560" s="384"/>
      <c r="R560" s="384"/>
      <c r="S560" s="384"/>
      <c r="T560" s="384"/>
      <c r="U560" s="384"/>
      <c r="X560" s="385"/>
      <c r="Y560" s="385"/>
      <c r="Z560" s="385"/>
      <c r="AC560" s="385"/>
      <c r="AD560" s="385"/>
      <c r="AE560" s="385"/>
      <c r="AH560" s="385"/>
      <c r="AI560" s="385"/>
      <c r="AJ560" s="385"/>
      <c r="AM560" s="385"/>
      <c r="AN560" s="385"/>
      <c r="AO560" s="385"/>
      <c r="AP560" s="385"/>
      <c r="CK560" s="381"/>
    </row>
    <row r="561" spans="2:89" s="372" customFormat="1" x14ac:dyDescent="0.3">
      <c r="B561" s="382"/>
      <c r="C561" s="383"/>
      <c r="D561" s="383"/>
      <c r="N561" s="384"/>
      <c r="O561" s="384"/>
      <c r="P561" s="384"/>
      <c r="Q561" s="384"/>
      <c r="R561" s="384"/>
      <c r="S561" s="384"/>
      <c r="T561" s="384"/>
      <c r="U561" s="384"/>
      <c r="X561" s="385"/>
      <c r="Y561" s="385"/>
      <c r="Z561" s="385"/>
      <c r="AC561" s="385"/>
      <c r="AD561" s="385"/>
      <c r="AE561" s="385"/>
      <c r="AH561" s="385"/>
      <c r="AI561" s="385"/>
      <c r="AJ561" s="385"/>
      <c r="AM561" s="385"/>
      <c r="AN561" s="385"/>
      <c r="AO561" s="385"/>
      <c r="AP561" s="385"/>
      <c r="CK561" s="381"/>
    </row>
    <row r="562" spans="2:89" s="372" customFormat="1" x14ac:dyDescent="0.3">
      <c r="B562" s="382"/>
      <c r="C562" s="383"/>
      <c r="D562" s="383"/>
      <c r="N562" s="384"/>
      <c r="O562" s="384"/>
      <c r="P562" s="384"/>
      <c r="Q562" s="384"/>
      <c r="R562" s="384"/>
      <c r="S562" s="384"/>
      <c r="T562" s="384"/>
      <c r="U562" s="384"/>
      <c r="X562" s="385"/>
      <c r="Y562" s="385"/>
      <c r="Z562" s="385"/>
      <c r="AC562" s="385"/>
      <c r="AD562" s="385"/>
      <c r="AE562" s="385"/>
      <c r="AH562" s="385"/>
      <c r="AI562" s="385"/>
      <c r="AJ562" s="385"/>
      <c r="AM562" s="385"/>
      <c r="AN562" s="385"/>
      <c r="AO562" s="385"/>
      <c r="AP562" s="385"/>
      <c r="CK562" s="381"/>
    </row>
    <row r="563" spans="2:89" s="372" customFormat="1" x14ac:dyDescent="0.3">
      <c r="B563" s="382"/>
      <c r="C563" s="383"/>
      <c r="D563" s="383"/>
      <c r="N563" s="384"/>
      <c r="O563" s="384"/>
      <c r="P563" s="384"/>
      <c r="Q563" s="384"/>
      <c r="R563" s="384"/>
      <c r="S563" s="384"/>
      <c r="T563" s="384"/>
      <c r="U563" s="384"/>
      <c r="X563" s="385"/>
      <c r="Y563" s="385"/>
      <c r="Z563" s="385"/>
      <c r="AC563" s="385"/>
      <c r="AD563" s="385"/>
      <c r="AE563" s="385"/>
      <c r="AH563" s="385"/>
      <c r="AI563" s="385"/>
      <c r="AJ563" s="385"/>
      <c r="AM563" s="385"/>
      <c r="AN563" s="385"/>
      <c r="AO563" s="385"/>
      <c r="AP563" s="385"/>
      <c r="CK563" s="381"/>
    </row>
    <row r="564" spans="2:89" s="372" customFormat="1" x14ac:dyDescent="0.3">
      <c r="B564" s="382"/>
      <c r="C564" s="383"/>
      <c r="D564" s="383"/>
      <c r="N564" s="384"/>
      <c r="O564" s="384"/>
      <c r="P564" s="384"/>
      <c r="Q564" s="384"/>
      <c r="R564" s="384"/>
      <c r="S564" s="384"/>
      <c r="T564" s="384"/>
      <c r="U564" s="384"/>
      <c r="X564" s="385"/>
      <c r="Y564" s="385"/>
      <c r="Z564" s="385"/>
      <c r="AC564" s="385"/>
      <c r="AD564" s="385"/>
      <c r="AE564" s="385"/>
      <c r="AH564" s="385"/>
      <c r="AI564" s="385"/>
      <c r="AJ564" s="385"/>
      <c r="AM564" s="385"/>
      <c r="AN564" s="385"/>
      <c r="AO564" s="385"/>
      <c r="AP564" s="385"/>
      <c r="CK564" s="381"/>
    </row>
    <row r="565" spans="2:89" s="372" customFormat="1" x14ac:dyDescent="0.3">
      <c r="B565" s="382"/>
      <c r="C565" s="383"/>
      <c r="D565" s="383"/>
      <c r="N565" s="384"/>
      <c r="O565" s="384"/>
      <c r="P565" s="384"/>
      <c r="Q565" s="384"/>
      <c r="R565" s="384"/>
      <c r="S565" s="384"/>
      <c r="T565" s="384"/>
      <c r="U565" s="384"/>
      <c r="X565" s="385"/>
      <c r="Y565" s="385"/>
      <c r="Z565" s="385"/>
      <c r="AC565" s="385"/>
      <c r="AD565" s="385"/>
      <c r="AE565" s="385"/>
      <c r="AH565" s="385"/>
      <c r="AI565" s="385"/>
      <c r="AJ565" s="385"/>
      <c r="AM565" s="385"/>
      <c r="AN565" s="385"/>
      <c r="AO565" s="385"/>
      <c r="AP565" s="385"/>
      <c r="CK565" s="381"/>
    </row>
    <row r="566" spans="2:89" s="372" customFormat="1" x14ac:dyDescent="0.3">
      <c r="B566" s="382"/>
      <c r="C566" s="383"/>
      <c r="D566" s="383"/>
      <c r="N566" s="384"/>
      <c r="O566" s="384"/>
      <c r="P566" s="384"/>
      <c r="Q566" s="384"/>
      <c r="R566" s="384"/>
      <c r="S566" s="384"/>
      <c r="T566" s="384"/>
      <c r="U566" s="384"/>
      <c r="X566" s="385"/>
      <c r="Y566" s="385"/>
      <c r="Z566" s="385"/>
      <c r="AC566" s="385"/>
      <c r="AD566" s="385"/>
      <c r="AE566" s="385"/>
      <c r="AH566" s="385"/>
      <c r="AI566" s="385"/>
      <c r="AJ566" s="385"/>
      <c r="AM566" s="385"/>
      <c r="AN566" s="385"/>
      <c r="AO566" s="385"/>
      <c r="AP566" s="385"/>
      <c r="CK566" s="381"/>
    </row>
    <row r="567" spans="2:89" s="372" customFormat="1" x14ac:dyDescent="0.3">
      <c r="B567" s="382"/>
      <c r="C567" s="383"/>
      <c r="D567" s="383"/>
      <c r="N567" s="384"/>
      <c r="O567" s="384"/>
      <c r="P567" s="384"/>
      <c r="Q567" s="384"/>
      <c r="R567" s="384"/>
      <c r="S567" s="384"/>
      <c r="T567" s="384"/>
      <c r="U567" s="384"/>
      <c r="X567" s="385"/>
      <c r="Y567" s="385"/>
      <c r="Z567" s="385"/>
      <c r="AC567" s="385"/>
      <c r="AD567" s="385"/>
      <c r="AE567" s="385"/>
      <c r="AH567" s="385"/>
      <c r="AI567" s="385"/>
      <c r="AJ567" s="385"/>
      <c r="AM567" s="385"/>
      <c r="AN567" s="385"/>
      <c r="AO567" s="385"/>
      <c r="AP567" s="385"/>
      <c r="CK567" s="381"/>
    </row>
    <row r="568" spans="2:89" s="372" customFormat="1" x14ac:dyDescent="0.3">
      <c r="B568" s="382"/>
      <c r="C568" s="383"/>
      <c r="D568" s="383"/>
      <c r="N568" s="384"/>
      <c r="O568" s="384"/>
      <c r="P568" s="384"/>
      <c r="Q568" s="384"/>
      <c r="R568" s="384"/>
      <c r="S568" s="384"/>
      <c r="T568" s="384"/>
      <c r="U568" s="384"/>
      <c r="X568" s="385"/>
      <c r="Y568" s="385"/>
      <c r="Z568" s="385"/>
      <c r="AC568" s="385"/>
      <c r="AD568" s="385"/>
      <c r="AE568" s="385"/>
      <c r="AH568" s="385"/>
      <c r="AI568" s="385"/>
      <c r="AJ568" s="385"/>
      <c r="AM568" s="385"/>
      <c r="AN568" s="385"/>
      <c r="AO568" s="385"/>
      <c r="AP568" s="385"/>
      <c r="CK568" s="381"/>
    </row>
    <row r="569" spans="2:89" s="372" customFormat="1" x14ac:dyDescent="0.3">
      <c r="B569" s="382"/>
      <c r="C569" s="383"/>
      <c r="D569" s="383"/>
      <c r="N569" s="384"/>
      <c r="O569" s="384"/>
      <c r="P569" s="384"/>
      <c r="Q569" s="384"/>
      <c r="R569" s="384"/>
      <c r="S569" s="384"/>
      <c r="T569" s="384"/>
      <c r="U569" s="384"/>
      <c r="X569" s="385"/>
      <c r="Y569" s="385"/>
      <c r="Z569" s="385"/>
      <c r="AC569" s="385"/>
      <c r="AD569" s="385"/>
      <c r="AE569" s="385"/>
      <c r="AH569" s="385"/>
      <c r="AI569" s="385"/>
      <c r="AJ569" s="385"/>
      <c r="AM569" s="385"/>
      <c r="AN569" s="385"/>
      <c r="AO569" s="385"/>
      <c r="AP569" s="385"/>
      <c r="CK569" s="381"/>
    </row>
    <row r="570" spans="2:89" s="372" customFormat="1" x14ac:dyDescent="0.3">
      <c r="B570" s="382"/>
      <c r="C570" s="383"/>
      <c r="D570" s="383"/>
      <c r="N570" s="384"/>
      <c r="O570" s="384"/>
      <c r="P570" s="384"/>
      <c r="Q570" s="384"/>
      <c r="R570" s="384"/>
      <c r="S570" s="384"/>
      <c r="T570" s="384"/>
      <c r="U570" s="384"/>
      <c r="X570" s="385"/>
      <c r="Y570" s="385"/>
      <c r="Z570" s="385"/>
      <c r="AC570" s="385"/>
      <c r="AD570" s="385"/>
      <c r="AE570" s="385"/>
      <c r="AH570" s="385"/>
      <c r="AI570" s="385"/>
      <c r="AJ570" s="385"/>
      <c r="AM570" s="385"/>
      <c r="AN570" s="385"/>
      <c r="AO570" s="385"/>
      <c r="AP570" s="385"/>
      <c r="CK570" s="381"/>
    </row>
    <row r="571" spans="2:89" s="372" customFormat="1" x14ac:dyDescent="0.3">
      <c r="B571" s="382"/>
      <c r="C571" s="383"/>
      <c r="D571" s="383"/>
      <c r="N571" s="384"/>
      <c r="O571" s="384"/>
      <c r="P571" s="384"/>
      <c r="Q571" s="384"/>
      <c r="R571" s="384"/>
      <c r="S571" s="384"/>
      <c r="T571" s="384"/>
      <c r="U571" s="384"/>
      <c r="X571" s="385"/>
      <c r="Y571" s="385"/>
      <c r="Z571" s="385"/>
      <c r="AC571" s="385"/>
      <c r="AD571" s="385"/>
      <c r="AE571" s="385"/>
      <c r="AH571" s="385"/>
      <c r="AI571" s="385"/>
      <c r="AJ571" s="385"/>
      <c r="AM571" s="385"/>
      <c r="AN571" s="385"/>
      <c r="AO571" s="385"/>
      <c r="AP571" s="385"/>
      <c r="CK571" s="381"/>
    </row>
    <row r="572" spans="2:89" s="372" customFormat="1" x14ac:dyDescent="0.3">
      <c r="B572" s="382"/>
      <c r="C572" s="383"/>
      <c r="D572" s="383"/>
      <c r="N572" s="384"/>
      <c r="O572" s="384"/>
      <c r="P572" s="384"/>
      <c r="Q572" s="384"/>
      <c r="R572" s="384"/>
      <c r="S572" s="384"/>
      <c r="T572" s="384"/>
      <c r="U572" s="384"/>
      <c r="X572" s="385"/>
      <c r="Y572" s="385"/>
      <c r="Z572" s="385"/>
      <c r="AC572" s="385"/>
      <c r="AD572" s="385"/>
      <c r="AE572" s="385"/>
      <c r="AH572" s="385"/>
      <c r="AI572" s="385"/>
      <c r="AJ572" s="385"/>
      <c r="AM572" s="385"/>
      <c r="AN572" s="385"/>
      <c r="AO572" s="385"/>
      <c r="AP572" s="385"/>
      <c r="CK572" s="381"/>
    </row>
    <row r="573" spans="2:89" s="372" customFormat="1" x14ac:dyDescent="0.3">
      <c r="B573" s="382"/>
      <c r="C573" s="383"/>
      <c r="D573" s="383"/>
      <c r="N573" s="384"/>
      <c r="O573" s="384"/>
      <c r="P573" s="384"/>
      <c r="Q573" s="384"/>
      <c r="R573" s="384"/>
      <c r="S573" s="384"/>
      <c r="T573" s="384"/>
      <c r="U573" s="384"/>
      <c r="X573" s="385"/>
      <c r="Y573" s="385"/>
      <c r="Z573" s="385"/>
      <c r="AC573" s="385"/>
      <c r="AD573" s="385"/>
      <c r="AE573" s="385"/>
      <c r="AH573" s="385"/>
      <c r="AI573" s="385"/>
      <c r="AJ573" s="385"/>
      <c r="AM573" s="385"/>
      <c r="AN573" s="385"/>
      <c r="AO573" s="385"/>
      <c r="AP573" s="385"/>
      <c r="CK573" s="381"/>
    </row>
    <row r="574" spans="2:89" s="372" customFormat="1" x14ac:dyDescent="0.3">
      <c r="B574" s="382"/>
      <c r="C574" s="383"/>
      <c r="D574" s="383"/>
      <c r="N574" s="384"/>
      <c r="O574" s="384"/>
      <c r="P574" s="384"/>
      <c r="Q574" s="384"/>
      <c r="R574" s="384"/>
      <c r="S574" s="384"/>
      <c r="T574" s="384"/>
      <c r="U574" s="384"/>
      <c r="X574" s="385"/>
      <c r="Y574" s="385"/>
      <c r="Z574" s="385"/>
      <c r="AC574" s="385"/>
      <c r="AD574" s="385"/>
      <c r="AE574" s="385"/>
      <c r="AH574" s="385"/>
      <c r="AI574" s="385"/>
      <c r="AJ574" s="385"/>
      <c r="AM574" s="385"/>
      <c r="AN574" s="385"/>
      <c r="AO574" s="385"/>
      <c r="AP574" s="385"/>
      <c r="CK574" s="381"/>
    </row>
    <row r="575" spans="2:89" s="372" customFormat="1" x14ac:dyDescent="0.3">
      <c r="B575" s="382"/>
      <c r="C575" s="383"/>
      <c r="D575" s="383"/>
      <c r="N575" s="384"/>
      <c r="O575" s="384"/>
      <c r="P575" s="384"/>
      <c r="Q575" s="384"/>
      <c r="R575" s="384"/>
      <c r="S575" s="384"/>
      <c r="T575" s="384"/>
      <c r="U575" s="384"/>
      <c r="X575" s="385"/>
      <c r="Y575" s="385"/>
      <c r="Z575" s="385"/>
      <c r="AC575" s="385"/>
      <c r="AD575" s="385"/>
      <c r="AE575" s="385"/>
      <c r="AH575" s="385"/>
      <c r="AI575" s="385"/>
      <c r="AJ575" s="385"/>
      <c r="AM575" s="385"/>
      <c r="AN575" s="385"/>
      <c r="AO575" s="385"/>
      <c r="AP575" s="385"/>
      <c r="CK575" s="381"/>
    </row>
    <row r="576" spans="2:89" s="372" customFormat="1" x14ac:dyDescent="0.3">
      <c r="B576" s="382"/>
      <c r="C576" s="383"/>
      <c r="D576" s="383"/>
      <c r="N576" s="384"/>
      <c r="O576" s="384"/>
      <c r="P576" s="384"/>
      <c r="Q576" s="384"/>
      <c r="R576" s="384"/>
      <c r="S576" s="384"/>
      <c r="T576" s="384"/>
      <c r="U576" s="384"/>
      <c r="X576" s="385"/>
      <c r="Y576" s="385"/>
      <c r="Z576" s="385"/>
      <c r="AC576" s="385"/>
      <c r="AD576" s="385"/>
      <c r="AE576" s="385"/>
      <c r="AH576" s="385"/>
      <c r="AI576" s="385"/>
      <c r="AJ576" s="385"/>
      <c r="AM576" s="385"/>
      <c r="AN576" s="385"/>
      <c r="AO576" s="385"/>
      <c r="AP576" s="385"/>
      <c r="CK576" s="381"/>
    </row>
    <row r="577" spans="2:89" s="372" customFormat="1" x14ac:dyDescent="0.3">
      <c r="B577" s="382"/>
      <c r="C577" s="383"/>
      <c r="D577" s="383"/>
      <c r="N577" s="384"/>
      <c r="O577" s="384"/>
      <c r="P577" s="384"/>
      <c r="Q577" s="384"/>
      <c r="R577" s="384"/>
      <c r="S577" s="384"/>
      <c r="T577" s="384"/>
      <c r="U577" s="384"/>
      <c r="X577" s="385"/>
      <c r="Y577" s="385"/>
      <c r="Z577" s="385"/>
      <c r="AC577" s="385"/>
      <c r="AD577" s="385"/>
      <c r="AE577" s="385"/>
      <c r="AH577" s="385"/>
      <c r="AI577" s="385"/>
      <c r="AJ577" s="385"/>
      <c r="AM577" s="385"/>
      <c r="AN577" s="385"/>
      <c r="AO577" s="385"/>
      <c r="AP577" s="385"/>
      <c r="CK577" s="381"/>
    </row>
    <row r="578" spans="2:89" s="372" customFormat="1" x14ac:dyDescent="0.3">
      <c r="B578" s="382"/>
      <c r="C578" s="383"/>
      <c r="D578" s="383"/>
      <c r="N578" s="384"/>
      <c r="O578" s="384"/>
      <c r="P578" s="384"/>
      <c r="Q578" s="384"/>
      <c r="R578" s="384"/>
      <c r="S578" s="384"/>
      <c r="T578" s="384"/>
      <c r="U578" s="384"/>
      <c r="X578" s="385"/>
      <c r="Y578" s="385"/>
      <c r="Z578" s="385"/>
      <c r="AC578" s="385"/>
      <c r="AD578" s="385"/>
      <c r="AE578" s="385"/>
      <c r="AH578" s="385"/>
      <c r="AI578" s="385"/>
      <c r="AJ578" s="385"/>
      <c r="AM578" s="385"/>
      <c r="AN578" s="385"/>
      <c r="AO578" s="385"/>
      <c r="AP578" s="385"/>
      <c r="CK578" s="381"/>
    </row>
    <row r="579" spans="2:89" s="372" customFormat="1" x14ac:dyDescent="0.3">
      <c r="B579" s="382"/>
      <c r="C579" s="383"/>
      <c r="D579" s="383"/>
      <c r="N579" s="384"/>
      <c r="O579" s="384"/>
      <c r="P579" s="384"/>
      <c r="Q579" s="384"/>
      <c r="R579" s="384"/>
      <c r="S579" s="384"/>
      <c r="T579" s="384"/>
      <c r="U579" s="384"/>
      <c r="X579" s="385"/>
      <c r="Y579" s="385"/>
      <c r="Z579" s="385"/>
      <c r="AC579" s="385"/>
      <c r="AD579" s="385"/>
      <c r="AE579" s="385"/>
      <c r="AH579" s="385"/>
      <c r="AI579" s="385"/>
      <c r="AJ579" s="385"/>
      <c r="AM579" s="385"/>
      <c r="AN579" s="385"/>
      <c r="AO579" s="385"/>
      <c r="AP579" s="385"/>
      <c r="CK579" s="381"/>
    </row>
    <row r="580" spans="2:89" s="372" customFormat="1" x14ac:dyDescent="0.3">
      <c r="B580" s="382"/>
      <c r="C580" s="383"/>
      <c r="D580" s="383"/>
      <c r="N580" s="384"/>
      <c r="O580" s="384"/>
      <c r="P580" s="384"/>
      <c r="Q580" s="384"/>
      <c r="R580" s="384"/>
      <c r="S580" s="384"/>
      <c r="T580" s="384"/>
      <c r="U580" s="384"/>
      <c r="X580" s="385"/>
      <c r="Y580" s="385"/>
      <c r="Z580" s="385"/>
      <c r="AC580" s="385"/>
      <c r="AD580" s="385"/>
      <c r="AE580" s="385"/>
      <c r="AH580" s="385"/>
      <c r="AI580" s="385"/>
      <c r="AJ580" s="385"/>
      <c r="AM580" s="385"/>
      <c r="AN580" s="385"/>
      <c r="AO580" s="385"/>
      <c r="AP580" s="385"/>
      <c r="CK580" s="381"/>
    </row>
    <row r="581" spans="2:89" s="372" customFormat="1" x14ac:dyDescent="0.3">
      <c r="B581" s="382"/>
      <c r="C581" s="383"/>
      <c r="D581" s="383"/>
      <c r="N581" s="384"/>
      <c r="O581" s="384"/>
      <c r="P581" s="384"/>
      <c r="Q581" s="384"/>
      <c r="R581" s="384"/>
      <c r="S581" s="384"/>
      <c r="T581" s="384"/>
      <c r="U581" s="384"/>
      <c r="X581" s="385"/>
      <c r="Y581" s="385"/>
      <c r="Z581" s="385"/>
      <c r="AC581" s="385"/>
      <c r="AD581" s="385"/>
      <c r="AE581" s="385"/>
      <c r="AH581" s="385"/>
      <c r="AI581" s="385"/>
      <c r="AJ581" s="385"/>
      <c r="AM581" s="385"/>
      <c r="AN581" s="385"/>
      <c r="AO581" s="385"/>
      <c r="AP581" s="385"/>
      <c r="CK581" s="381"/>
    </row>
    <row r="582" spans="2:89" s="372" customFormat="1" x14ac:dyDescent="0.3">
      <c r="B582" s="382"/>
      <c r="C582" s="383"/>
      <c r="D582" s="383"/>
      <c r="N582" s="384"/>
      <c r="O582" s="384"/>
      <c r="P582" s="384"/>
      <c r="Q582" s="384"/>
      <c r="R582" s="384"/>
      <c r="S582" s="384"/>
      <c r="T582" s="384"/>
      <c r="U582" s="384"/>
      <c r="X582" s="385"/>
      <c r="Y582" s="385"/>
      <c r="Z582" s="385"/>
      <c r="AC582" s="385"/>
      <c r="AD582" s="385"/>
      <c r="AE582" s="385"/>
      <c r="AH582" s="385"/>
      <c r="AI582" s="385"/>
      <c r="AJ582" s="385"/>
      <c r="AM582" s="385"/>
      <c r="AN582" s="385"/>
      <c r="AO582" s="385"/>
      <c r="AP582" s="385"/>
      <c r="CK582" s="381"/>
    </row>
    <row r="583" spans="2:89" s="372" customFormat="1" x14ac:dyDescent="0.3">
      <c r="B583" s="382"/>
      <c r="C583" s="383"/>
      <c r="D583" s="383"/>
      <c r="N583" s="384"/>
      <c r="O583" s="384"/>
      <c r="P583" s="384"/>
      <c r="Q583" s="384"/>
      <c r="R583" s="384"/>
      <c r="S583" s="384"/>
      <c r="T583" s="384"/>
      <c r="U583" s="384"/>
      <c r="X583" s="385"/>
      <c r="Y583" s="385"/>
      <c r="Z583" s="385"/>
      <c r="AC583" s="385"/>
      <c r="AD583" s="385"/>
      <c r="AE583" s="385"/>
      <c r="AH583" s="385"/>
      <c r="AI583" s="385"/>
      <c r="AJ583" s="385"/>
      <c r="AM583" s="385"/>
      <c r="AN583" s="385"/>
      <c r="AO583" s="385"/>
      <c r="AP583" s="385"/>
      <c r="CK583" s="381"/>
    </row>
    <row r="584" spans="2:89" s="372" customFormat="1" x14ac:dyDescent="0.3">
      <c r="B584" s="382"/>
      <c r="C584" s="383"/>
      <c r="D584" s="383"/>
      <c r="N584" s="384"/>
      <c r="O584" s="384"/>
      <c r="P584" s="384"/>
      <c r="Q584" s="384"/>
      <c r="R584" s="384"/>
      <c r="S584" s="384"/>
      <c r="T584" s="384"/>
      <c r="U584" s="384"/>
      <c r="X584" s="385"/>
      <c r="Y584" s="385"/>
      <c r="Z584" s="385"/>
      <c r="AC584" s="385"/>
      <c r="AD584" s="385"/>
      <c r="AE584" s="385"/>
      <c r="AH584" s="385"/>
      <c r="AI584" s="385"/>
      <c r="AJ584" s="385"/>
      <c r="AM584" s="385"/>
      <c r="AN584" s="385"/>
      <c r="AO584" s="385"/>
      <c r="AP584" s="385"/>
      <c r="CK584" s="381"/>
    </row>
    <row r="585" spans="2:89" s="372" customFormat="1" x14ac:dyDescent="0.3">
      <c r="B585" s="382"/>
      <c r="C585" s="383"/>
      <c r="D585" s="383"/>
      <c r="N585" s="384"/>
      <c r="O585" s="384"/>
      <c r="P585" s="384"/>
      <c r="Q585" s="384"/>
      <c r="R585" s="384"/>
      <c r="S585" s="384"/>
      <c r="T585" s="384"/>
      <c r="U585" s="384"/>
      <c r="X585" s="385"/>
      <c r="Y585" s="385"/>
      <c r="Z585" s="385"/>
      <c r="AC585" s="385"/>
      <c r="AD585" s="385"/>
      <c r="AE585" s="385"/>
      <c r="AH585" s="385"/>
      <c r="AI585" s="385"/>
      <c r="AJ585" s="385"/>
      <c r="AM585" s="385"/>
      <c r="AN585" s="385"/>
      <c r="AO585" s="385"/>
      <c r="AP585" s="385"/>
      <c r="CK585" s="381"/>
    </row>
    <row r="586" spans="2:89" s="372" customFormat="1" x14ac:dyDescent="0.3">
      <c r="B586" s="382"/>
      <c r="C586" s="383"/>
      <c r="D586" s="383"/>
      <c r="N586" s="384"/>
      <c r="O586" s="384"/>
      <c r="P586" s="384"/>
      <c r="Q586" s="384"/>
      <c r="R586" s="384"/>
      <c r="S586" s="384"/>
      <c r="T586" s="384"/>
      <c r="U586" s="384"/>
      <c r="X586" s="385"/>
      <c r="Y586" s="385"/>
      <c r="Z586" s="385"/>
      <c r="AC586" s="385"/>
      <c r="AD586" s="385"/>
      <c r="AE586" s="385"/>
      <c r="AH586" s="385"/>
      <c r="AI586" s="385"/>
      <c r="AJ586" s="385"/>
      <c r="AM586" s="385"/>
      <c r="AN586" s="385"/>
      <c r="AO586" s="385"/>
      <c r="AP586" s="385"/>
      <c r="CK586" s="381"/>
    </row>
    <row r="587" spans="2:89" s="372" customFormat="1" x14ac:dyDescent="0.3">
      <c r="B587" s="382"/>
      <c r="C587" s="383"/>
      <c r="D587" s="383"/>
      <c r="N587" s="384"/>
      <c r="O587" s="384"/>
      <c r="P587" s="384"/>
      <c r="Q587" s="384"/>
      <c r="R587" s="384"/>
      <c r="S587" s="384"/>
      <c r="T587" s="384"/>
      <c r="U587" s="384"/>
      <c r="X587" s="385"/>
      <c r="Y587" s="385"/>
      <c r="Z587" s="385"/>
      <c r="AC587" s="385"/>
      <c r="AD587" s="385"/>
      <c r="AE587" s="385"/>
      <c r="AH587" s="385"/>
      <c r="AI587" s="385"/>
      <c r="AJ587" s="385"/>
      <c r="AM587" s="385"/>
      <c r="AN587" s="385"/>
      <c r="AO587" s="385"/>
      <c r="AP587" s="385"/>
      <c r="CK587" s="381"/>
    </row>
    <row r="588" spans="2:89" s="372" customFormat="1" x14ac:dyDescent="0.3">
      <c r="B588" s="382"/>
      <c r="C588" s="383"/>
      <c r="D588" s="383"/>
      <c r="N588" s="384"/>
      <c r="O588" s="384"/>
      <c r="P588" s="384"/>
      <c r="Q588" s="384"/>
      <c r="R588" s="384"/>
      <c r="S588" s="384"/>
      <c r="T588" s="384"/>
      <c r="U588" s="384"/>
      <c r="X588" s="385"/>
      <c r="Y588" s="385"/>
      <c r="Z588" s="385"/>
      <c r="AC588" s="385"/>
      <c r="AD588" s="385"/>
      <c r="AE588" s="385"/>
      <c r="AH588" s="385"/>
      <c r="AI588" s="385"/>
      <c r="AJ588" s="385"/>
      <c r="AM588" s="385"/>
      <c r="AN588" s="385"/>
      <c r="AO588" s="385"/>
      <c r="AP588" s="385"/>
      <c r="CK588" s="381"/>
    </row>
    <row r="589" spans="2:89" s="372" customFormat="1" x14ac:dyDescent="0.3">
      <c r="B589" s="382"/>
      <c r="C589" s="383"/>
      <c r="D589" s="383"/>
      <c r="N589" s="384"/>
      <c r="O589" s="384"/>
      <c r="P589" s="384"/>
      <c r="Q589" s="384"/>
      <c r="R589" s="384"/>
      <c r="S589" s="384"/>
      <c r="T589" s="384"/>
      <c r="U589" s="384"/>
      <c r="X589" s="385"/>
      <c r="Y589" s="385"/>
      <c r="Z589" s="385"/>
      <c r="AC589" s="385"/>
      <c r="AD589" s="385"/>
      <c r="AE589" s="385"/>
      <c r="AH589" s="385"/>
      <c r="AI589" s="385"/>
      <c r="AJ589" s="385"/>
      <c r="AM589" s="385"/>
      <c r="AN589" s="385"/>
      <c r="AO589" s="385"/>
      <c r="AP589" s="385"/>
      <c r="CK589" s="381"/>
    </row>
    <row r="590" spans="2:89" s="372" customFormat="1" x14ac:dyDescent="0.3">
      <c r="B590" s="382"/>
      <c r="C590" s="383"/>
      <c r="D590" s="383"/>
      <c r="N590" s="384"/>
      <c r="O590" s="384"/>
      <c r="P590" s="384"/>
      <c r="Q590" s="384"/>
      <c r="R590" s="384"/>
      <c r="S590" s="384"/>
      <c r="T590" s="384"/>
      <c r="U590" s="384"/>
      <c r="X590" s="385"/>
      <c r="Y590" s="385"/>
      <c r="Z590" s="385"/>
      <c r="AC590" s="385"/>
      <c r="AD590" s="385"/>
      <c r="AE590" s="385"/>
      <c r="AH590" s="385"/>
      <c r="AI590" s="385"/>
      <c r="AJ590" s="385"/>
      <c r="AM590" s="385"/>
      <c r="AN590" s="385"/>
      <c r="AO590" s="385"/>
      <c r="AP590" s="385"/>
      <c r="CK590" s="381"/>
    </row>
    <row r="591" spans="2:89" s="372" customFormat="1" x14ac:dyDescent="0.3">
      <c r="B591" s="382"/>
      <c r="C591" s="383"/>
      <c r="D591" s="383"/>
      <c r="N591" s="384"/>
      <c r="O591" s="384"/>
      <c r="P591" s="384"/>
      <c r="Q591" s="384"/>
      <c r="R591" s="384"/>
      <c r="S591" s="384"/>
      <c r="T591" s="384"/>
      <c r="U591" s="384"/>
      <c r="X591" s="385"/>
      <c r="Y591" s="385"/>
      <c r="Z591" s="385"/>
      <c r="AC591" s="385"/>
      <c r="AD591" s="385"/>
      <c r="AE591" s="385"/>
      <c r="AH591" s="385"/>
      <c r="AI591" s="385"/>
      <c r="AJ591" s="385"/>
      <c r="AM591" s="385"/>
      <c r="AN591" s="385"/>
      <c r="AO591" s="385"/>
      <c r="AP591" s="385"/>
      <c r="CK591" s="381"/>
    </row>
    <row r="592" spans="2:89" s="372" customFormat="1" x14ac:dyDescent="0.3">
      <c r="B592" s="382"/>
      <c r="C592" s="383"/>
      <c r="D592" s="383"/>
      <c r="N592" s="384"/>
      <c r="O592" s="384"/>
      <c r="P592" s="384"/>
      <c r="Q592" s="384"/>
      <c r="R592" s="384"/>
      <c r="S592" s="384"/>
      <c r="T592" s="384"/>
      <c r="U592" s="384"/>
      <c r="X592" s="385"/>
      <c r="Y592" s="385"/>
      <c r="Z592" s="385"/>
      <c r="AC592" s="385"/>
      <c r="AD592" s="385"/>
      <c r="AE592" s="385"/>
      <c r="AH592" s="385"/>
      <c r="AI592" s="385"/>
      <c r="AJ592" s="385"/>
      <c r="AM592" s="385"/>
      <c r="AN592" s="385"/>
      <c r="AO592" s="385"/>
      <c r="AP592" s="385"/>
      <c r="CK592" s="381"/>
    </row>
    <row r="593" spans="2:89" s="372" customFormat="1" x14ac:dyDescent="0.3">
      <c r="B593" s="382"/>
      <c r="C593" s="383"/>
      <c r="D593" s="383"/>
      <c r="N593" s="384"/>
      <c r="O593" s="384"/>
      <c r="P593" s="384"/>
      <c r="Q593" s="384"/>
      <c r="R593" s="384"/>
      <c r="S593" s="384"/>
      <c r="T593" s="384"/>
      <c r="U593" s="384"/>
      <c r="X593" s="385"/>
      <c r="Y593" s="385"/>
      <c r="Z593" s="385"/>
      <c r="AC593" s="385"/>
      <c r="AD593" s="385"/>
      <c r="AE593" s="385"/>
      <c r="AH593" s="385"/>
      <c r="AI593" s="385"/>
      <c r="AJ593" s="385"/>
      <c r="AM593" s="385"/>
      <c r="AN593" s="385"/>
      <c r="AO593" s="385"/>
      <c r="AP593" s="385"/>
      <c r="CK593" s="381"/>
    </row>
    <row r="594" spans="2:89" s="372" customFormat="1" x14ac:dyDescent="0.3">
      <c r="B594" s="382"/>
      <c r="C594" s="383"/>
      <c r="D594" s="383"/>
      <c r="N594" s="384"/>
      <c r="O594" s="384"/>
      <c r="P594" s="384"/>
      <c r="Q594" s="384"/>
      <c r="R594" s="384"/>
      <c r="S594" s="384"/>
      <c r="T594" s="384"/>
      <c r="U594" s="384"/>
      <c r="X594" s="385"/>
      <c r="Y594" s="385"/>
      <c r="Z594" s="385"/>
      <c r="AC594" s="385"/>
      <c r="AD594" s="385"/>
      <c r="AE594" s="385"/>
      <c r="AH594" s="385"/>
      <c r="AI594" s="385"/>
      <c r="AJ594" s="385"/>
      <c r="AM594" s="385"/>
      <c r="AN594" s="385"/>
      <c r="AO594" s="385"/>
      <c r="AP594" s="385"/>
      <c r="CK594" s="381"/>
    </row>
    <row r="595" spans="2:89" s="372" customFormat="1" x14ac:dyDescent="0.3">
      <c r="B595" s="382"/>
      <c r="C595" s="383"/>
      <c r="D595" s="383"/>
      <c r="N595" s="384"/>
      <c r="O595" s="384"/>
      <c r="P595" s="384"/>
      <c r="Q595" s="384"/>
      <c r="R595" s="384"/>
      <c r="S595" s="384"/>
      <c r="T595" s="384"/>
      <c r="U595" s="384"/>
      <c r="X595" s="385"/>
      <c r="Y595" s="385"/>
      <c r="Z595" s="385"/>
      <c r="AC595" s="385"/>
      <c r="AD595" s="385"/>
      <c r="AE595" s="385"/>
      <c r="AH595" s="385"/>
      <c r="AI595" s="385"/>
      <c r="AJ595" s="385"/>
      <c r="AM595" s="385"/>
      <c r="AN595" s="385"/>
      <c r="AO595" s="385"/>
      <c r="AP595" s="385"/>
      <c r="CK595" s="381"/>
    </row>
    <row r="596" spans="2:89" s="372" customFormat="1" x14ac:dyDescent="0.3">
      <c r="B596" s="382"/>
      <c r="C596" s="383"/>
      <c r="D596" s="383"/>
      <c r="N596" s="384"/>
      <c r="O596" s="384"/>
      <c r="P596" s="384"/>
      <c r="Q596" s="384"/>
      <c r="R596" s="384"/>
      <c r="S596" s="384"/>
      <c r="T596" s="384"/>
      <c r="U596" s="384"/>
      <c r="X596" s="385"/>
      <c r="Y596" s="385"/>
      <c r="Z596" s="385"/>
      <c r="AC596" s="385"/>
      <c r="AD596" s="385"/>
      <c r="AE596" s="385"/>
      <c r="AH596" s="385"/>
      <c r="AI596" s="385"/>
      <c r="AJ596" s="385"/>
      <c r="AM596" s="385"/>
      <c r="AN596" s="385"/>
      <c r="AO596" s="385"/>
      <c r="AP596" s="385"/>
      <c r="CK596" s="381"/>
    </row>
    <row r="597" spans="2:89" s="372" customFormat="1" x14ac:dyDescent="0.3">
      <c r="B597" s="382"/>
      <c r="C597" s="383"/>
      <c r="D597" s="383"/>
      <c r="N597" s="384"/>
      <c r="O597" s="384"/>
      <c r="P597" s="384"/>
      <c r="Q597" s="384"/>
      <c r="R597" s="384"/>
      <c r="S597" s="384"/>
      <c r="T597" s="384"/>
      <c r="U597" s="384"/>
      <c r="X597" s="385"/>
      <c r="Y597" s="385"/>
      <c r="Z597" s="385"/>
      <c r="AC597" s="385"/>
      <c r="AD597" s="385"/>
      <c r="AE597" s="385"/>
      <c r="AH597" s="385"/>
      <c r="AI597" s="385"/>
      <c r="AJ597" s="385"/>
      <c r="AM597" s="385"/>
      <c r="AN597" s="385"/>
      <c r="AO597" s="385"/>
      <c r="AP597" s="385"/>
      <c r="CK597" s="381"/>
    </row>
    <row r="598" spans="2:89" s="372" customFormat="1" x14ac:dyDescent="0.3">
      <c r="B598" s="382"/>
      <c r="C598" s="383"/>
      <c r="D598" s="383"/>
      <c r="N598" s="384"/>
      <c r="O598" s="384"/>
      <c r="P598" s="384"/>
      <c r="Q598" s="384"/>
      <c r="R598" s="384"/>
      <c r="S598" s="384"/>
      <c r="T598" s="384"/>
      <c r="U598" s="384"/>
      <c r="X598" s="385"/>
      <c r="Y598" s="385"/>
      <c r="Z598" s="385"/>
      <c r="AC598" s="385"/>
      <c r="AD598" s="385"/>
      <c r="AE598" s="385"/>
      <c r="AH598" s="385"/>
      <c r="AI598" s="385"/>
      <c r="AJ598" s="385"/>
      <c r="AM598" s="385"/>
      <c r="AN598" s="385"/>
      <c r="AO598" s="385"/>
      <c r="AP598" s="385"/>
      <c r="CK598" s="381"/>
    </row>
    <row r="599" spans="2:89" s="372" customFormat="1" x14ac:dyDescent="0.3">
      <c r="B599" s="382"/>
      <c r="C599" s="383"/>
      <c r="D599" s="383"/>
      <c r="N599" s="384"/>
      <c r="O599" s="384"/>
      <c r="P599" s="384"/>
      <c r="Q599" s="384"/>
      <c r="R599" s="384"/>
      <c r="S599" s="384"/>
      <c r="T599" s="384"/>
      <c r="U599" s="384"/>
      <c r="X599" s="385"/>
      <c r="Y599" s="385"/>
      <c r="Z599" s="385"/>
      <c r="AC599" s="385"/>
      <c r="AD599" s="385"/>
      <c r="AE599" s="385"/>
      <c r="AH599" s="385"/>
      <c r="AI599" s="385"/>
      <c r="AJ599" s="385"/>
      <c r="AM599" s="385"/>
      <c r="AN599" s="385"/>
      <c r="AO599" s="385"/>
      <c r="AP599" s="385"/>
      <c r="CK599" s="381"/>
    </row>
    <row r="600" spans="2:89" s="372" customFormat="1" x14ac:dyDescent="0.3">
      <c r="B600" s="382"/>
      <c r="C600" s="383"/>
      <c r="D600" s="383"/>
      <c r="N600" s="384"/>
      <c r="O600" s="384"/>
      <c r="P600" s="384"/>
      <c r="Q600" s="384"/>
      <c r="R600" s="384"/>
      <c r="S600" s="384"/>
      <c r="T600" s="384"/>
      <c r="U600" s="384"/>
      <c r="X600" s="385"/>
      <c r="Y600" s="385"/>
      <c r="Z600" s="385"/>
      <c r="AC600" s="385"/>
      <c r="AD600" s="385"/>
      <c r="AE600" s="385"/>
      <c r="AH600" s="385"/>
      <c r="AI600" s="385"/>
      <c r="AJ600" s="385"/>
      <c r="AM600" s="385"/>
      <c r="AN600" s="385"/>
      <c r="AO600" s="385"/>
      <c r="AP600" s="385"/>
      <c r="CK600" s="381"/>
    </row>
    <row r="601" spans="2:89" s="372" customFormat="1" x14ac:dyDescent="0.3">
      <c r="B601" s="382"/>
      <c r="C601" s="383"/>
      <c r="D601" s="383"/>
      <c r="N601" s="384"/>
      <c r="O601" s="384"/>
      <c r="P601" s="384"/>
      <c r="Q601" s="384"/>
      <c r="R601" s="384"/>
      <c r="S601" s="384"/>
      <c r="T601" s="384"/>
      <c r="U601" s="384"/>
      <c r="X601" s="385"/>
      <c r="Y601" s="385"/>
      <c r="Z601" s="385"/>
      <c r="AC601" s="385"/>
      <c r="AD601" s="385"/>
      <c r="AE601" s="385"/>
      <c r="AH601" s="385"/>
      <c r="AI601" s="385"/>
      <c r="AJ601" s="385"/>
      <c r="AM601" s="385"/>
      <c r="AN601" s="385"/>
      <c r="AO601" s="385"/>
      <c r="AP601" s="385"/>
      <c r="CK601" s="381"/>
    </row>
    <row r="602" spans="2:89" s="372" customFormat="1" x14ac:dyDescent="0.3">
      <c r="B602" s="382"/>
      <c r="C602" s="383"/>
      <c r="D602" s="383"/>
      <c r="N602" s="384"/>
      <c r="O602" s="384"/>
      <c r="P602" s="384"/>
      <c r="Q602" s="384"/>
      <c r="R602" s="384"/>
      <c r="S602" s="384"/>
      <c r="T602" s="384"/>
      <c r="U602" s="384"/>
      <c r="X602" s="385"/>
      <c r="Y602" s="385"/>
      <c r="Z602" s="385"/>
      <c r="AC602" s="385"/>
      <c r="AD602" s="385"/>
      <c r="AE602" s="385"/>
      <c r="AH602" s="385"/>
      <c r="AI602" s="385"/>
      <c r="AJ602" s="385"/>
      <c r="AM602" s="385"/>
      <c r="AN602" s="385"/>
      <c r="AO602" s="385"/>
      <c r="AP602" s="385"/>
      <c r="CK602" s="381"/>
    </row>
    <row r="603" spans="2:89" s="372" customFormat="1" x14ac:dyDescent="0.3">
      <c r="B603" s="382"/>
      <c r="C603" s="383"/>
      <c r="D603" s="383"/>
      <c r="N603" s="384"/>
      <c r="O603" s="384"/>
      <c r="P603" s="384"/>
      <c r="Q603" s="384"/>
      <c r="R603" s="384"/>
      <c r="S603" s="384"/>
      <c r="T603" s="384"/>
      <c r="U603" s="384"/>
      <c r="X603" s="385"/>
      <c r="Y603" s="385"/>
      <c r="Z603" s="385"/>
      <c r="AC603" s="385"/>
      <c r="AD603" s="385"/>
      <c r="AE603" s="385"/>
      <c r="AH603" s="385"/>
      <c r="AI603" s="385"/>
      <c r="AJ603" s="385"/>
      <c r="AM603" s="385"/>
      <c r="AN603" s="385"/>
      <c r="AO603" s="385"/>
      <c r="AP603" s="385"/>
      <c r="CK603" s="381"/>
    </row>
    <row r="604" spans="2:89" s="372" customFormat="1" x14ac:dyDescent="0.3">
      <c r="B604" s="382"/>
      <c r="C604" s="383"/>
      <c r="D604" s="383"/>
      <c r="N604" s="384"/>
      <c r="O604" s="384"/>
      <c r="P604" s="384"/>
      <c r="Q604" s="384"/>
      <c r="R604" s="384"/>
      <c r="S604" s="384"/>
      <c r="T604" s="384"/>
      <c r="U604" s="384"/>
      <c r="X604" s="385"/>
      <c r="Y604" s="385"/>
      <c r="Z604" s="385"/>
      <c r="AC604" s="385"/>
      <c r="AD604" s="385"/>
      <c r="AE604" s="385"/>
      <c r="AH604" s="385"/>
      <c r="AI604" s="385"/>
      <c r="AJ604" s="385"/>
      <c r="AM604" s="385"/>
      <c r="AN604" s="385"/>
      <c r="AO604" s="385"/>
      <c r="AP604" s="385"/>
      <c r="CK604" s="381"/>
    </row>
    <row r="605" spans="2:89" s="372" customFormat="1" x14ac:dyDescent="0.3">
      <c r="B605" s="382"/>
      <c r="C605" s="383"/>
      <c r="D605" s="383"/>
      <c r="N605" s="384"/>
      <c r="O605" s="384"/>
      <c r="P605" s="384"/>
      <c r="Q605" s="384"/>
      <c r="R605" s="384"/>
      <c r="S605" s="384"/>
      <c r="T605" s="384"/>
      <c r="U605" s="384"/>
      <c r="X605" s="385"/>
      <c r="Y605" s="385"/>
      <c r="Z605" s="385"/>
      <c r="AC605" s="385"/>
      <c r="AD605" s="385"/>
      <c r="AE605" s="385"/>
      <c r="AH605" s="385"/>
      <c r="AI605" s="385"/>
      <c r="AJ605" s="385"/>
      <c r="AM605" s="385"/>
      <c r="AN605" s="385"/>
      <c r="AO605" s="385"/>
      <c r="AP605" s="385"/>
      <c r="CK605" s="381"/>
    </row>
    <row r="606" spans="2:89" s="372" customFormat="1" x14ac:dyDescent="0.3">
      <c r="B606" s="382"/>
      <c r="C606" s="383"/>
      <c r="D606" s="383"/>
      <c r="N606" s="384"/>
      <c r="O606" s="384"/>
      <c r="P606" s="384"/>
      <c r="Q606" s="384"/>
      <c r="R606" s="384"/>
      <c r="S606" s="384"/>
      <c r="T606" s="384"/>
      <c r="U606" s="384"/>
      <c r="X606" s="385"/>
      <c r="Y606" s="385"/>
      <c r="Z606" s="385"/>
      <c r="AC606" s="385"/>
      <c r="AD606" s="385"/>
      <c r="AE606" s="385"/>
      <c r="AH606" s="385"/>
      <c r="AI606" s="385"/>
      <c r="AJ606" s="385"/>
      <c r="AM606" s="385"/>
      <c r="AN606" s="385"/>
      <c r="AO606" s="385"/>
      <c r="AP606" s="385"/>
      <c r="CK606" s="381"/>
    </row>
    <row r="607" spans="2:89" s="372" customFormat="1" x14ac:dyDescent="0.3">
      <c r="B607" s="382"/>
      <c r="C607" s="383"/>
      <c r="D607" s="383"/>
      <c r="N607" s="384"/>
      <c r="O607" s="384"/>
      <c r="P607" s="384"/>
      <c r="Q607" s="384"/>
      <c r="R607" s="384"/>
      <c r="S607" s="384"/>
      <c r="T607" s="384"/>
      <c r="U607" s="384"/>
      <c r="X607" s="385"/>
      <c r="Y607" s="385"/>
      <c r="Z607" s="385"/>
      <c r="AC607" s="385"/>
      <c r="AD607" s="385"/>
      <c r="AE607" s="385"/>
      <c r="AH607" s="385"/>
      <c r="AI607" s="385"/>
      <c r="AJ607" s="385"/>
      <c r="AM607" s="385"/>
      <c r="AN607" s="385"/>
      <c r="AO607" s="385"/>
      <c r="AP607" s="385"/>
      <c r="CK607" s="381"/>
    </row>
    <row r="608" spans="2:89" s="372" customFormat="1" x14ac:dyDescent="0.3">
      <c r="B608" s="382"/>
      <c r="C608" s="383"/>
      <c r="D608" s="383"/>
      <c r="N608" s="384"/>
      <c r="O608" s="384"/>
      <c r="P608" s="384"/>
      <c r="Q608" s="384"/>
      <c r="R608" s="384"/>
      <c r="S608" s="384"/>
      <c r="T608" s="384"/>
      <c r="U608" s="384"/>
      <c r="X608" s="385"/>
      <c r="Y608" s="385"/>
      <c r="Z608" s="385"/>
      <c r="AC608" s="385"/>
      <c r="AD608" s="385"/>
      <c r="AE608" s="385"/>
      <c r="AH608" s="385"/>
      <c r="AI608" s="385"/>
      <c r="AJ608" s="385"/>
      <c r="AM608" s="385"/>
      <c r="AN608" s="385"/>
      <c r="AO608" s="385"/>
      <c r="AP608" s="385"/>
      <c r="CK608" s="381"/>
    </row>
    <row r="609" spans="2:89" s="372" customFormat="1" x14ac:dyDescent="0.3">
      <c r="B609" s="382"/>
      <c r="C609" s="383"/>
      <c r="D609" s="383"/>
      <c r="N609" s="384"/>
      <c r="O609" s="384"/>
      <c r="P609" s="384"/>
      <c r="Q609" s="384"/>
      <c r="R609" s="384"/>
      <c r="S609" s="384"/>
      <c r="T609" s="384"/>
      <c r="U609" s="384"/>
      <c r="X609" s="385"/>
      <c r="Y609" s="385"/>
      <c r="Z609" s="385"/>
      <c r="AC609" s="385"/>
      <c r="AD609" s="385"/>
      <c r="AE609" s="385"/>
      <c r="AH609" s="385"/>
      <c r="AI609" s="385"/>
      <c r="AJ609" s="385"/>
      <c r="AM609" s="385"/>
      <c r="AN609" s="385"/>
      <c r="AO609" s="385"/>
      <c r="AP609" s="385"/>
      <c r="CK609" s="381"/>
    </row>
    <row r="610" spans="2:89" s="372" customFormat="1" x14ac:dyDescent="0.3">
      <c r="B610" s="382"/>
      <c r="C610" s="383"/>
      <c r="D610" s="383"/>
      <c r="N610" s="384"/>
      <c r="O610" s="384"/>
      <c r="P610" s="384"/>
      <c r="Q610" s="384"/>
      <c r="R610" s="384"/>
      <c r="S610" s="384"/>
      <c r="T610" s="384"/>
      <c r="U610" s="384"/>
      <c r="X610" s="385"/>
      <c r="Y610" s="385"/>
      <c r="Z610" s="385"/>
      <c r="AC610" s="385"/>
      <c r="AD610" s="385"/>
      <c r="AE610" s="385"/>
      <c r="AH610" s="385"/>
      <c r="AI610" s="385"/>
      <c r="AJ610" s="385"/>
      <c r="AM610" s="385"/>
      <c r="AN610" s="385"/>
      <c r="AO610" s="385"/>
      <c r="AP610" s="385"/>
      <c r="CK610" s="381"/>
    </row>
    <row r="611" spans="2:89" s="372" customFormat="1" x14ac:dyDescent="0.3">
      <c r="B611" s="382"/>
      <c r="C611" s="383"/>
      <c r="D611" s="383"/>
      <c r="N611" s="384"/>
      <c r="O611" s="384"/>
      <c r="P611" s="384"/>
      <c r="Q611" s="384"/>
      <c r="R611" s="384"/>
      <c r="S611" s="384"/>
      <c r="T611" s="384"/>
      <c r="U611" s="384"/>
      <c r="X611" s="385"/>
      <c r="Y611" s="385"/>
      <c r="Z611" s="385"/>
      <c r="AC611" s="385"/>
      <c r="AD611" s="385"/>
      <c r="AE611" s="385"/>
      <c r="AH611" s="385"/>
      <c r="AI611" s="385"/>
      <c r="AJ611" s="385"/>
      <c r="AM611" s="385"/>
      <c r="AN611" s="385"/>
      <c r="AO611" s="385"/>
      <c r="AP611" s="385"/>
      <c r="CK611" s="381"/>
    </row>
    <row r="612" spans="2:89" s="372" customFormat="1" x14ac:dyDescent="0.3">
      <c r="B612" s="382"/>
      <c r="C612" s="383"/>
      <c r="D612" s="383"/>
      <c r="N612" s="384"/>
      <c r="O612" s="384"/>
      <c r="P612" s="384"/>
      <c r="Q612" s="384"/>
      <c r="R612" s="384"/>
      <c r="S612" s="384"/>
      <c r="T612" s="384"/>
      <c r="U612" s="384"/>
      <c r="X612" s="385"/>
      <c r="Y612" s="385"/>
      <c r="Z612" s="385"/>
      <c r="AC612" s="385"/>
      <c r="AD612" s="385"/>
      <c r="AE612" s="385"/>
      <c r="AH612" s="385"/>
      <c r="AI612" s="385"/>
      <c r="AJ612" s="385"/>
      <c r="AM612" s="385"/>
      <c r="AN612" s="385"/>
      <c r="AO612" s="385"/>
      <c r="AP612" s="385"/>
      <c r="CK612" s="381"/>
    </row>
    <row r="613" spans="2:89" s="372" customFormat="1" x14ac:dyDescent="0.3">
      <c r="B613" s="382"/>
      <c r="C613" s="383"/>
      <c r="D613" s="383"/>
      <c r="N613" s="384"/>
      <c r="O613" s="384"/>
      <c r="P613" s="384"/>
      <c r="Q613" s="384"/>
      <c r="R613" s="384"/>
      <c r="S613" s="384"/>
      <c r="T613" s="384"/>
      <c r="U613" s="384"/>
      <c r="X613" s="385"/>
      <c r="Y613" s="385"/>
      <c r="Z613" s="385"/>
      <c r="AC613" s="385"/>
      <c r="AD613" s="385"/>
      <c r="AE613" s="385"/>
      <c r="AH613" s="385"/>
      <c r="AI613" s="385"/>
      <c r="AJ613" s="385"/>
      <c r="AM613" s="385"/>
      <c r="AN613" s="385"/>
      <c r="AO613" s="385"/>
      <c r="AP613" s="385"/>
      <c r="CK613" s="381"/>
    </row>
    <row r="614" spans="2:89" s="372" customFormat="1" x14ac:dyDescent="0.3">
      <c r="B614" s="382"/>
      <c r="C614" s="383"/>
      <c r="D614" s="383"/>
      <c r="N614" s="384"/>
      <c r="O614" s="384"/>
      <c r="P614" s="384"/>
      <c r="Q614" s="384"/>
      <c r="R614" s="384"/>
      <c r="S614" s="384"/>
      <c r="T614" s="384"/>
      <c r="U614" s="384"/>
      <c r="X614" s="385"/>
      <c r="Y614" s="385"/>
      <c r="Z614" s="385"/>
      <c r="AC614" s="385"/>
      <c r="AD614" s="385"/>
      <c r="AE614" s="385"/>
      <c r="AH614" s="385"/>
      <c r="AI614" s="385"/>
      <c r="AJ614" s="385"/>
      <c r="AM614" s="385"/>
      <c r="AN614" s="385"/>
      <c r="AO614" s="385"/>
      <c r="AP614" s="385"/>
      <c r="CK614" s="381"/>
    </row>
    <row r="615" spans="2:89" s="372" customFormat="1" x14ac:dyDescent="0.3">
      <c r="B615" s="382"/>
      <c r="C615" s="383"/>
      <c r="D615" s="383"/>
      <c r="N615" s="384"/>
      <c r="O615" s="384"/>
      <c r="P615" s="384"/>
      <c r="Q615" s="384"/>
      <c r="R615" s="384"/>
      <c r="S615" s="384"/>
      <c r="T615" s="384"/>
      <c r="U615" s="384"/>
      <c r="X615" s="385"/>
      <c r="Y615" s="385"/>
      <c r="Z615" s="385"/>
      <c r="AC615" s="385"/>
      <c r="AD615" s="385"/>
      <c r="AE615" s="385"/>
      <c r="AH615" s="385"/>
      <c r="AI615" s="385"/>
      <c r="AJ615" s="385"/>
      <c r="AM615" s="385"/>
      <c r="AN615" s="385"/>
      <c r="AO615" s="385"/>
      <c r="AP615" s="385"/>
      <c r="CK615" s="381"/>
    </row>
    <row r="616" spans="2:89" s="372" customFormat="1" x14ac:dyDescent="0.3">
      <c r="B616" s="382"/>
      <c r="C616" s="383"/>
      <c r="D616" s="383"/>
      <c r="N616" s="384"/>
      <c r="O616" s="384"/>
      <c r="P616" s="384"/>
      <c r="Q616" s="384"/>
      <c r="R616" s="384"/>
      <c r="S616" s="384"/>
      <c r="T616" s="384"/>
      <c r="U616" s="384"/>
      <c r="X616" s="385"/>
      <c r="Y616" s="385"/>
      <c r="Z616" s="385"/>
      <c r="AC616" s="385"/>
      <c r="AD616" s="385"/>
      <c r="AE616" s="385"/>
      <c r="AH616" s="385"/>
      <c r="AI616" s="385"/>
      <c r="AJ616" s="385"/>
      <c r="AM616" s="385"/>
      <c r="AN616" s="385"/>
      <c r="AO616" s="385"/>
      <c r="AP616" s="385"/>
      <c r="CK616" s="381"/>
    </row>
    <row r="617" spans="2:89" s="372" customFormat="1" x14ac:dyDescent="0.3">
      <c r="B617" s="382"/>
      <c r="C617" s="383"/>
      <c r="D617" s="383"/>
      <c r="N617" s="384"/>
      <c r="O617" s="384"/>
      <c r="P617" s="384"/>
      <c r="Q617" s="384"/>
      <c r="R617" s="384"/>
      <c r="S617" s="384"/>
      <c r="T617" s="384"/>
      <c r="U617" s="384"/>
      <c r="X617" s="385"/>
      <c r="Y617" s="385"/>
      <c r="Z617" s="385"/>
      <c r="AC617" s="385"/>
      <c r="AD617" s="385"/>
      <c r="AE617" s="385"/>
      <c r="AH617" s="385"/>
      <c r="AI617" s="385"/>
      <c r="AJ617" s="385"/>
      <c r="AM617" s="385"/>
      <c r="AN617" s="385"/>
      <c r="AO617" s="385"/>
      <c r="AP617" s="385"/>
      <c r="CK617" s="381"/>
    </row>
    <row r="618" spans="2:89" s="372" customFormat="1" x14ac:dyDescent="0.3">
      <c r="B618" s="382"/>
      <c r="C618" s="383"/>
      <c r="D618" s="383"/>
      <c r="N618" s="384"/>
      <c r="O618" s="384"/>
      <c r="P618" s="384"/>
      <c r="Q618" s="384"/>
      <c r="R618" s="384"/>
      <c r="S618" s="384"/>
      <c r="T618" s="384"/>
      <c r="U618" s="384"/>
      <c r="X618" s="385"/>
      <c r="Y618" s="385"/>
      <c r="Z618" s="385"/>
      <c r="AC618" s="385"/>
      <c r="AD618" s="385"/>
      <c r="AE618" s="385"/>
      <c r="AH618" s="385"/>
      <c r="AI618" s="385"/>
      <c r="AJ618" s="385"/>
      <c r="AM618" s="385"/>
      <c r="AN618" s="385"/>
      <c r="AO618" s="385"/>
      <c r="AP618" s="385"/>
      <c r="CK618" s="381"/>
    </row>
    <row r="619" spans="2:89" s="372" customFormat="1" x14ac:dyDescent="0.3">
      <c r="B619" s="382"/>
      <c r="C619" s="383"/>
      <c r="D619" s="383"/>
      <c r="N619" s="384"/>
      <c r="O619" s="384"/>
      <c r="P619" s="384"/>
      <c r="Q619" s="384"/>
      <c r="R619" s="384"/>
      <c r="S619" s="384"/>
      <c r="T619" s="384"/>
      <c r="U619" s="384"/>
      <c r="X619" s="385"/>
      <c r="Y619" s="385"/>
      <c r="Z619" s="385"/>
      <c r="AC619" s="385"/>
      <c r="AD619" s="385"/>
      <c r="AE619" s="385"/>
      <c r="AH619" s="385"/>
      <c r="AI619" s="385"/>
      <c r="AJ619" s="385"/>
      <c r="AM619" s="385"/>
      <c r="AN619" s="385"/>
      <c r="AO619" s="385"/>
      <c r="AP619" s="385"/>
      <c r="CK619" s="381"/>
    </row>
    <row r="620" spans="2:89" s="372" customFormat="1" x14ac:dyDescent="0.3">
      <c r="B620" s="382"/>
      <c r="C620" s="383"/>
      <c r="D620" s="383"/>
      <c r="N620" s="384"/>
      <c r="O620" s="384"/>
      <c r="P620" s="384"/>
      <c r="Q620" s="384"/>
      <c r="R620" s="384"/>
      <c r="S620" s="384"/>
      <c r="T620" s="384"/>
      <c r="U620" s="384"/>
      <c r="X620" s="385"/>
      <c r="Y620" s="385"/>
      <c r="Z620" s="385"/>
      <c r="AC620" s="385"/>
      <c r="AD620" s="385"/>
      <c r="AE620" s="385"/>
      <c r="AH620" s="385"/>
      <c r="AI620" s="385"/>
      <c r="AJ620" s="385"/>
      <c r="AM620" s="385"/>
      <c r="AN620" s="385"/>
      <c r="AO620" s="385"/>
      <c r="AP620" s="385"/>
      <c r="CK620" s="381"/>
    </row>
    <row r="621" spans="2:89" s="372" customFormat="1" x14ac:dyDescent="0.3">
      <c r="B621" s="382"/>
      <c r="C621" s="383"/>
      <c r="D621" s="383"/>
      <c r="N621" s="384"/>
      <c r="O621" s="384"/>
      <c r="P621" s="384"/>
      <c r="Q621" s="384"/>
      <c r="R621" s="384"/>
      <c r="S621" s="384"/>
      <c r="T621" s="384"/>
      <c r="U621" s="384"/>
      <c r="X621" s="385"/>
      <c r="Y621" s="385"/>
      <c r="Z621" s="385"/>
      <c r="AC621" s="385"/>
      <c r="AD621" s="385"/>
      <c r="AE621" s="385"/>
      <c r="AH621" s="385"/>
      <c r="AI621" s="385"/>
      <c r="AJ621" s="385"/>
      <c r="AM621" s="385"/>
      <c r="AN621" s="385"/>
      <c r="AO621" s="385"/>
      <c r="AP621" s="385"/>
      <c r="CK621" s="381"/>
    </row>
    <row r="622" spans="2:89" s="372" customFormat="1" x14ac:dyDescent="0.3">
      <c r="B622" s="382"/>
      <c r="C622" s="383"/>
      <c r="D622" s="383"/>
      <c r="N622" s="384"/>
      <c r="O622" s="384"/>
      <c r="P622" s="384"/>
      <c r="Q622" s="384"/>
      <c r="R622" s="384"/>
      <c r="S622" s="384"/>
      <c r="T622" s="384"/>
      <c r="U622" s="384"/>
      <c r="X622" s="385"/>
      <c r="Y622" s="385"/>
      <c r="Z622" s="385"/>
      <c r="AC622" s="385"/>
      <c r="AD622" s="385"/>
      <c r="AE622" s="385"/>
      <c r="AH622" s="385"/>
      <c r="AI622" s="385"/>
      <c r="AJ622" s="385"/>
      <c r="AM622" s="385"/>
      <c r="AN622" s="385"/>
      <c r="AO622" s="385"/>
      <c r="AP622" s="385"/>
      <c r="CK622" s="381"/>
    </row>
    <row r="623" spans="2:89" s="372" customFormat="1" x14ac:dyDescent="0.3">
      <c r="B623" s="382"/>
      <c r="C623" s="383"/>
      <c r="D623" s="383"/>
      <c r="N623" s="384"/>
      <c r="O623" s="384"/>
      <c r="P623" s="384"/>
      <c r="Q623" s="384"/>
      <c r="R623" s="384"/>
      <c r="S623" s="384"/>
      <c r="T623" s="384"/>
      <c r="U623" s="384"/>
      <c r="X623" s="385"/>
      <c r="Y623" s="385"/>
      <c r="Z623" s="385"/>
      <c r="AC623" s="385"/>
      <c r="AD623" s="385"/>
      <c r="AE623" s="385"/>
      <c r="AH623" s="385"/>
      <c r="AI623" s="385"/>
      <c r="AJ623" s="385"/>
      <c r="AM623" s="385"/>
      <c r="AN623" s="385"/>
      <c r="AO623" s="385"/>
      <c r="AP623" s="385"/>
      <c r="CK623" s="381"/>
    </row>
    <row r="624" spans="2:89" s="372" customFormat="1" x14ac:dyDescent="0.3">
      <c r="B624" s="382"/>
      <c r="C624" s="383"/>
      <c r="D624" s="383"/>
      <c r="N624" s="384"/>
      <c r="O624" s="384"/>
      <c r="P624" s="384"/>
      <c r="Q624" s="384"/>
      <c r="R624" s="384"/>
      <c r="S624" s="384"/>
      <c r="T624" s="384"/>
      <c r="U624" s="384"/>
      <c r="X624" s="385"/>
      <c r="Y624" s="385"/>
      <c r="Z624" s="385"/>
      <c r="AC624" s="385"/>
      <c r="AD624" s="385"/>
      <c r="AE624" s="385"/>
      <c r="AH624" s="385"/>
      <c r="AI624" s="385"/>
      <c r="AJ624" s="385"/>
      <c r="AM624" s="385"/>
      <c r="AN624" s="385"/>
      <c r="AO624" s="385"/>
      <c r="AP624" s="385"/>
      <c r="CK624" s="381"/>
    </row>
    <row r="625" spans="2:89" s="372" customFormat="1" x14ac:dyDescent="0.3">
      <c r="B625" s="382"/>
      <c r="C625" s="383"/>
      <c r="D625" s="383"/>
      <c r="N625" s="384"/>
      <c r="O625" s="384"/>
      <c r="P625" s="384"/>
      <c r="Q625" s="384"/>
      <c r="R625" s="384"/>
      <c r="S625" s="384"/>
      <c r="T625" s="384"/>
      <c r="U625" s="384"/>
      <c r="X625" s="385"/>
      <c r="Y625" s="385"/>
      <c r="Z625" s="385"/>
      <c r="AC625" s="385"/>
      <c r="AD625" s="385"/>
      <c r="AE625" s="385"/>
      <c r="AH625" s="385"/>
      <c r="AI625" s="385"/>
      <c r="AJ625" s="385"/>
      <c r="AM625" s="385"/>
      <c r="AN625" s="385"/>
      <c r="AO625" s="385"/>
      <c r="AP625" s="385"/>
      <c r="CK625" s="381"/>
    </row>
    <row r="626" spans="2:89" s="372" customFormat="1" x14ac:dyDescent="0.3">
      <c r="B626" s="382"/>
      <c r="C626" s="383"/>
      <c r="D626" s="383"/>
      <c r="N626" s="384"/>
      <c r="O626" s="384"/>
      <c r="P626" s="384"/>
      <c r="Q626" s="384"/>
      <c r="R626" s="384"/>
      <c r="S626" s="384"/>
      <c r="T626" s="384"/>
      <c r="U626" s="384"/>
      <c r="X626" s="385"/>
      <c r="Y626" s="385"/>
      <c r="Z626" s="385"/>
      <c r="AC626" s="385"/>
      <c r="AD626" s="385"/>
      <c r="AE626" s="385"/>
      <c r="AH626" s="385"/>
      <c r="AI626" s="385"/>
      <c r="AJ626" s="385"/>
      <c r="AM626" s="385"/>
      <c r="AN626" s="385"/>
      <c r="AO626" s="385"/>
      <c r="AP626" s="385"/>
      <c r="CK626" s="381"/>
    </row>
    <row r="627" spans="2:89" s="372" customFormat="1" x14ac:dyDescent="0.3">
      <c r="B627" s="382"/>
      <c r="C627" s="383"/>
      <c r="D627" s="383"/>
      <c r="N627" s="384"/>
      <c r="O627" s="384"/>
      <c r="P627" s="384"/>
      <c r="Q627" s="384"/>
      <c r="R627" s="384"/>
      <c r="S627" s="384"/>
      <c r="T627" s="384"/>
      <c r="U627" s="384"/>
      <c r="X627" s="385"/>
      <c r="Y627" s="385"/>
      <c r="Z627" s="385"/>
      <c r="AC627" s="385"/>
      <c r="AD627" s="385"/>
      <c r="AE627" s="385"/>
      <c r="AH627" s="385"/>
      <c r="AI627" s="385"/>
      <c r="AJ627" s="385"/>
      <c r="AM627" s="385"/>
      <c r="AN627" s="385"/>
      <c r="AO627" s="385"/>
      <c r="AP627" s="385"/>
      <c r="CK627" s="381"/>
    </row>
    <row r="628" spans="2:89" s="372" customFormat="1" x14ac:dyDescent="0.3">
      <c r="B628" s="382"/>
      <c r="C628" s="383"/>
      <c r="D628" s="383"/>
      <c r="N628" s="384"/>
      <c r="O628" s="384"/>
      <c r="P628" s="384"/>
      <c r="Q628" s="384"/>
      <c r="R628" s="384"/>
      <c r="S628" s="384"/>
      <c r="T628" s="384"/>
      <c r="U628" s="384"/>
      <c r="X628" s="385"/>
      <c r="Y628" s="385"/>
      <c r="Z628" s="385"/>
      <c r="AC628" s="385"/>
      <c r="AD628" s="385"/>
      <c r="AE628" s="385"/>
      <c r="AH628" s="385"/>
      <c r="AI628" s="385"/>
      <c r="AJ628" s="385"/>
      <c r="AM628" s="385"/>
      <c r="AN628" s="385"/>
      <c r="AO628" s="385"/>
      <c r="AP628" s="385"/>
      <c r="CK628" s="381"/>
    </row>
    <row r="629" spans="2:89" s="372" customFormat="1" x14ac:dyDescent="0.3">
      <c r="B629" s="382"/>
      <c r="C629" s="383"/>
      <c r="D629" s="383"/>
      <c r="N629" s="384"/>
      <c r="O629" s="384"/>
      <c r="P629" s="384"/>
      <c r="Q629" s="384"/>
      <c r="R629" s="384"/>
      <c r="S629" s="384"/>
      <c r="T629" s="384"/>
      <c r="U629" s="384"/>
      <c r="X629" s="385"/>
      <c r="Y629" s="385"/>
      <c r="Z629" s="385"/>
      <c r="AC629" s="385"/>
      <c r="AD629" s="385"/>
      <c r="AE629" s="385"/>
      <c r="AH629" s="385"/>
      <c r="AI629" s="385"/>
      <c r="AJ629" s="385"/>
      <c r="AM629" s="385"/>
      <c r="AN629" s="385"/>
      <c r="AO629" s="385"/>
      <c r="AP629" s="385"/>
      <c r="CK629" s="381"/>
    </row>
    <row r="630" spans="2:89" s="372" customFormat="1" x14ac:dyDescent="0.3">
      <c r="B630" s="382"/>
      <c r="C630" s="383"/>
      <c r="D630" s="383"/>
      <c r="N630" s="384"/>
      <c r="O630" s="384"/>
      <c r="P630" s="384"/>
      <c r="Q630" s="384"/>
      <c r="R630" s="384"/>
      <c r="S630" s="384"/>
      <c r="T630" s="384"/>
      <c r="U630" s="384"/>
      <c r="X630" s="385"/>
      <c r="Y630" s="385"/>
      <c r="Z630" s="385"/>
      <c r="AC630" s="385"/>
      <c r="AD630" s="385"/>
      <c r="AE630" s="385"/>
      <c r="AH630" s="385"/>
      <c r="AI630" s="385"/>
      <c r="AJ630" s="385"/>
      <c r="AM630" s="385"/>
      <c r="AN630" s="385"/>
      <c r="AO630" s="385"/>
      <c r="AP630" s="385"/>
      <c r="CK630" s="381"/>
    </row>
    <row r="631" spans="2:89" s="372" customFormat="1" x14ac:dyDescent="0.3">
      <c r="B631" s="382"/>
      <c r="C631" s="383"/>
      <c r="D631" s="383"/>
      <c r="N631" s="384"/>
      <c r="O631" s="384"/>
      <c r="P631" s="384"/>
      <c r="Q631" s="384"/>
      <c r="R631" s="384"/>
      <c r="S631" s="384"/>
      <c r="T631" s="384"/>
      <c r="U631" s="384"/>
      <c r="X631" s="385"/>
      <c r="Y631" s="385"/>
      <c r="Z631" s="385"/>
      <c r="AC631" s="385"/>
      <c r="AD631" s="385"/>
      <c r="AE631" s="385"/>
      <c r="AH631" s="385"/>
      <c r="AI631" s="385"/>
      <c r="AJ631" s="385"/>
      <c r="AM631" s="385"/>
      <c r="AN631" s="385"/>
      <c r="AO631" s="385"/>
      <c r="AP631" s="385"/>
      <c r="CK631" s="381"/>
    </row>
    <row r="632" spans="2:89" s="372" customFormat="1" x14ac:dyDescent="0.3">
      <c r="B632" s="382"/>
      <c r="C632" s="383"/>
      <c r="D632" s="383"/>
      <c r="N632" s="384"/>
      <c r="O632" s="384"/>
      <c r="P632" s="384"/>
      <c r="Q632" s="384"/>
      <c r="R632" s="384"/>
      <c r="S632" s="384"/>
      <c r="T632" s="384"/>
      <c r="U632" s="384"/>
      <c r="X632" s="385"/>
      <c r="Y632" s="385"/>
      <c r="Z632" s="385"/>
      <c r="AC632" s="385"/>
      <c r="AD632" s="385"/>
      <c r="AE632" s="385"/>
      <c r="AH632" s="385"/>
      <c r="AI632" s="385"/>
      <c r="AJ632" s="385"/>
      <c r="AM632" s="385"/>
      <c r="AN632" s="385"/>
      <c r="AO632" s="385"/>
      <c r="AP632" s="385"/>
      <c r="CK632" s="381"/>
    </row>
    <row r="633" spans="2:89" s="372" customFormat="1" x14ac:dyDescent="0.3">
      <c r="B633" s="382"/>
      <c r="C633" s="383"/>
      <c r="D633" s="383"/>
      <c r="N633" s="384"/>
      <c r="O633" s="384"/>
      <c r="P633" s="384"/>
      <c r="Q633" s="384"/>
      <c r="R633" s="384"/>
      <c r="S633" s="384"/>
      <c r="T633" s="384"/>
      <c r="U633" s="384"/>
      <c r="X633" s="385"/>
      <c r="Y633" s="385"/>
      <c r="Z633" s="385"/>
      <c r="AC633" s="385"/>
      <c r="AD633" s="385"/>
      <c r="AE633" s="385"/>
      <c r="AH633" s="385"/>
      <c r="AI633" s="385"/>
      <c r="AJ633" s="385"/>
      <c r="AM633" s="385"/>
      <c r="AN633" s="385"/>
      <c r="AO633" s="385"/>
      <c r="AP633" s="385"/>
      <c r="CK633" s="381"/>
    </row>
    <row r="634" spans="2:89" s="372" customFormat="1" x14ac:dyDescent="0.3">
      <c r="B634" s="382"/>
      <c r="C634" s="383"/>
      <c r="D634" s="383"/>
      <c r="N634" s="384"/>
      <c r="O634" s="384"/>
      <c r="P634" s="384"/>
      <c r="Q634" s="384"/>
      <c r="R634" s="384"/>
      <c r="S634" s="384"/>
      <c r="T634" s="384"/>
      <c r="U634" s="384"/>
      <c r="X634" s="385"/>
      <c r="Y634" s="385"/>
      <c r="Z634" s="385"/>
      <c r="AC634" s="385"/>
      <c r="AD634" s="385"/>
      <c r="AE634" s="385"/>
      <c r="AH634" s="385"/>
      <c r="AI634" s="385"/>
      <c r="AJ634" s="385"/>
      <c r="AM634" s="385"/>
      <c r="AN634" s="385"/>
      <c r="AO634" s="385"/>
      <c r="AP634" s="385"/>
      <c r="CK634" s="381"/>
    </row>
    <row r="635" spans="2:89" s="372" customFormat="1" x14ac:dyDescent="0.3">
      <c r="B635" s="382"/>
      <c r="C635" s="383"/>
      <c r="D635" s="383"/>
      <c r="N635" s="384"/>
      <c r="O635" s="384"/>
      <c r="P635" s="384"/>
      <c r="Q635" s="384"/>
      <c r="R635" s="384"/>
      <c r="S635" s="384"/>
      <c r="T635" s="384"/>
      <c r="U635" s="384"/>
      <c r="X635" s="385"/>
      <c r="Y635" s="385"/>
      <c r="Z635" s="385"/>
      <c r="AC635" s="385"/>
      <c r="AD635" s="385"/>
      <c r="AE635" s="385"/>
      <c r="AH635" s="385"/>
      <c r="AI635" s="385"/>
      <c r="AJ635" s="385"/>
      <c r="AM635" s="385"/>
      <c r="AN635" s="385"/>
      <c r="AO635" s="385"/>
      <c r="AP635" s="385"/>
      <c r="CK635" s="381"/>
    </row>
    <row r="636" spans="2:89" s="372" customFormat="1" x14ac:dyDescent="0.3">
      <c r="B636" s="382"/>
      <c r="C636" s="383"/>
      <c r="D636" s="383"/>
      <c r="N636" s="384"/>
      <c r="O636" s="384"/>
      <c r="P636" s="384"/>
      <c r="Q636" s="384"/>
      <c r="R636" s="384"/>
      <c r="S636" s="384"/>
      <c r="T636" s="384"/>
      <c r="U636" s="384"/>
      <c r="X636" s="385"/>
      <c r="Y636" s="385"/>
      <c r="Z636" s="385"/>
      <c r="AC636" s="385"/>
      <c r="AD636" s="385"/>
      <c r="AE636" s="385"/>
      <c r="AH636" s="385"/>
      <c r="AI636" s="385"/>
      <c r="AJ636" s="385"/>
      <c r="AM636" s="385"/>
      <c r="AN636" s="385"/>
      <c r="AO636" s="385"/>
      <c r="AP636" s="385"/>
      <c r="CK636" s="381"/>
    </row>
    <row r="637" spans="2:89" s="372" customFormat="1" x14ac:dyDescent="0.3">
      <c r="B637" s="382"/>
      <c r="C637" s="383"/>
      <c r="D637" s="383"/>
      <c r="N637" s="384"/>
      <c r="O637" s="384"/>
      <c r="P637" s="384"/>
      <c r="Q637" s="384"/>
      <c r="R637" s="384"/>
      <c r="S637" s="384"/>
      <c r="T637" s="384"/>
      <c r="U637" s="384"/>
      <c r="X637" s="385"/>
      <c r="Y637" s="385"/>
      <c r="Z637" s="385"/>
      <c r="AC637" s="385"/>
      <c r="AD637" s="385"/>
      <c r="AE637" s="385"/>
      <c r="AH637" s="385"/>
      <c r="AI637" s="385"/>
      <c r="AJ637" s="385"/>
      <c r="AM637" s="385"/>
      <c r="AN637" s="385"/>
      <c r="AO637" s="385"/>
      <c r="AP637" s="385"/>
      <c r="CK637" s="381"/>
    </row>
    <row r="638" spans="2:89" s="372" customFormat="1" x14ac:dyDescent="0.3">
      <c r="B638" s="382"/>
      <c r="C638" s="383"/>
      <c r="D638" s="383"/>
      <c r="N638" s="384"/>
      <c r="O638" s="384"/>
      <c r="P638" s="384"/>
      <c r="Q638" s="384"/>
      <c r="R638" s="384"/>
      <c r="S638" s="384"/>
      <c r="T638" s="384"/>
      <c r="U638" s="384"/>
      <c r="X638" s="385"/>
      <c r="Y638" s="385"/>
      <c r="Z638" s="385"/>
      <c r="AC638" s="385"/>
      <c r="AD638" s="385"/>
      <c r="AE638" s="385"/>
      <c r="AH638" s="385"/>
      <c r="AI638" s="385"/>
      <c r="AJ638" s="385"/>
      <c r="AM638" s="385"/>
      <c r="AN638" s="385"/>
      <c r="AO638" s="385"/>
      <c r="AP638" s="385"/>
      <c r="CK638" s="381"/>
    </row>
    <row r="639" spans="2:89" s="372" customFormat="1" x14ac:dyDescent="0.3">
      <c r="B639" s="382"/>
      <c r="C639" s="383"/>
      <c r="D639" s="383"/>
      <c r="N639" s="384"/>
      <c r="O639" s="384"/>
      <c r="P639" s="384"/>
      <c r="Q639" s="384"/>
      <c r="R639" s="384"/>
      <c r="S639" s="384"/>
      <c r="T639" s="384"/>
      <c r="U639" s="384"/>
      <c r="X639" s="385"/>
      <c r="Y639" s="385"/>
      <c r="Z639" s="385"/>
      <c r="AC639" s="385"/>
      <c r="AD639" s="385"/>
      <c r="AE639" s="385"/>
      <c r="AH639" s="385"/>
      <c r="AI639" s="385"/>
      <c r="AJ639" s="385"/>
      <c r="AM639" s="385"/>
      <c r="AN639" s="385"/>
      <c r="AO639" s="385"/>
      <c r="AP639" s="385"/>
      <c r="CK639" s="381"/>
    </row>
    <row r="640" spans="2:89" s="372" customFormat="1" x14ac:dyDescent="0.3">
      <c r="B640" s="382"/>
      <c r="C640" s="383"/>
      <c r="D640" s="383"/>
      <c r="N640" s="384"/>
      <c r="O640" s="384"/>
      <c r="P640" s="384"/>
      <c r="Q640" s="384"/>
      <c r="R640" s="384"/>
      <c r="S640" s="384"/>
      <c r="T640" s="384"/>
      <c r="U640" s="384"/>
      <c r="X640" s="385"/>
      <c r="Y640" s="385"/>
      <c r="Z640" s="385"/>
      <c r="AC640" s="385"/>
      <c r="AD640" s="385"/>
      <c r="AE640" s="385"/>
      <c r="AH640" s="385"/>
      <c r="AI640" s="385"/>
      <c r="AJ640" s="385"/>
      <c r="AM640" s="385"/>
      <c r="AN640" s="385"/>
      <c r="AO640" s="385"/>
      <c r="AP640" s="385"/>
      <c r="CK640" s="381"/>
    </row>
    <row r="641" spans="2:89" s="372" customFormat="1" x14ac:dyDescent="0.3">
      <c r="B641" s="382"/>
      <c r="C641" s="383"/>
      <c r="D641" s="383"/>
      <c r="N641" s="384"/>
      <c r="O641" s="384"/>
      <c r="P641" s="384"/>
      <c r="Q641" s="384"/>
      <c r="R641" s="384"/>
      <c r="S641" s="384"/>
      <c r="T641" s="384"/>
      <c r="U641" s="384"/>
      <c r="X641" s="385"/>
      <c r="Y641" s="385"/>
      <c r="Z641" s="385"/>
      <c r="AC641" s="385"/>
      <c r="AD641" s="385"/>
      <c r="AE641" s="385"/>
      <c r="AH641" s="385"/>
      <c r="AI641" s="385"/>
      <c r="AJ641" s="385"/>
      <c r="AM641" s="385"/>
      <c r="AN641" s="385"/>
      <c r="AO641" s="385"/>
      <c r="AP641" s="385"/>
      <c r="CK641" s="381"/>
    </row>
    <row r="642" spans="2:89" s="372" customFormat="1" x14ac:dyDescent="0.3">
      <c r="B642" s="382"/>
      <c r="C642" s="383"/>
      <c r="D642" s="383"/>
      <c r="N642" s="384"/>
      <c r="O642" s="384"/>
      <c r="P642" s="384"/>
      <c r="Q642" s="384"/>
      <c r="R642" s="384"/>
      <c r="S642" s="384"/>
      <c r="T642" s="384"/>
      <c r="U642" s="384"/>
      <c r="X642" s="385"/>
      <c r="Y642" s="385"/>
      <c r="Z642" s="385"/>
      <c r="AC642" s="385"/>
      <c r="AD642" s="385"/>
      <c r="AE642" s="385"/>
      <c r="AH642" s="385"/>
      <c r="AI642" s="385"/>
      <c r="AJ642" s="385"/>
      <c r="AM642" s="385"/>
      <c r="AN642" s="385"/>
      <c r="AO642" s="385"/>
      <c r="AP642" s="385"/>
      <c r="CK642" s="381"/>
    </row>
    <row r="643" spans="2:89" s="372" customFormat="1" x14ac:dyDescent="0.3">
      <c r="B643" s="382"/>
      <c r="C643" s="383"/>
      <c r="D643" s="383"/>
      <c r="N643" s="384"/>
      <c r="O643" s="384"/>
      <c r="P643" s="384"/>
      <c r="Q643" s="384"/>
      <c r="R643" s="384"/>
      <c r="S643" s="384"/>
      <c r="T643" s="384"/>
      <c r="U643" s="384"/>
      <c r="X643" s="385"/>
      <c r="Y643" s="385"/>
      <c r="Z643" s="385"/>
      <c r="AC643" s="385"/>
      <c r="AD643" s="385"/>
      <c r="AE643" s="385"/>
      <c r="AH643" s="385"/>
      <c r="AI643" s="385"/>
      <c r="AJ643" s="385"/>
      <c r="AM643" s="385"/>
      <c r="AN643" s="385"/>
      <c r="AO643" s="385"/>
      <c r="AP643" s="385"/>
      <c r="CK643" s="381"/>
    </row>
    <row r="644" spans="2:89" s="372" customFormat="1" x14ac:dyDescent="0.3">
      <c r="B644" s="382"/>
      <c r="C644" s="383"/>
      <c r="D644" s="383"/>
      <c r="N644" s="384"/>
      <c r="O644" s="384"/>
      <c r="P644" s="384"/>
      <c r="Q644" s="384"/>
      <c r="R644" s="384"/>
      <c r="S644" s="384"/>
      <c r="T644" s="384"/>
      <c r="U644" s="384"/>
      <c r="X644" s="385"/>
      <c r="Y644" s="385"/>
      <c r="Z644" s="385"/>
      <c r="AC644" s="385"/>
      <c r="AD644" s="385"/>
      <c r="AE644" s="385"/>
      <c r="AH644" s="385"/>
      <c r="AI644" s="385"/>
      <c r="AJ644" s="385"/>
      <c r="AM644" s="385"/>
      <c r="AN644" s="385"/>
      <c r="AO644" s="385"/>
      <c r="AP644" s="385"/>
      <c r="CK644" s="381"/>
    </row>
    <row r="645" spans="2:89" s="372" customFormat="1" x14ac:dyDescent="0.3">
      <c r="B645" s="382"/>
      <c r="C645" s="383"/>
      <c r="D645" s="383"/>
      <c r="N645" s="384"/>
      <c r="O645" s="384"/>
      <c r="P645" s="384"/>
      <c r="Q645" s="384"/>
      <c r="R645" s="384"/>
      <c r="S645" s="384"/>
      <c r="T645" s="384"/>
      <c r="U645" s="384"/>
      <c r="X645" s="385"/>
      <c r="Y645" s="385"/>
      <c r="Z645" s="385"/>
      <c r="AC645" s="385"/>
      <c r="AD645" s="385"/>
      <c r="AE645" s="385"/>
      <c r="AH645" s="385"/>
      <c r="AI645" s="385"/>
      <c r="AJ645" s="385"/>
      <c r="AM645" s="385"/>
      <c r="AN645" s="385"/>
      <c r="AO645" s="385"/>
      <c r="AP645" s="385"/>
      <c r="CK645" s="381"/>
    </row>
    <row r="646" spans="2:89" s="372" customFormat="1" x14ac:dyDescent="0.3">
      <c r="B646" s="382"/>
      <c r="C646" s="383"/>
      <c r="D646" s="383"/>
      <c r="N646" s="384"/>
      <c r="O646" s="384"/>
      <c r="P646" s="384"/>
      <c r="Q646" s="384"/>
      <c r="R646" s="384"/>
      <c r="S646" s="384"/>
      <c r="T646" s="384"/>
      <c r="U646" s="384"/>
      <c r="X646" s="385"/>
      <c r="Y646" s="385"/>
      <c r="Z646" s="385"/>
      <c r="AC646" s="385"/>
      <c r="AD646" s="385"/>
      <c r="AE646" s="385"/>
      <c r="AH646" s="385"/>
      <c r="AI646" s="385"/>
      <c r="AJ646" s="385"/>
      <c r="AM646" s="385"/>
      <c r="AN646" s="385"/>
      <c r="AO646" s="385"/>
      <c r="AP646" s="385"/>
      <c r="CK646" s="381"/>
    </row>
    <row r="647" spans="2:89" s="372" customFormat="1" x14ac:dyDescent="0.3">
      <c r="B647" s="382"/>
      <c r="C647" s="383"/>
      <c r="D647" s="383"/>
      <c r="N647" s="384"/>
      <c r="O647" s="384"/>
      <c r="P647" s="384"/>
      <c r="Q647" s="384"/>
      <c r="R647" s="384"/>
      <c r="S647" s="384"/>
      <c r="T647" s="384"/>
      <c r="U647" s="384"/>
      <c r="X647" s="385"/>
      <c r="Y647" s="385"/>
      <c r="Z647" s="385"/>
      <c r="AC647" s="385"/>
      <c r="AD647" s="385"/>
      <c r="AE647" s="385"/>
      <c r="AH647" s="385"/>
      <c r="AI647" s="385"/>
      <c r="AJ647" s="385"/>
      <c r="AM647" s="385"/>
      <c r="AN647" s="385"/>
      <c r="AO647" s="385"/>
      <c r="AP647" s="385"/>
      <c r="CK647" s="381"/>
    </row>
  </sheetData>
  <mergeCells count="106">
    <mergeCell ref="M293:N293"/>
    <mergeCell ref="M294:N294"/>
    <mergeCell ref="T280:T285"/>
    <mergeCell ref="U280:U285"/>
    <mergeCell ref="AP280:AP285"/>
    <mergeCell ref="V3:Z3"/>
    <mergeCell ref="I117:K117"/>
    <mergeCell ref="I118:I119"/>
    <mergeCell ref="J118:J119"/>
    <mergeCell ref="I120:K120"/>
    <mergeCell ref="I121:L121"/>
    <mergeCell ref="I184:K184"/>
    <mergeCell ref="I130:K130"/>
    <mergeCell ref="I176:L176"/>
    <mergeCell ref="I178:K178"/>
    <mergeCell ref="I179:L179"/>
    <mergeCell ref="I181:K181"/>
    <mergeCell ref="I182:L182"/>
    <mergeCell ref="I128:L128"/>
    <mergeCell ref="I131:K131"/>
    <mergeCell ref="I132:L132"/>
    <mergeCell ref="I133:K133"/>
    <mergeCell ref="I134:K134"/>
    <mergeCell ref="I123:K123"/>
    <mergeCell ref="I124:L124"/>
    <mergeCell ref="I125:I126"/>
    <mergeCell ref="J125:J126"/>
    <mergeCell ref="I127:K127"/>
    <mergeCell ref="I115:I116"/>
    <mergeCell ref="J115:J116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86:K86"/>
    <mergeCell ref="I114:L114"/>
    <mergeCell ref="I45:L45"/>
    <mergeCell ref="I20:K20"/>
    <mergeCell ref="I21:L21"/>
    <mergeCell ref="I22:I23"/>
    <mergeCell ref="J22:J23"/>
    <mergeCell ref="I24:K24"/>
    <mergeCell ref="I25:L25"/>
    <mergeCell ref="I27:K27"/>
    <mergeCell ref="I39:L39"/>
    <mergeCell ref="I41:K41"/>
    <mergeCell ref="I42:L42"/>
    <mergeCell ref="I44:K44"/>
    <mergeCell ref="DV3:DZ3"/>
    <mergeCell ref="CN3:CR3"/>
    <mergeCell ref="CS3:CW3"/>
    <mergeCell ref="CX3:DB3"/>
    <mergeCell ref="DC3:DE3"/>
    <mergeCell ref="DF3:DF4"/>
    <mergeCell ref="DH3:DH4"/>
    <mergeCell ref="DI3:DI4"/>
    <mergeCell ref="DK3:DK4"/>
    <mergeCell ref="DL3:DL4"/>
    <mergeCell ref="DN3:DN4"/>
    <mergeCell ref="DQ3:DU3"/>
    <mergeCell ref="M352:N352"/>
    <mergeCell ref="BK3:BO3"/>
    <mergeCell ref="BP3:BT3"/>
    <mergeCell ref="BU3:BY3"/>
    <mergeCell ref="BZ3:BZ4"/>
    <mergeCell ref="M260:N260"/>
    <mergeCell ref="M313:N313"/>
    <mergeCell ref="M326:N326"/>
    <mergeCell ref="M328:N328"/>
    <mergeCell ref="M330:N330"/>
    <mergeCell ref="T3:T4"/>
    <mergeCell ref="U3:U4"/>
    <mergeCell ref="M264:N264"/>
    <mergeCell ref="M265:N265"/>
    <mergeCell ref="M292:N292"/>
    <mergeCell ref="M296:N296"/>
    <mergeCell ref="AA3:AE3"/>
    <mergeCell ref="M314:N314"/>
    <mergeCell ref="M316:N316"/>
    <mergeCell ref="M263:N263"/>
    <mergeCell ref="M299:N299"/>
    <mergeCell ref="M302:N302"/>
    <mergeCell ref="M306:N306"/>
    <mergeCell ref="M309:N309"/>
    <mergeCell ref="CA3:CE3"/>
    <mergeCell ref="M1:DI1"/>
    <mergeCell ref="B3:E3"/>
    <mergeCell ref="F3:H3"/>
    <mergeCell ref="M3:M4"/>
    <mergeCell ref="N3:N4"/>
    <mergeCell ref="AK3:AO3"/>
    <mergeCell ref="AP3:AP4"/>
    <mergeCell ref="CM3:CM4"/>
    <mergeCell ref="AQ3:AU3"/>
    <mergeCell ref="AV3:AZ3"/>
    <mergeCell ref="BA3:BE3"/>
    <mergeCell ref="BF3:BJ3"/>
    <mergeCell ref="CF3:CJ3"/>
    <mergeCell ref="CL3:CL4"/>
    <mergeCell ref="AF3:AJ3"/>
    <mergeCell ref="Q3:S3"/>
  </mergeCells>
  <pageMargins left="0.19685039370078741" right="0.19685039370078741" top="0.39370078740157483" bottom="0.19685039370078741" header="0" footer="0"/>
  <pageSetup paperSize="9" scale="55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8"/>
  <sheetViews>
    <sheetView workbookViewId="0">
      <selection activeCell="F18" sqref="F18"/>
    </sheetView>
  </sheetViews>
  <sheetFormatPr defaultRowHeight="13.2" x14ac:dyDescent="0.25"/>
  <sheetData>
    <row r="18" spans="4:4" x14ac:dyDescent="0.25">
      <c r="D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дор.фонд на 01.01.18</vt:lpstr>
      <vt:lpstr>Лист1</vt:lpstr>
      <vt:lpstr>'дор.фонд на 01.01.18'!Заголовки_для_печати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Васютина Ольга Валерьевна</cp:lastModifiedBy>
  <cp:lastPrinted>2018-03-19T08:49:03Z</cp:lastPrinted>
  <dcterms:created xsi:type="dcterms:W3CDTF">2012-06-05T13:34:09Z</dcterms:created>
  <dcterms:modified xsi:type="dcterms:W3CDTF">2018-03-19T08:49:04Z</dcterms:modified>
</cp:coreProperties>
</file>